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omments1.xml" ContentType="application/vnd.openxmlformats-officedocument.spreadsheetml.comments+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05" windowWidth="19440" windowHeight="6060"/>
  </bookViews>
  <sheets>
    <sheet name="Feuil1" sheetId="1" r:id="rId1"/>
    <sheet name="Reprog (en cours)" sheetId="4" state="hidden" r:id="rId2"/>
  </sheets>
  <definedNames>
    <definedName name="_xlnm.Print_Titles" localSheetId="0">Feuil1!$2:$2</definedName>
    <definedName name="Lancer_la_requête_à_partir_de_Excel_Files" localSheetId="0" hidden="1">Feuil1!$A$2:$BC$62</definedName>
    <definedName name="Lancer_la_requête_à_partir_de_Excel_Files" localSheetId="1" hidden="1">'Reprog (en cours)'!$A$1:$AS$40</definedName>
    <definedName name="_xlnm.Print_Area" localSheetId="0">Feuil1!$A$1:$BD$64</definedName>
  </definedNames>
  <calcPr calcId="145621"/>
</workbook>
</file>

<file path=xl/calcChain.xml><?xml version="1.0" encoding="utf-8"?>
<calcChain xmlns="http://schemas.openxmlformats.org/spreadsheetml/2006/main">
  <c r="V64" i="1" l="1"/>
  <c r="U64" i="1"/>
  <c r="H5" i="1" l="1"/>
  <c r="T5" i="1" s="1"/>
  <c r="X62" i="1" l="1"/>
  <c r="AC62" i="1"/>
  <c r="R62" i="1" l="1"/>
  <c r="P62" i="1" s="1"/>
  <c r="T62" i="1" s="1"/>
  <c r="U61" i="1"/>
  <c r="X61" i="1"/>
  <c r="AC61" i="1"/>
  <c r="S62" i="1" l="1"/>
  <c r="Q62" i="1"/>
  <c r="R61" i="1"/>
  <c r="Q61" i="1" s="1"/>
  <c r="U59" i="1"/>
  <c r="X59" i="1"/>
  <c r="AC59" i="1"/>
  <c r="U60" i="1"/>
  <c r="X60" i="1"/>
  <c r="AC60" i="1"/>
  <c r="S61" i="1" l="1"/>
  <c r="P61" i="1"/>
  <c r="T61" i="1" s="1"/>
  <c r="R60" i="1"/>
  <c r="P60" i="1" s="1"/>
  <c r="T60" i="1" s="1"/>
  <c r="R59" i="1"/>
  <c r="Q59" i="1" s="1"/>
  <c r="U3" i="1"/>
  <c r="U4" i="1"/>
  <c r="U5" i="1"/>
  <c r="U6" i="1"/>
  <c r="U7" i="1"/>
  <c r="U8" i="1"/>
  <c r="U9" i="1"/>
  <c r="U10" i="1"/>
  <c r="U11" i="1"/>
  <c r="U12" i="1"/>
  <c r="U13" i="1"/>
  <c r="U14" i="1"/>
  <c r="U15" i="1"/>
  <c r="U16" i="1"/>
  <c r="U17" i="1"/>
  <c r="U18" i="1"/>
  <c r="U19" i="1"/>
  <c r="U20" i="1"/>
  <c r="U21" i="1"/>
  <c r="U22"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AC3" i="1"/>
  <c r="AC4" i="1"/>
  <c r="AC5" i="1"/>
  <c r="AC6" i="1"/>
  <c r="AC7" i="1"/>
  <c r="AC8" i="1"/>
  <c r="AC9" i="1"/>
  <c r="AC10" i="1"/>
  <c r="AC11" i="1"/>
  <c r="AC12" i="1"/>
  <c r="AC13" i="1"/>
  <c r="AC14" i="1"/>
  <c r="AC15" i="1"/>
  <c r="AC16" i="1"/>
  <c r="AC17" i="1"/>
  <c r="AC18" i="1"/>
  <c r="AC19" i="1"/>
  <c r="AC20" i="1"/>
  <c r="AC21" i="1"/>
  <c r="AC22" i="1"/>
  <c r="AC23" i="1"/>
  <c r="AC24" i="1"/>
  <c r="AC25" i="1"/>
  <c r="AC26"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P59" i="1" l="1"/>
  <c r="T59" i="1" s="1"/>
  <c r="S59" i="1"/>
  <c r="S60" i="1"/>
  <c r="Q60" i="1"/>
  <c r="R10" i="1"/>
  <c r="Q10" i="1" s="1"/>
  <c r="X11" i="1"/>
  <c r="R11" i="1" s="1"/>
  <c r="H4" i="1"/>
  <c r="P10" i="1" l="1"/>
  <c r="S10" i="1"/>
  <c r="Q11" i="1"/>
  <c r="P11" i="1"/>
  <c r="S11" i="1"/>
  <c r="H8" i="1" l="1"/>
  <c r="H9" i="1"/>
  <c r="H10" i="1"/>
  <c r="H7" i="1"/>
  <c r="U23" i="1" l="1"/>
  <c r="U24" i="1"/>
  <c r="U25" i="1"/>
  <c r="B63" i="1" l="1"/>
  <c r="C63" i="1"/>
  <c r="G63" i="1"/>
  <c r="H63" i="1"/>
  <c r="J63" i="1"/>
  <c r="V63" i="1"/>
  <c r="Y63" i="1"/>
  <c r="Z63" i="1"/>
  <c r="AA63" i="1"/>
  <c r="AB63" i="1"/>
  <c r="AD63" i="1"/>
  <c r="AE63" i="1"/>
  <c r="AF63" i="1"/>
  <c r="AG63" i="1"/>
  <c r="AH63" i="1"/>
  <c r="AI63" i="1"/>
  <c r="AJ63" i="1"/>
  <c r="AK63" i="1"/>
  <c r="AL63" i="1"/>
  <c r="AM63" i="1"/>
  <c r="AN63" i="1"/>
  <c r="AO63" i="1"/>
  <c r="AP63" i="1"/>
  <c r="AQ63" i="1"/>
  <c r="AR63" i="1"/>
  <c r="AS63" i="1"/>
  <c r="AT63" i="1"/>
  <c r="AU63" i="1"/>
  <c r="AV63" i="1"/>
  <c r="AW63" i="1"/>
  <c r="AX63" i="1"/>
  <c r="AY63" i="1"/>
  <c r="AZ63" i="1"/>
  <c r="BA63" i="1"/>
  <c r="X3" i="1"/>
  <c r="R3" i="1" s="1"/>
  <c r="X4" i="1"/>
  <c r="R4" i="1" s="1"/>
  <c r="X5" i="1"/>
  <c r="R5" i="1" s="1"/>
  <c r="X6" i="1"/>
  <c r="R6" i="1" s="1"/>
  <c r="X7" i="1"/>
  <c r="R7" i="1" s="1"/>
  <c r="X8" i="1"/>
  <c r="R8" i="1" s="1"/>
  <c r="X9" i="1"/>
  <c r="R9" i="1" s="1"/>
  <c r="X12" i="1"/>
  <c r="R12" i="1" s="1"/>
  <c r="X13" i="1"/>
  <c r="R13" i="1" s="1"/>
  <c r="X14" i="1"/>
  <c r="R14" i="1" s="1"/>
  <c r="X15" i="1"/>
  <c r="R15" i="1" s="1"/>
  <c r="X16" i="1"/>
  <c r="R16" i="1" s="1"/>
  <c r="X17" i="1"/>
  <c r="R17" i="1" s="1"/>
  <c r="X18" i="1"/>
  <c r="R18" i="1" s="1"/>
  <c r="X19" i="1"/>
  <c r="R19" i="1" s="1"/>
  <c r="X20" i="1"/>
  <c r="R20" i="1" s="1"/>
  <c r="X21" i="1"/>
  <c r="R21" i="1" s="1"/>
  <c r="X22" i="1"/>
  <c r="R22" i="1" s="1"/>
  <c r="X23" i="1"/>
  <c r="R23" i="1" s="1"/>
  <c r="X24" i="1"/>
  <c r="R24" i="1" s="1"/>
  <c r="X25" i="1"/>
  <c r="R25" i="1" s="1"/>
  <c r="X26" i="1"/>
  <c r="R26" i="1" s="1"/>
  <c r="X27" i="1"/>
  <c r="R27" i="1" s="1"/>
  <c r="X28" i="1"/>
  <c r="R28" i="1" s="1"/>
  <c r="X29" i="1"/>
  <c r="R29" i="1" s="1"/>
  <c r="X30" i="1"/>
  <c r="R30" i="1" s="1"/>
  <c r="X31" i="1"/>
  <c r="R31" i="1" s="1"/>
  <c r="X32" i="1"/>
  <c r="R32" i="1" s="1"/>
  <c r="X33" i="1"/>
  <c r="R33" i="1" s="1"/>
  <c r="X34" i="1"/>
  <c r="R34" i="1" s="1"/>
  <c r="X35" i="1"/>
  <c r="R35" i="1" s="1"/>
  <c r="X36" i="1"/>
  <c r="R36" i="1" s="1"/>
  <c r="X37" i="1"/>
  <c r="R37" i="1" s="1"/>
  <c r="X38" i="1"/>
  <c r="R38" i="1" s="1"/>
  <c r="X39" i="1"/>
  <c r="R39" i="1" s="1"/>
  <c r="X40" i="1"/>
  <c r="R40" i="1" s="1"/>
  <c r="X41" i="1"/>
  <c r="R41" i="1" s="1"/>
  <c r="X42" i="1"/>
  <c r="R42" i="1" s="1"/>
  <c r="X43" i="1"/>
  <c r="R43" i="1" s="1"/>
  <c r="X44" i="1"/>
  <c r="R44" i="1" s="1"/>
  <c r="X45" i="1"/>
  <c r="R45" i="1" s="1"/>
  <c r="X46" i="1"/>
  <c r="R46" i="1" s="1"/>
  <c r="X47" i="1"/>
  <c r="R47" i="1" s="1"/>
  <c r="X48" i="1"/>
  <c r="R48" i="1" s="1"/>
  <c r="X49" i="1"/>
  <c r="R49" i="1" s="1"/>
  <c r="X50" i="1"/>
  <c r="R50" i="1" s="1"/>
  <c r="X51" i="1"/>
  <c r="R51" i="1" s="1"/>
  <c r="X52" i="1"/>
  <c r="R52" i="1" s="1"/>
  <c r="X53" i="1"/>
  <c r="R53" i="1" s="1"/>
  <c r="X54" i="1"/>
  <c r="R54" i="1" s="1"/>
  <c r="X55" i="1"/>
  <c r="R55" i="1" s="1"/>
  <c r="X56" i="1"/>
  <c r="R56" i="1" s="1"/>
  <c r="X57" i="1"/>
  <c r="R57" i="1" s="1"/>
  <c r="X58" i="1"/>
  <c r="R58" i="1" s="1"/>
  <c r="Q55" i="1" l="1"/>
  <c r="P55" i="1"/>
  <c r="S55" i="1"/>
  <c r="Q51" i="1"/>
  <c r="P51" i="1"/>
  <c r="S51" i="1"/>
  <c r="Q47" i="1"/>
  <c r="S47" i="1"/>
  <c r="P47" i="1"/>
  <c r="Q43" i="1"/>
  <c r="P43" i="1"/>
  <c r="S43" i="1"/>
  <c r="Q39" i="1"/>
  <c r="P39" i="1"/>
  <c r="S39" i="1"/>
  <c r="Q36" i="1"/>
  <c r="S36" i="1"/>
  <c r="P36" i="1"/>
  <c r="Q32" i="1"/>
  <c r="P32" i="1"/>
  <c r="S32" i="1"/>
  <c r="Q28" i="1"/>
  <c r="P28" i="1"/>
  <c r="S28" i="1"/>
  <c r="Q25" i="1"/>
  <c r="P25" i="1"/>
  <c r="S25" i="1"/>
  <c r="Q21" i="1"/>
  <c r="S21" i="1"/>
  <c r="P21" i="1"/>
  <c r="Q17" i="1"/>
  <c r="P17" i="1"/>
  <c r="S17" i="1"/>
  <c r="Q13" i="1"/>
  <c r="P13" i="1"/>
  <c r="S13" i="1"/>
  <c r="Q9" i="1"/>
  <c r="P9" i="1"/>
  <c r="S9" i="1"/>
  <c r="Q6" i="1"/>
  <c r="S6" i="1"/>
  <c r="P6" i="1"/>
  <c r="P58" i="1"/>
  <c r="Q58" i="1"/>
  <c r="S58" i="1"/>
  <c r="P54" i="1"/>
  <c r="Q54" i="1"/>
  <c r="S54" i="1"/>
  <c r="P50" i="1"/>
  <c r="Q50" i="1"/>
  <c r="S50" i="1"/>
  <c r="P46" i="1"/>
  <c r="Q46" i="1"/>
  <c r="S46" i="1"/>
  <c r="P42" i="1"/>
  <c r="Q42" i="1"/>
  <c r="S42" i="1"/>
  <c r="P38" i="1"/>
  <c r="Q38" i="1"/>
  <c r="S38" i="1"/>
  <c r="P35" i="1"/>
  <c r="T35" i="1" s="1"/>
  <c r="Q35" i="1"/>
  <c r="S35" i="1"/>
  <c r="P31" i="1"/>
  <c r="Q31" i="1"/>
  <c r="S31" i="1"/>
  <c r="P27" i="1"/>
  <c r="Q27" i="1"/>
  <c r="S27" i="1"/>
  <c r="P24" i="1"/>
  <c r="Q24" i="1"/>
  <c r="S24" i="1"/>
  <c r="P20" i="1"/>
  <c r="T20" i="1" s="1"/>
  <c r="Q20" i="1"/>
  <c r="S20" i="1"/>
  <c r="P16" i="1"/>
  <c r="Q16" i="1"/>
  <c r="S16" i="1"/>
  <c r="P8" i="1"/>
  <c r="S8" i="1"/>
  <c r="Q8" i="1"/>
  <c r="P5" i="1"/>
  <c r="S5" i="1"/>
  <c r="Q5" i="1"/>
  <c r="Q57" i="1"/>
  <c r="S57" i="1"/>
  <c r="P57" i="1"/>
  <c r="T57" i="1" s="1"/>
  <c r="Q53" i="1"/>
  <c r="P53" i="1"/>
  <c r="S53" i="1"/>
  <c r="Q49" i="1"/>
  <c r="P49" i="1"/>
  <c r="S49" i="1"/>
  <c r="Q45" i="1"/>
  <c r="S45" i="1"/>
  <c r="P45" i="1"/>
  <c r="T45" i="1" s="1"/>
  <c r="Q41" i="1"/>
  <c r="P41" i="1"/>
  <c r="T41" i="1" s="1"/>
  <c r="S41" i="1"/>
  <c r="Q34" i="1"/>
  <c r="S34" i="1"/>
  <c r="P34" i="1"/>
  <c r="T34" i="1" s="1"/>
  <c r="Q30" i="1"/>
  <c r="P30" i="1"/>
  <c r="T30" i="1" s="1"/>
  <c r="S30" i="1"/>
  <c r="Q26" i="1"/>
  <c r="S26" i="1"/>
  <c r="P26" i="1"/>
  <c r="Q23" i="1"/>
  <c r="P23" i="1"/>
  <c r="S23" i="1"/>
  <c r="Q19" i="1"/>
  <c r="S19" i="1"/>
  <c r="P19" i="1"/>
  <c r="T19" i="1" s="1"/>
  <c r="Q15" i="1"/>
  <c r="P15" i="1"/>
  <c r="T15" i="1" s="1"/>
  <c r="S15" i="1"/>
  <c r="Q7" i="1"/>
  <c r="S7" i="1"/>
  <c r="P7" i="1"/>
  <c r="Q4" i="1"/>
  <c r="P4" i="1"/>
  <c r="S4" i="1"/>
  <c r="P56" i="1"/>
  <c r="S56" i="1"/>
  <c r="Q56" i="1"/>
  <c r="P52" i="1"/>
  <c r="S52" i="1"/>
  <c r="Q52" i="1"/>
  <c r="P48" i="1"/>
  <c r="S48" i="1"/>
  <c r="Q48" i="1"/>
  <c r="P44" i="1"/>
  <c r="S44" i="1"/>
  <c r="Q44" i="1"/>
  <c r="P40" i="1"/>
  <c r="S40" i="1"/>
  <c r="Q40" i="1"/>
  <c r="P37" i="1"/>
  <c r="S37" i="1"/>
  <c r="Q37" i="1"/>
  <c r="P33" i="1"/>
  <c r="S33" i="1"/>
  <c r="Q33" i="1"/>
  <c r="P29" i="1"/>
  <c r="S29" i="1"/>
  <c r="Q29" i="1"/>
  <c r="P22" i="1"/>
  <c r="T22" i="1" s="1"/>
  <c r="S22" i="1"/>
  <c r="Q22" i="1"/>
  <c r="P18" i="1"/>
  <c r="S18" i="1"/>
  <c r="Q18" i="1"/>
  <c r="P14" i="1"/>
  <c r="S14" i="1"/>
  <c r="Q14" i="1"/>
  <c r="P12" i="1"/>
  <c r="T12" i="1" s="1"/>
  <c r="S12" i="1"/>
  <c r="Q12" i="1"/>
  <c r="P3" i="1"/>
  <c r="Q3" i="1"/>
  <c r="S3" i="1"/>
  <c r="C41" i="4"/>
  <c r="F41" i="4"/>
  <c r="H2" i="4"/>
  <c r="H3" i="4"/>
  <c r="H4" i="4"/>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M2" i="4"/>
  <c r="K2" i="4" s="1"/>
  <c r="M3" i="4"/>
  <c r="K3" i="4" s="1"/>
  <c r="M4" i="4"/>
  <c r="M5" i="4"/>
  <c r="M6" i="4"/>
  <c r="K6" i="4" s="1"/>
  <c r="M7" i="4"/>
  <c r="K7" i="4" s="1"/>
  <c r="M8" i="4"/>
  <c r="M9" i="4"/>
  <c r="M10" i="4"/>
  <c r="K10" i="4" s="1"/>
  <c r="M11" i="4"/>
  <c r="K11" i="4" s="1"/>
  <c r="M12" i="4"/>
  <c r="M13" i="4"/>
  <c r="M14" i="4"/>
  <c r="K14" i="4" s="1"/>
  <c r="M15" i="4"/>
  <c r="K15" i="4" s="1"/>
  <c r="M16" i="4"/>
  <c r="M17" i="4"/>
  <c r="M18" i="4"/>
  <c r="K18" i="4" s="1"/>
  <c r="M19" i="4"/>
  <c r="K19" i="4" s="1"/>
  <c r="M20" i="4"/>
  <c r="M21" i="4"/>
  <c r="M22" i="4"/>
  <c r="K22" i="4" s="1"/>
  <c r="M23" i="4"/>
  <c r="K23" i="4" s="1"/>
  <c r="M24" i="4"/>
  <c r="M25" i="4"/>
  <c r="M26" i="4"/>
  <c r="K26" i="4" s="1"/>
  <c r="M27" i="4"/>
  <c r="K27" i="4" s="1"/>
  <c r="M28" i="4"/>
  <c r="M29" i="4"/>
  <c r="M30" i="4"/>
  <c r="K30" i="4" s="1"/>
  <c r="M31" i="4"/>
  <c r="K31" i="4" s="1"/>
  <c r="M32" i="4"/>
  <c r="M33" i="4"/>
  <c r="M34" i="4"/>
  <c r="K34" i="4" s="1"/>
  <c r="M35" i="4"/>
  <c r="K35" i="4" s="1"/>
  <c r="M36" i="4"/>
  <c r="M37" i="4"/>
  <c r="M38" i="4"/>
  <c r="K38" i="4" s="1"/>
  <c r="M39" i="4"/>
  <c r="K39" i="4" s="1"/>
  <c r="M40" i="4"/>
  <c r="P2" i="4"/>
  <c r="P3" i="4"/>
  <c r="P4" i="4"/>
  <c r="P5" i="4"/>
  <c r="P6" i="4"/>
  <c r="P7" i="4"/>
  <c r="P8" i="4"/>
  <c r="P9" i="4"/>
  <c r="P10" i="4"/>
  <c r="P11" i="4"/>
  <c r="P12" i="4"/>
  <c r="P13" i="4"/>
  <c r="P14" i="4"/>
  <c r="P15" i="4"/>
  <c r="P16" i="4"/>
  <c r="P17" i="4"/>
  <c r="P18" i="4"/>
  <c r="P19" i="4"/>
  <c r="P20" i="4"/>
  <c r="P21" i="4"/>
  <c r="P22" i="4"/>
  <c r="P23" i="4"/>
  <c r="P24" i="4"/>
  <c r="P25" i="4"/>
  <c r="P26" i="4"/>
  <c r="P27" i="4"/>
  <c r="P28" i="4"/>
  <c r="P29" i="4"/>
  <c r="P30" i="4"/>
  <c r="P31" i="4"/>
  <c r="P32" i="4"/>
  <c r="P33" i="4"/>
  <c r="P34" i="4"/>
  <c r="P35" i="4"/>
  <c r="P36" i="4"/>
  <c r="P37" i="4"/>
  <c r="P38" i="4"/>
  <c r="P39" i="4"/>
  <c r="P40" i="4"/>
  <c r="U2" i="4"/>
  <c r="U3" i="4"/>
  <c r="U4" i="4"/>
  <c r="U5" i="4"/>
  <c r="U6" i="4"/>
  <c r="U7" i="4"/>
  <c r="U8" i="4"/>
  <c r="U9" i="4"/>
  <c r="U10"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T58" i="1" l="1"/>
  <c r="T31" i="1"/>
  <c r="T3" i="1"/>
  <c r="T26" i="1"/>
  <c r="T46" i="1"/>
  <c r="T48" i="1"/>
  <c r="T42" i="1"/>
  <c r="T16" i="1"/>
  <c r="T49" i="1"/>
  <c r="T23" i="1"/>
  <c r="T9" i="1"/>
  <c r="T28" i="1"/>
  <c r="T55" i="1"/>
  <c r="T29" i="1"/>
  <c r="T32" i="1"/>
  <c r="T24" i="1"/>
  <c r="T44" i="1"/>
  <c r="T52" i="1"/>
  <c r="T21" i="1"/>
  <c r="T36" i="1"/>
  <c r="T47" i="1"/>
  <c r="T27" i="1"/>
  <c r="T54" i="1"/>
  <c r="T14" i="1"/>
  <c r="T13" i="1"/>
  <c r="T39" i="1"/>
  <c r="T38" i="1"/>
  <c r="T40" i="1"/>
  <c r="T17" i="1"/>
  <c r="T43" i="1"/>
  <c r="T50" i="1"/>
  <c r="T56" i="1"/>
  <c r="T8" i="1"/>
  <c r="T11" i="1"/>
  <c r="T25" i="1"/>
  <c r="T51" i="1"/>
  <c r="T10" i="1"/>
  <c r="T33" i="1"/>
  <c r="T18" i="1"/>
  <c r="T37" i="1"/>
  <c r="K40" i="4"/>
  <c r="K32" i="4"/>
  <c r="I32" i="4" s="1"/>
  <c r="J32" i="4" s="1"/>
  <c r="K24" i="4"/>
  <c r="K16" i="4"/>
  <c r="I16" i="4" s="1"/>
  <c r="J16" i="4" s="1"/>
  <c r="K4" i="4"/>
  <c r="K36" i="4"/>
  <c r="I36" i="4" s="1"/>
  <c r="J36" i="4" s="1"/>
  <c r="K28" i="4"/>
  <c r="K20" i="4"/>
  <c r="I20" i="4" s="1"/>
  <c r="J20" i="4" s="1"/>
  <c r="K12" i="4"/>
  <c r="K8" i="4"/>
  <c r="K41" i="4" s="1"/>
  <c r="K37" i="4"/>
  <c r="K33" i="4"/>
  <c r="I33" i="4" s="1"/>
  <c r="J33" i="4" s="1"/>
  <c r="K29" i="4"/>
  <c r="K25" i="4"/>
  <c r="L25" i="4" s="1"/>
  <c r="K21" i="4"/>
  <c r="K17" i="4"/>
  <c r="I17" i="4" s="1"/>
  <c r="J17" i="4" s="1"/>
  <c r="K13" i="4"/>
  <c r="K9" i="4"/>
  <c r="L9" i="4" s="1"/>
  <c r="K5" i="4"/>
  <c r="I35" i="4"/>
  <c r="J35" i="4" s="1"/>
  <c r="L35" i="4"/>
  <c r="I27" i="4"/>
  <c r="J27" i="4" s="1"/>
  <c r="L27" i="4"/>
  <c r="I19" i="4"/>
  <c r="J19" i="4" s="1"/>
  <c r="L19" i="4"/>
  <c r="I11" i="4"/>
  <c r="J11" i="4" s="1"/>
  <c r="L11" i="4"/>
  <c r="I3" i="4"/>
  <c r="J3" i="4" s="1"/>
  <c r="L3" i="4"/>
  <c r="L40" i="4"/>
  <c r="I40" i="4"/>
  <c r="J40" i="4" s="1"/>
  <c r="L32" i="4"/>
  <c r="L24" i="4"/>
  <c r="I24" i="4"/>
  <c r="J24" i="4" s="1"/>
  <c r="L16" i="4"/>
  <c r="L8" i="4"/>
  <c r="I34" i="4"/>
  <c r="J34" i="4" s="1"/>
  <c r="L34" i="4"/>
  <c r="I26" i="4"/>
  <c r="J26" i="4" s="1"/>
  <c r="L26" i="4"/>
  <c r="I18" i="4"/>
  <c r="J18" i="4" s="1"/>
  <c r="L18" i="4"/>
  <c r="I14" i="4"/>
  <c r="J14" i="4" s="1"/>
  <c r="L14" i="4"/>
  <c r="I6" i="4"/>
  <c r="J6" i="4" s="1"/>
  <c r="L6" i="4"/>
  <c r="I25" i="4"/>
  <c r="J25" i="4" s="1"/>
  <c r="I9" i="4"/>
  <c r="J9" i="4" s="1"/>
  <c r="I39" i="4"/>
  <c r="J39" i="4" s="1"/>
  <c r="L39" i="4"/>
  <c r="I31" i="4"/>
  <c r="J31" i="4" s="1"/>
  <c r="L31" i="4"/>
  <c r="I23" i="4"/>
  <c r="J23" i="4" s="1"/>
  <c r="L23" i="4"/>
  <c r="I15" i="4"/>
  <c r="J15" i="4" s="1"/>
  <c r="L15" i="4"/>
  <c r="I7" i="4"/>
  <c r="J7" i="4" s="1"/>
  <c r="L7" i="4"/>
  <c r="L36" i="4"/>
  <c r="L28" i="4"/>
  <c r="I28" i="4"/>
  <c r="J28" i="4" s="1"/>
  <c r="L20" i="4"/>
  <c r="L12" i="4"/>
  <c r="I12" i="4"/>
  <c r="J12" i="4" s="1"/>
  <c r="L4" i="4"/>
  <c r="I4" i="4"/>
  <c r="J4" i="4" s="1"/>
  <c r="I38" i="4"/>
  <c r="J38" i="4" s="1"/>
  <c r="L38" i="4"/>
  <c r="I30" i="4"/>
  <c r="J30" i="4" s="1"/>
  <c r="L30" i="4"/>
  <c r="I22" i="4"/>
  <c r="J22" i="4" s="1"/>
  <c r="L22" i="4"/>
  <c r="I10" i="4"/>
  <c r="J10" i="4" s="1"/>
  <c r="L10" i="4"/>
  <c r="I2" i="4"/>
  <c r="J2" i="4" s="1"/>
  <c r="L2" i="4"/>
  <c r="I37" i="4"/>
  <c r="J37" i="4" s="1"/>
  <c r="L37" i="4"/>
  <c r="I29" i="4"/>
  <c r="J29" i="4" s="1"/>
  <c r="L29" i="4"/>
  <c r="I21" i="4"/>
  <c r="J21" i="4" s="1"/>
  <c r="L21" i="4"/>
  <c r="I13" i="4"/>
  <c r="J13" i="4" s="1"/>
  <c r="L13" i="4"/>
  <c r="I5" i="4"/>
  <c r="J5" i="4" s="1"/>
  <c r="L5" i="4"/>
  <c r="H41" i="4"/>
  <c r="U41" i="4"/>
  <c r="P41" i="4"/>
  <c r="M41" i="4"/>
  <c r="U63" i="1"/>
  <c r="X63" i="1"/>
  <c r="X64" i="1" s="1"/>
  <c r="AC63" i="1"/>
  <c r="T6" i="1" l="1"/>
  <c r="T7" i="1"/>
  <c r="T4" i="1"/>
  <c r="L17" i="4"/>
  <c r="L33" i="4"/>
  <c r="I8" i="4"/>
  <c r="J8" i="4" s="1"/>
  <c r="I41" i="4"/>
  <c r="J41" i="4"/>
  <c r="R63" i="1"/>
  <c r="T63" i="1" l="1"/>
  <c r="P63" i="1"/>
</calcChain>
</file>

<file path=xl/comments1.xml><?xml version="1.0" encoding="utf-8"?>
<comments xmlns="http://schemas.openxmlformats.org/spreadsheetml/2006/main">
  <authors>
    <author>C.MARIE</author>
  </authors>
  <commentList>
    <comment ref="X64" authorId="0">
      <text>
        <r>
          <rPr>
            <b/>
            <sz val="9"/>
            <color indexed="81"/>
            <rFont val="Tahoma"/>
            <family val="2"/>
          </rPr>
          <t>C.MARIE:</t>
        </r>
        <r>
          <rPr>
            <sz val="9"/>
            <color indexed="81"/>
            <rFont val="Tahoma"/>
            <family val="2"/>
          </rPr>
          <t xml:space="preserve">
incluant l'autofinancement GIP
</t>
        </r>
      </text>
    </comment>
  </commentList>
</comments>
</file>

<file path=xl/connections.xml><?xml version="1.0" encoding="utf-8"?>
<connections xmlns="http://schemas.openxmlformats.org/spreadsheetml/2006/main">
  <connection id="1" name="Lancer la requête à partir de Excel Files" type="1" refreshedVersion="4" background="1" saveData="1">
    <dbPr connection="DSN=Excel Files;DBQ=P:\GIP Massif\AUT_GEST\Suivi - Pilotage\Tableaux bord\Base dossiers déposés.xlsm;DefaultDir=P:\GIP Massif\AUT_GEST\Suivi - Pilotage\Tableaux bord;DriverId=1046;MaxBufferSize=2048;PageTimeout=5;" command="SELECT `'Depot projet$'`.Programme, `'Depot projet$'`.ID_Synergie, `'Depot projet$'`.Nom_MO, `'Depot projet$'`.Intitule_Operation, `'Depot projet$'`.`Coût total déposé`, `'Depot projet$'`.`Aide Publique demandée`, `'Depot projet$'`.Total_Etat_FN2, `'Depot projet$'`.FNADT_FN2, `'Depot projet$'`.AgricultureFN2, `'Depot projet$'`.Total_Regions_FN2, `'Depot projet$'`.AURA_FN2, `'Depot projet$'`.BFC_FN2, `'Depot projet$'`.ALPC_FN2, `'Depot projet$'`.LRMP_FN2, `'Depot projet$'`.Total_Dpts_FN2, `'Depot projet$'`.`03_FN2`, `'Depot projet$'`.`07_FN2`, `'Depot projet$'`.`11_FN2`, `'Depot projet$'`.`12_FN2`, `'Depot projet$'`.`15_FN2`, `'Depot projet$'`.`19_FN2`, `'Depot projet$'`.`21_FN2`, `'Depot projet$'`.`23_FN2`, `'Depot projet$'`.`30_FN2`, `'Depot projet$'`.`34_FN2`, `'Depot projet$'`.`42_FN2`, `'Depot projet$'`.`43_FN2`, `'Depot projet$'`.`46_FN2`, `'Depot projet$'`.`48_FN2`, `'Depot projet$'`.`58_FN2`, `'Depot projet$'`.`63_FN2`, `'Depot projet$'`.`69_FN2`, `'Depot projet$'`.`71_FN2`, `'Depot projet$'`.`81_FN2`, `'Depot projet$'`.`82_FN2`, `'Depot projet$'`.`87_FN2`, `'Depot projet$'`.`89_FN2`, `'Depot projet$'`.`Autre Public2`, `'Depot projet$'`.UE2 AS 'Prévisionnel FEDER', `'Depot projet$'`.`Avis Cprog` AS 'Avis Cprog précédent', `'Depot projet$'`.`ID_dossier GIP`, `'Depot projet$'`.`Dde cofi Etat`, `'Depot projet$'`.`Dde cofi Régions`, `'Depot projet$'`.`Dde cofi Dpt`, `'Depot projet$'`.`Date ARC`, `'Depot projet$'`.`FEDER Demandé`, `'Depot projet$'`.`Taux Aide publique`, `'Depot projet$'`.`Taux FEDER`, `'Depot projet$'`.`Date début operation`, `'Depot projet$'`.Thematique_x000d__x000a_FROM `'Depot projet$'` `'Depot projet$'`_x000d__x000a_WHERE (`'Depot projet$'`.`Avis Cprog` Is Null) AND (`'Depot projet$'`.`Date dépôt` Is Not Null) AND (`'Depot projet$'`.`Coût total déposé` Is Not Null) AND (`'Depot projet$'`.`Date Cprog` Is Null) OR (`'Depot projet$'`.`Avis Cprog`='4-ajournement') AND (`'Depot projet$'`.`Date dépôt` Is Not Null) AND (`'Depot projet$'`.`Coût total déposé` Is Not Null)"/>
  </connection>
  <connection id="2" name="Reprog" type="1" refreshedVersion="4" background="1" saveData="1">
    <dbPr connection="DSN=Excel Files;DBQ=P:\GIP Massif\AUT_GEST\Suivi - Pilotage\Tableaux bord\Base dossiers déposés.xlsm;DefaultDir=P:\GIP Massif\AUT_GEST\Suivi - Pilotage\Tableaux bord;DriverId=1046;MaxBufferSize=2048;PageTimeout=5;" command="SELECT `'Depot projet$'`.Programme, `'Depot projet$'`.ID_Synergie, `'Depot projet$'`.Nom_MO, `'Depot projet$'`.Intitule_Operation, `'Depot projet$'`.`Coût total déposé`, `'Depot projet$'`.`Aide Publique demandée`, `'Depot projet$'`.Total_Etat_FN2 AS 'Etat', `'Depot projet$'`.FNADT_FN2 AS 'FNADT', `'Depot projet$'`.AgricultureFN2 AS 'Agriculture', `'Depot projet$'`.Total_Regions_FN2 AS 'Régions', `'Depot projet$'`.AURA_FN2 AS 'AURA', `'Depot projet$'`.BFC_FN2 AS 'BFC', `'Depot projet$'`.ALPC_FN2 AS 'ALPC', `'Depot projet$'`.LRMP_FN2 AS 'LRMP', `'Depot projet$'`.Total_Dpts_FN2 AS 'Dpts', `'Depot projet$'`.`03_FN2` AS '03', `'Depot projet$'`.`07_FN2` AS '07', `'Depot projet$'`.`11_FN2` AS '11', `'Depot projet$'`.`12_FN2` AS '12', `'Depot projet$'`.`15_FN2` AS '15', `'Depot projet$'`.`19_FN2` AS '19', `'Depot projet$'`.`21_FN2` AS '21', `'Depot projet$'`.`23_FN2` AS '23', `'Depot projet$'`.`30_FN2` AS '30', `'Depot projet$'`.`34_FN2` AS '34', `'Depot projet$'`.`42_FN2` AS '42', `'Depot projet$'`.`43_FN2` AS '43', `'Depot projet$'`.`46_FN2` AS '46', `'Depot projet$'`.`48_FN2` AS '48', `'Depot projet$'`.`58_FN2` AS '58', `'Depot projet$'`.`63_FN2` AS '63', `'Depot projet$'`.`69_FN2` AS '69', `'Depot projet$'`.`71_FN2` AS '71', `'Depot projet$'`.`81_FN2` AS '81', `'Depot projet$'`.`82_FN2` AS '82', `'Depot projet$'`.`87_FN2` AS '87', `'Depot projet$'`.`89_FN2` AS '89', `'Depot projet$'`.`Autre Public2` AS 'Autre Public', `'Depot projet$'`.UE2 AS 'FEDER', `'Depot projet$'`.`ID_dossier GIP`, `'Depot projet$'`.`Coût total Eligible FEDER`_x000d__x000a_FROM `'Depot projet$'` `'Depot projet$'`_x000d__x000a_WHERE (`'Depot projet$'`.`Avis Cprog`='7-reprogrammation') AND (`'Depot projet$'`.`Date dépôt` Is Not Null) AND (`'Depot projet$'`.`Coût total déposé` Is Not Null) AND (`'Depot projet$'`.`Date Cprog` Is Null) OR (`'Depot projet$'`.`Avis Cprog`='7-reprogrammation') AND (`'Depot projet$'`.`Date dépôt` Is Not Null) AND (`'Depot projet$'`.`Coût total déposé` Is Not Null) AND (`'Depot projet$'`.`Date Cprog`={ts '2016-06-02 00:00:00'}) OR (`'Depot projet$'`.`Avis Cprog`='7-reprogrammation') AND (`'Depot projet$'`.`Date dépôt` Is Not Null) AND (`'Depot projet$'`.`Coût total déposé` Is Not Null) AND (`'Depot projet$'`.`Date Cprog` Is Null)"/>
  </connection>
</connections>
</file>

<file path=xl/sharedStrings.xml><?xml version="1.0" encoding="utf-8"?>
<sst xmlns="http://schemas.openxmlformats.org/spreadsheetml/2006/main" count="859" uniqueCount="441">
  <si>
    <t>Programme</t>
  </si>
  <si>
    <t>Nom_MO</t>
  </si>
  <si>
    <t>Intitule_Operation</t>
  </si>
  <si>
    <t>Coût total déposé</t>
  </si>
  <si>
    <t>Aide Publique demandée</t>
  </si>
  <si>
    <t>CIMAC</t>
  </si>
  <si>
    <t>POI</t>
  </si>
  <si>
    <t>Vivier Bois Massif central</t>
  </si>
  <si>
    <t>MacCOFOR</t>
  </si>
  <si>
    <t>Terre de Liens</t>
  </si>
  <si>
    <t>Réseau en scène Languedoc-Roussillon</t>
  </si>
  <si>
    <t>DES LENDEMAINS QUI CHANTENT</t>
  </si>
  <si>
    <t>Le Transfo</t>
  </si>
  <si>
    <t>FNADT_FN2</t>
  </si>
  <si>
    <t>Manque</t>
  </si>
  <si>
    <t>Taux Aide Massif</t>
  </si>
  <si>
    <t>Aide Massif Obtenu</t>
  </si>
  <si>
    <t>Taux Aide Publique</t>
  </si>
  <si>
    <t>ID_Synergie</t>
  </si>
  <si>
    <t>Total</t>
  </si>
  <si>
    <t>AURA_FN2</t>
  </si>
  <si>
    <t>LRMP_FN2</t>
  </si>
  <si>
    <t>03_FN2</t>
  </si>
  <si>
    <t>07_FN2</t>
  </si>
  <si>
    <t>11_FN2</t>
  </si>
  <si>
    <t>12_FN2</t>
  </si>
  <si>
    <t>15_FN2</t>
  </si>
  <si>
    <t>19_FN2</t>
  </si>
  <si>
    <t>21_FN2</t>
  </si>
  <si>
    <t>23_FN2</t>
  </si>
  <si>
    <t>30_FN2</t>
  </si>
  <si>
    <t>34_FN2</t>
  </si>
  <si>
    <t>42_FN2</t>
  </si>
  <si>
    <t>43_FN2</t>
  </si>
  <si>
    <t>46_FN2</t>
  </si>
  <si>
    <t>48_FN2</t>
  </si>
  <si>
    <t>58_FN2</t>
  </si>
  <si>
    <t>63_FN2</t>
  </si>
  <si>
    <t>69_FN2</t>
  </si>
  <si>
    <t>71_FN2</t>
  </si>
  <si>
    <t>81_FN2</t>
  </si>
  <si>
    <t>82_FN2</t>
  </si>
  <si>
    <t>87_FN2</t>
  </si>
  <si>
    <t>89_FN2</t>
  </si>
  <si>
    <t>Autre Public2</t>
  </si>
  <si>
    <t>ID_dossier GIP</t>
  </si>
  <si>
    <t xml:space="preserve">Remarques </t>
  </si>
  <si>
    <t>'Prévisionnel FEDER'</t>
  </si>
  <si>
    <t xml:space="preserve">Total_Etat_FN2 </t>
  </si>
  <si>
    <t xml:space="preserve">Total_Regions_FN2 </t>
  </si>
  <si>
    <t xml:space="preserve">Total_Dpts_FN2 </t>
  </si>
  <si>
    <t>Aide Publique Obtenue</t>
  </si>
  <si>
    <t>BFC_FN2</t>
  </si>
  <si>
    <t>ALPC_FN2</t>
  </si>
  <si>
    <t>AgricultureFN2</t>
  </si>
  <si>
    <t>Coût total Eligible FEDER</t>
  </si>
  <si>
    <t>Coût total</t>
  </si>
  <si>
    <t>'FNADT'</t>
  </si>
  <si>
    <t>'Agriculture'</t>
  </si>
  <si>
    <t>'AURA'</t>
  </si>
  <si>
    <t>'BFC'</t>
  </si>
  <si>
    <t>'ALPC'</t>
  </si>
  <si>
    <t>'LRMP'</t>
  </si>
  <si>
    <t>'03'</t>
  </si>
  <si>
    <t>'07'</t>
  </si>
  <si>
    <t>'11'</t>
  </si>
  <si>
    <t>'12'</t>
  </si>
  <si>
    <t>'15'</t>
  </si>
  <si>
    <t>'19'</t>
  </si>
  <si>
    <t>'21'</t>
  </si>
  <si>
    <t>'23'</t>
  </si>
  <si>
    <t>'30'</t>
  </si>
  <si>
    <t>'34'</t>
  </si>
  <si>
    <t>'42'</t>
  </si>
  <si>
    <t>'43'</t>
  </si>
  <si>
    <t>'46'</t>
  </si>
  <si>
    <t>'48'</t>
  </si>
  <si>
    <t>'58'</t>
  </si>
  <si>
    <t>'63'</t>
  </si>
  <si>
    <t>'69'</t>
  </si>
  <si>
    <t>'71'</t>
  </si>
  <si>
    <t>'81'</t>
  </si>
  <si>
    <t>'82'</t>
  </si>
  <si>
    <t>'87'</t>
  </si>
  <si>
    <t>'89'</t>
  </si>
  <si>
    <t>'FEDER'</t>
  </si>
  <si>
    <t>'Autre Public'</t>
  </si>
  <si>
    <t>Etat</t>
  </si>
  <si>
    <t>Régions</t>
  </si>
  <si>
    <t>Départements</t>
  </si>
  <si>
    <t>D067</t>
  </si>
  <si>
    <t>Commune d'Autun</t>
  </si>
  <si>
    <t>D037e</t>
  </si>
  <si>
    <t>Communauté de communes du Grand Autunois Morvan</t>
  </si>
  <si>
    <t>Aménagements activités pleine nature de la Communauté de communes du Grand Autunois Morvan : développement de l'itinérance verte "vélo" et création d'un espace d'accueil randonneurs en forêt de Montmain</t>
  </si>
  <si>
    <t>MC0004473</t>
  </si>
  <si>
    <t>Développement des activités de pleine nature autour de la base de loisirs Marcel Lucotte à Autun</t>
  </si>
  <si>
    <t>D037d</t>
  </si>
  <si>
    <t>Appel à projet Massif central - Amplification et diversification d'une politique locale d'accueil</t>
  </si>
  <si>
    <t>reprogrammation sur périmètre dérogatoire</t>
  </si>
  <si>
    <t>MC0005459</t>
  </si>
  <si>
    <t>D115</t>
  </si>
  <si>
    <t>Conseil départemental de la Lozère</t>
  </si>
  <si>
    <t>Accompagner les territoires du Massif central dans la mise en œuvre d’une offre d’accueil qualifiée</t>
  </si>
  <si>
    <t>MC0005229</t>
  </si>
  <si>
    <t>Association du Pays du Haut Limousin</t>
  </si>
  <si>
    <t>Mise en oeuvre d’une politique d’accueil à l’échelle du Pays du Haut Limousin</t>
  </si>
  <si>
    <t>D063</t>
  </si>
  <si>
    <t>Conservatoire Botanique National du Massif central</t>
  </si>
  <si>
    <t>MC0000893</t>
  </si>
  <si>
    <t>Contribution à la capitalisation des résultats de l'expérience acquis dans le cadre du programme multipartenaires de "préservation de la biodiversité des milieux ouverts herbacées du Massif central" par expérimentation et diffusion de la méthode d'évaluat</t>
  </si>
  <si>
    <t>D001</t>
  </si>
  <si>
    <t>D013</t>
  </si>
  <si>
    <t>Mobiliser les citoyens et mettre en lien les acteurs pour accueillir et accompagner les projets sur les territoires du Massif central</t>
  </si>
  <si>
    <t>MC0005458</t>
  </si>
  <si>
    <t>Impulser des organisations opérationnelles innovantes en valorisant les dynamiques forêt-bois dans les territoires du Massif central pour favoriser leur attractivité</t>
  </si>
  <si>
    <t>D021a</t>
  </si>
  <si>
    <t>URCOFOR Auvergne-Limousin</t>
  </si>
  <si>
    <t>D021b</t>
  </si>
  <si>
    <t>URCOFOR Languedoc-Roussillon</t>
  </si>
  <si>
    <t>D021c</t>
  </si>
  <si>
    <t>URCOFOR Midi-Pyrénées</t>
  </si>
  <si>
    <t>D021d</t>
  </si>
  <si>
    <t>URCOFOR Rhône-Alpes</t>
  </si>
  <si>
    <t>D021e</t>
  </si>
  <si>
    <t>MC0004691</t>
  </si>
  <si>
    <t>Syndicat Mixte du Grand Site des gorges du Tarn, de la Jonte et des Causses</t>
  </si>
  <si>
    <t>Pôle de pleine nature émergent des gorges du Tarn</t>
  </si>
  <si>
    <t>D030</t>
  </si>
  <si>
    <t>MC0005090</t>
  </si>
  <si>
    <t>Syndicat Mixte d'Aménagement du Mont Lozère</t>
  </si>
  <si>
    <t>Pôle pleine nature Mont Lozère</t>
  </si>
  <si>
    <t>D040</t>
  </si>
  <si>
    <t>D044</t>
  </si>
  <si>
    <t>Syndicat Mixte pour l’Aménagement Touristique du Bassin de Sioule</t>
  </si>
  <si>
    <t>Structuration du pôle « émergent » Gorges de la Sioule</t>
  </si>
  <si>
    <t>Groupe projet pilote des entreprises du bois construction pour les marchés du bâtiment performant : action de coopération interrégionale</t>
  </si>
  <si>
    <t>D048a</t>
  </si>
  <si>
    <t>SAS Lafargue - Fermes de Figeac</t>
  </si>
  <si>
    <t>D048b</t>
  </si>
  <si>
    <t>MC0005097</t>
  </si>
  <si>
    <t>Association pour le Développement du Pays d’Aurillac</t>
  </si>
  <si>
    <t>Ingénierie de l’accueil n°1</t>
  </si>
  <si>
    <t>D055</t>
  </si>
  <si>
    <t>MC0003885</t>
  </si>
  <si>
    <t>Syndicat Mixte du Beaujolais</t>
  </si>
  <si>
    <t>Politique d’accueil du Pays Beaujolais</t>
  </si>
  <si>
    <t>D062</t>
  </si>
  <si>
    <t>MC0005093</t>
  </si>
  <si>
    <t>Communauté de communes du pays de Murat</t>
  </si>
  <si>
    <t xml:space="preserve">Déploiement et extension du pack accueil télétravail </t>
  </si>
  <si>
    <t>D065b</t>
  </si>
  <si>
    <t>D073</t>
  </si>
  <si>
    <t>Communauté de communes des Portes du Morvan</t>
  </si>
  <si>
    <t>Politique d’accueil de nouvelles populations et construction d’une offre d’accueil qualifiée</t>
  </si>
  <si>
    <t>MC0005309</t>
  </si>
  <si>
    <t>Communauté de communes des Sources de la Loire</t>
  </si>
  <si>
    <t>Construction d’une politique d’accueil en Montagne ardéchoise</t>
  </si>
  <si>
    <t>D077</t>
  </si>
  <si>
    <t>MC0005484</t>
  </si>
  <si>
    <t>Communauté de communes Donjon Val Libre</t>
  </si>
  <si>
    <t>Politiques d'accueil de nouvelles populations dans le Massif central. Appel à projets pour l'ingénierie de l'accueil n°1-2015</t>
  </si>
  <si>
    <t>D081a</t>
  </si>
  <si>
    <t>MC0005490</t>
  </si>
  <si>
    <t>Communauté de communes Sioule Colettes et Bouble</t>
  </si>
  <si>
    <t>D081b</t>
  </si>
  <si>
    <t>D088b</t>
  </si>
  <si>
    <t>Centre National de la Propriété Forestière (CNPF)</t>
  </si>
  <si>
    <t>Référentiel national de certification carbone</t>
  </si>
  <si>
    <t>D100a</t>
  </si>
  <si>
    <t>Développement des Arts Vivants en Massif Central</t>
  </si>
  <si>
    <t>D100b</t>
  </si>
  <si>
    <t>Développement des Arts Vivants en Massif central</t>
  </si>
  <si>
    <t>D100c</t>
  </si>
  <si>
    <t>AVEC Limousin</t>
  </si>
  <si>
    <t>D100d</t>
  </si>
  <si>
    <t>Derrière le Hublot</t>
  </si>
  <si>
    <t>D100e</t>
  </si>
  <si>
    <t>La Nacre</t>
  </si>
  <si>
    <t>D100f</t>
  </si>
  <si>
    <t>Le Lab</t>
  </si>
  <si>
    <t>D100g</t>
  </si>
  <si>
    <t>D108</t>
  </si>
  <si>
    <t>Association Sur le chemin de R.L. Stevenson</t>
  </si>
  <si>
    <t>Animation, Promotion et Développement du chemin de Stevenson</t>
  </si>
  <si>
    <t>D109b</t>
  </si>
  <si>
    <t xml:space="preserve">Acepp Adehl– Ardèche Drome et Haut Lignon  </t>
  </si>
  <si>
    <t>Accueil Parents Enfants en Massif Central 2020</t>
  </si>
  <si>
    <t>D109c</t>
  </si>
  <si>
    <t>ACEPP 46</t>
  </si>
  <si>
    <t>D109d</t>
  </si>
  <si>
    <t>ACEPP Rhône</t>
  </si>
  <si>
    <t>D109e</t>
  </si>
  <si>
    <t>ACEPP 81</t>
  </si>
  <si>
    <t>D109f</t>
  </si>
  <si>
    <t>ACEPP Auvergne</t>
  </si>
  <si>
    <t>MC0004501</t>
  </si>
  <si>
    <t>Conseil départemental de l'Allier</t>
  </si>
  <si>
    <t>Actions de prospection dans le domaine de la santé et du tourisme</t>
  </si>
  <si>
    <t>D110</t>
  </si>
  <si>
    <t>Dde cofi Etat</t>
  </si>
  <si>
    <t>Dde cofi Régions</t>
  </si>
  <si>
    <t>Dde cofi Dpt</t>
  </si>
  <si>
    <t>Date ARC</t>
  </si>
  <si>
    <t>X</t>
  </si>
  <si>
    <t>AURA</t>
  </si>
  <si>
    <t>FEDER Demandé</t>
  </si>
  <si>
    <t>Taux Aide publique</t>
  </si>
  <si>
    <t>Taux FEDER</t>
  </si>
  <si>
    <t>70,00%</t>
  </si>
  <si>
    <t>40,00%</t>
  </si>
  <si>
    <t>0,00%</t>
  </si>
  <si>
    <t>80,00%</t>
  </si>
  <si>
    <t>50,00%</t>
  </si>
  <si>
    <t>Cofinancements annoncés</t>
  </si>
  <si>
    <t>Taux Aide Publique cofi</t>
  </si>
  <si>
    <t>Taux Aide Massif cofi</t>
  </si>
  <si>
    <t>Aide Massif Obtenue</t>
  </si>
  <si>
    <t>Date début operation</t>
  </si>
  <si>
    <t>OCC</t>
  </si>
  <si>
    <t>COOP de France Rhône-Alpes Auvergne</t>
  </si>
  <si>
    <t>Proposition de prestation du réseau Coop de France dans le cadre de la mise en place d'un cluster herbe Massif Central</t>
  </si>
  <si>
    <t>D205</t>
  </si>
  <si>
    <t>DRAAF</t>
  </si>
  <si>
    <t>ARA</t>
  </si>
  <si>
    <t>MC0010310</t>
  </si>
  <si>
    <t>Communauté de Communes du Massif du Sancy</t>
  </si>
  <si>
    <t>CTDD</t>
  </si>
  <si>
    <t>NA</t>
  </si>
  <si>
    <t>Pôle Pleine Nature Grand Sancy</t>
  </si>
  <si>
    <t>30,00%</t>
  </si>
  <si>
    <t>D227</t>
  </si>
  <si>
    <t>Communauté de Communes du Saint Affricain</t>
  </si>
  <si>
    <t xml:space="preserve">Pôle de pleine nature Grands Causses Lévézou - Création d’un pôle d’excellence tourisme équestre : création d’un parcours de TREC et de d’une piste de galop </t>
  </si>
  <si>
    <t>MC0010964</t>
  </si>
  <si>
    <t>D229</t>
  </si>
  <si>
    <t>Communauté de Communes du Quercy Rouergue et des Gorges de l’Aveyron</t>
  </si>
  <si>
    <t>Développement du tourisme pêche et qualification de l’accueil des publics Pleine Nature en Quercy Rouergue et Gorges de l’Aveyron</t>
  </si>
  <si>
    <t>53,58%</t>
  </si>
  <si>
    <t>34,44%</t>
  </si>
  <si>
    <t>82</t>
  </si>
  <si>
    <t>34</t>
  </si>
  <si>
    <t>MC0006607</t>
  </si>
  <si>
    <t>MC0005520</t>
  </si>
  <si>
    <t>MC0005564</t>
  </si>
  <si>
    <t>MC0005471</t>
  </si>
  <si>
    <t>MC0008113</t>
  </si>
  <si>
    <t>MC0005792</t>
  </si>
  <si>
    <t>MC0006214</t>
  </si>
  <si>
    <t>MC0007995</t>
  </si>
  <si>
    <t>MC0006288</t>
  </si>
  <si>
    <t>D231a</t>
  </si>
  <si>
    <t>Réseau CIVAM</t>
  </si>
  <si>
    <t>Agriculture durable de Moyenne Montagne (ADMM)</t>
  </si>
  <si>
    <t>AURA-NA-OCC</t>
  </si>
  <si>
    <t>D231b</t>
  </si>
  <si>
    <t>ADDEAR Loire</t>
  </si>
  <si>
    <t>75,00%</t>
  </si>
  <si>
    <t>D231c</t>
  </si>
  <si>
    <t>APABA</t>
  </si>
  <si>
    <t>D231d</t>
  </si>
  <si>
    <t>Cantadear</t>
  </si>
  <si>
    <t>79,77%</t>
  </si>
  <si>
    <t>D231e</t>
  </si>
  <si>
    <t>FDCIVAM Ardèche</t>
  </si>
  <si>
    <t>D231f</t>
  </si>
  <si>
    <t>FRCIVAM Auvergne</t>
  </si>
  <si>
    <t>D231g</t>
  </si>
  <si>
    <t>FRCIVAM Limousin</t>
  </si>
  <si>
    <t>D231h</t>
  </si>
  <si>
    <t>FRCIVAM Languedoc-Roussillon</t>
  </si>
  <si>
    <t>D231i</t>
  </si>
  <si>
    <t>SOLAGRO</t>
  </si>
  <si>
    <t>Commune de Mons-la-Trivalle</t>
  </si>
  <si>
    <t>Camp de base APN Montagnes du Caroux</t>
  </si>
  <si>
    <t>D233</t>
  </si>
  <si>
    <t>Conservatoire d'Espaces Naturels d'Auvergne</t>
  </si>
  <si>
    <t>Réseau d'Ilôts de Sénescense en Forêts Anciennes - phase 1</t>
  </si>
  <si>
    <t>D225</t>
  </si>
  <si>
    <t>DREAL</t>
  </si>
  <si>
    <t>86,65%</t>
  </si>
  <si>
    <t>39,14%</t>
  </si>
  <si>
    <t>MC0011478</t>
  </si>
  <si>
    <t>Communauté de Communes de Millau Grands Causses</t>
  </si>
  <si>
    <t>La destination VTT et Trail, une nouvelle offre : l’itinérance</t>
  </si>
  <si>
    <t>D238a</t>
  </si>
  <si>
    <t>62,57%</t>
  </si>
  <si>
    <t>29,09%</t>
  </si>
  <si>
    <t>Communauté de communes Larzac et Vallées</t>
  </si>
  <si>
    <t>Création d’une base VTT sur le territoire Larzac Vallées</t>
  </si>
  <si>
    <t>D238b</t>
  </si>
  <si>
    <t>12</t>
  </si>
  <si>
    <t>Equipement d’une offre de services dédiés à la pratique du VTT - Saint-Affrique/Roquefort</t>
  </si>
  <si>
    <t>D238c</t>
  </si>
  <si>
    <t>39,86%</t>
  </si>
  <si>
    <t>19,93%</t>
  </si>
  <si>
    <t>Cité scolaire Jean Jaurés</t>
  </si>
  <si>
    <t>Création d’un parcours de maniabilité de VTT</t>
  </si>
  <si>
    <t>D238d</t>
  </si>
  <si>
    <t>70,98%</t>
  </si>
  <si>
    <t>L'étape</t>
  </si>
  <si>
    <t xml:space="preserve">Acquisition de VTT AE </t>
  </si>
  <si>
    <t>D238e</t>
  </si>
  <si>
    <t>20,00%</t>
  </si>
  <si>
    <t>ROC ET CANYON</t>
  </si>
  <si>
    <t>Le développement de la location de VTT à assistance électrique (VTT AE)</t>
  </si>
  <si>
    <t>D238f</t>
  </si>
  <si>
    <t>MC0011518</t>
  </si>
  <si>
    <t>Communauté d'Aglomération du Bassin de Brive</t>
  </si>
  <si>
    <t>Mise en place d'un poste d'animation, de coordination et de suivi opérationnel</t>
  </si>
  <si>
    <t>D239</t>
  </si>
  <si>
    <t>SCOPELA</t>
  </si>
  <si>
    <t>D241</t>
  </si>
  <si>
    <t>Préserver la biodiversité des Milieux Herbacés Ouverts en développant et en diffusant l’approche Pâtur’Ajuste</t>
  </si>
  <si>
    <t>Syndicat Mixte du Parc naturel régional Périgord-Limousin</t>
  </si>
  <si>
    <t>Préservation de l'ancienneté de la forêt de Rochechouart : expérimenter une méthode de projet basée sur la concertation des acteurs locaux.</t>
  </si>
  <si>
    <t>Centre équestre de la Muse</t>
  </si>
  <si>
    <t xml:space="preserve">Qualification et renforcement du Tourisme équestre par la qualification d’un équipement structurant : construction d’un manège </t>
  </si>
  <si>
    <t>Chambre d'Agriculture du Cantal</t>
  </si>
  <si>
    <t>AP3C Phase 2. Adaptations des Pratiques Culturales au Changement Climatique</t>
  </si>
  <si>
    <t>Chambre d'agriculture de la Corrèze</t>
  </si>
  <si>
    <t>Chambre d'Agriculture de la Creuse</t>
  </si>
  <si>
    <t>Chambre d'Agriculture de Haute-Loire</t>
  </si>
  <si>
    <t>Chambre d'agriculture de la Haute-Vienne</t>
  </si>
  <si>
    <t>Chambre d'agriculture du Lot</t>
  </si>
  <si>
    <t>Chambre d'Agriculture du Puy-de-Dôme</t>
  </si>
  <si>
    <t>IPAMAC</t>
  </si>
  <si>
    <t xml:space="preserve">Forêts Anciennes  - Volet 2 </t>
  </si>
  <si>
    <t>D242</t>
  </si>
  <si>
    <t>D243</t>
  </si>
  <si>
    <t>22,68%</t>
  </si>
  <si>
    <t>D245c</t>
  </si>
  <si>
    <t>D245d</t>
  </si>
  <si>
    <t>D245e</t>
  </si>
  <si>
    <t>78,04%</t>
  </si>
  <si>
    <t>D245f</t>
  </si>
  <si>
    <t>D245g</t>
  </si>
  <si>
    <t>D245h</t>
  </si>
  <si>
    <t>Occ</t>
  </si>
  <si>
    <t>D245l</t>
  </si>
  <si>
    <t>MC0011709</t>
  </si>
  <si>
    <t>D246</t>
  </si>
  <si>
    <t>MC0011721</t>
  </si>
  <si>
    <t>Groupement d'intérêt public interrégional pour le développement du Massif central (GIP Massif central)</t>
  </si>
  <si>
    <t>Communication et animation du PO FEDER interrégional Massif central</t>
  </si>
  <si>
    <t>D247</t>
  </si>
  <si>
    <t>77,82%</t>
  </si>
  <si>
    <t>D207</t>
  </si>
  <si>
    <t>Centre de développement agroalimentaire Ardèche Le Goût</t>
  </si>
  <si>
    <t xml:space="preserve">TERRALIM Producteur de faire Ensemble     </t>
  </si>
  <si>
    <t>MC0009764</t>
  </si>
  <si>
    <t>Communauté de Communes Causses Aigoual Cévennes Terres Solidaires</t>
  </si>
  <si>
    <t>Pôle Nature 4 saisons du Massif de l’Aigoual, territoire d’expériences pleine nature entre Causses et Cévennes</t>
  </si>
  <si>
    <t>D212</t>
  </si>
  <si>
    <t>30</t>
  </si>
  <si>
    <t>26,64%</t>
  </si>
  <si>
    <t>RESSAC. REussir  la co-conception de ServiceS aux entreprises pour améliorer l’Attractivité des territoires et la Compétitivité des entreprises</t>
  </si>
  <si>
    <t>MC0009897</t>
  </si>
  <si>
    <t>Syndicat Mixte du Pays de l'Ardèche Méridionale</t>
  </si>
  <si>
    <t>D213b</t>
  </si>
  <si>
    <t>MC0010073</t>
  </si>
  <si>
    <t>Concrétiser les dynamiques forêt-bois innovantes dans les territoires du Massif central pour favoriser leur attractivité - Territoires forestiers innovants (TFI phase 2)</t>
  </si>
  <si>
    <t>D214a</t>
  </si>
  <si>
    <t>URCOFOR Auvergne-Rhône-Alpes</t>
  </si>
  <si>
    <t>D214b</t>
  </si>
  <si>
    <t>URCOFOR Nouvelle-Aquitaine</t>
  </si>
  <si>
    <t>D214c</t>
  </si>
  <si>
    <t>URCOFOR Occitanie</t>
  </si>
  <si>
    <t>D214d</t>
  </si>
  <si>
    <t>D215</t>
  </si>
  <si>
    <t>LAINAMAC</t>
  </si>
  <si>
    <t>Chaînes de valeur mode et décoration : savoir-faire textiles et matériaux croisés (laine, cuir, textile, peau lainée, bois)</t>
  </si>
  <si>
    <t>NA + OCC</t>
  </si>
  <si>
    <t>MC0010618</t>
  </si>
  <si>
    <t>Extension du réseau de randonnée multi-activités – Phases 2 et 3 / Pôle nature 4 saisons du massif de l’Aigoual</t>
  </si>
  <si>
    <t>D226</t>
  </si>
  <si>
    <t>D245a</t>
  </si>
  <si>
    <t>SIDAM</t>
  </si>
  <si>
    <t>D245b</t>
  </si>
  <si>
    <t>Chambre d'Agriculture de l'Allier</t>
  </si>
  <si>
    <t>D245i</t>
  </si>
  <si>
    <t>Chambre d'Agriculture de la Lozère</t>
  </si>
  <si>
    <t>76,84%</t>
  </si>
  <si>
    <t>D245j</t>
  </si>
  <si>
    <t>Institut de l'élevage</t>
  </si>
  <si>
    <t>D245k</t>
  </si>
  <si>
    <t>Chambre d'Agriculture de l'Aveyron</t>
  </si>
  <si>
    <t>Thematique</t>
  </si>
  <si>
    <t>Bois</t>
  </si>
  <si>
    <t>MOH</t>
  </si>
  <si>
    <t>Attractivité</t>
  </si>
  <si>
    <t>Tourisme</t>
  </si>
  <si>
    <t>Industrie</t>
  </si>
  <si>
    <t>Connaissances dvplt territorial</t>
  </si>
  <si>
    <t>Biodiversité</t>
  </si>
  <si>
    <t>Assistance technique</t>
  </si>
  <si>
    <t>'Avis Cprog précédent'</t>
  </si>
  <si>
    <t>D250a</t>
  </si>
  <si>
    <t>INRA Theix</t>
  </si>
  <si>
    <t>AMONT SAINT NECTAIRE - Qualification multifactorielle des systèmes de production de lait en AOP Saint Nectaire fermier pour la maîtrise sanitaire</t>
  </si>
  <si>
    <t>72,27%</t>
  </si>
  <si>
    <t>Agroalimentaire</t>
  </si>
  <si>
    <t>D250b</t>
  </si>
  <si>
    <t>Interprofession Saint Nectaire</t>
  </si>
  <si>
    <t>D250c</t>
  </si>
  <si>
    <t>Pôle fromager AOP Massif central</t>
  </si>
  <si>
    <t>D250d</t>
  </si>
  <si>
    <t>D250e</t>
  </si>
  <si>
    <t>MC0011890</t>
  </si>
  <si>
    <t>D222a</t>
  </si>
  <si>
    <t>70,08%</t>
  </si>
  <si>
    <t>D240</t>
  </si>
  <si>
    <t>Pôle d’équilibre territorial et rural du Pays Midi-Quercy</t>
  </si>
  <si>
    <t>Pôle de pleine nature Gorges de l’Aveyron</t>
  </si>
  <si>
    <t>73,79%</t>
  </si>
  <si>
    <t>MC0011966</t>
  </si>
  <si>
    <t>MC0012142</t>
  </si>
  <si>
    <t>30,34%</t>
  </si>
  <si>
    <t>MC0012152</t>
  </si>
  <si>
    <t>D249</t>
  </si>
  <si>
    <t>Chambre des Métiers de la Haute-Vienne</t>
  </si>
  <si>
    <t>RIIF (Réseau Intermassif Innovation Funéraire)</t>
  </si>
  <si>
    <t>NA-OCC</t>
  </si>
  <si>
    <t>Pierre</t>
  </si>
  <si>
    <t>Feder Auvergne : 49820</t>
  </si>
  <si>
    <t>Etat : DETR</t>
  </si>
  <si>
    <t>N-A</t>
  </si>
  <si>
    <t>Crédits Etat déjà engagés</t>
  </si>
  <si>
    <t>Redynamisation du centre-bourg</t>
  </si>
  <si>
    <t>D263</t>
  </si>
  <si>
    <t>D264</t>
  </si>
  <si>
    <t>Communauté de communes Uzerche</t>
  </si>
  <si>
    <t>Communauté de communes Bourganeuf</t>
  </si>
  <si>
    <t>D265</t>
  </si>
  <si>
    <t>D251</t>
  </si>
  <si>
    <t>Commune de Commentry</t>
  </si>
  <si>
    <t>Animation et déploiement de la plateforme Dynamique territoriale</t>
  </si>
  <si>
    <t>D266</t>
  </si>
  <si>
    <t>Commune de  Montmarault</t>
  </si>
  <si>
    <t>opération collaborative</t>
  </si>
  <si>
    <t>Colonne1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</si>
</sst>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0" x14ac:knownFonts="1">
    <font>
      <sz val="11"/>
      <color theme="1"/>
      <name val="Calibri"/>
      <family val="2"/>
      <scheme val="minor"/>
    </font>
    <font>
      <b/>
      <sz val="11"/>
      <color theme="1"/>
      <name val="Calibri"/>
      <family val="2"/>
      <scheme val="minor"/>
    </font>
    <font>
      <sz val="11"/>
      <name val="Calibri"/>
      <family val="2"/>
      <scheme val="minor"/>
    </font>
    <font>
      <sz val="11"/>
      <name val="Calibri"/>
      <family val="2"/>
      <scheme val="minor"/>
    </font>
    <font>
      <sz val="11"/>
      <name val="Calibri"/>
      <family val="2"/>
      <scheme val="minor"/>
    </font>
    <font>
      <sz val="12"/>
      <color rgb="FF000000"/>
      <name val="Times New Roman"/>
      <family val="1"/>
    </font>
    <font>
      <sz val="11"/>
      <name val="Calibri"/>
      <family val="2"/>
      <scheme val="minor"/>
    </font>
    <font>
      <sz val="11"/>
      <color theme="1"/>
      <name val="Calibri"/>
      <family val="2"/>
      <scheme val="minor"/>
    </font>
    <font>
      <sz val="9"/>
      <color indexed="81"/>
      <name val="Tahoma"/>
      <family val="2"/>
    </font>
    <font>
      <b/>
      <sz val="9"/>
      <color indexed="81"/>
      <name val="Tahoma"/>
      <family val="2"/>
    </font>
  </fonts>
  <fills count="7">
    <fill>
      <patternFill patternType="none"/>
    </fill>
    <fill>
      <patternFill patternType="gray125"/>
    </fill>
    <fill>
      <patternFill patternType="solid">
        <fgColor theme="7" tint="-0.249977111117893"/>
        <bgColor indexed="64"/>
      </patternFill>
    </fill>
    <fill>
      <patternFill patternType="solid">
        <fgColor rgb="FF92D050"/>
        <bgColor indexed="64"/>
      </patternFill>
    </fill>
    <fill>
      <patternFill patternType="solid">
        <fgColor theme="0"/>
        <bgColor indexed="64"/>
      </patternFill>
    </fill>
    <fill>
      <patternFill patternType="solid">
        <fgColor rgb="FF7030A0"/>
        <bgColor indexed="64"/>
      </patternFill>
    </fill>
    <fill>
      <patternFill patternType="solid">
        <fgColor rgb="FF0070C0"/>
        <bgColor indexed="64"/>
      </patternFill>
    </fill>
  </fills>
  <borders count="10">
    <border>
      <left/>
      <right/>
      <top/>
      <bottom/>
      <diagonal/>
    </border>
    <border>
      <left/>
      <right/>
      <top style="thin">
        <color rgb="FFC00000"/>
      </top>
      <bottom style="thin">
        <color rgb="FFC0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xf numFmtId="44" fontId="7" fillId="0" borderId="0" applyFont="0" applyFill="0" applyBorder="0" applyAlignment="0" applyProtection="0"/>
  </cellStyleXfs>
  <cellXfs count="78">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vertical="center"/>
    </xf>
    <xf numFmtId="4" fontId="0" fillId="0" borderId="0" xfId="0" applyNumberFormat="1" applyAlignment="1">
      <alignment vertical="center"/>
    </xf>
    <xf numFmtId="0" fontId="0" fillId="0" borderId="0" xfId="0" applyAlignment="1">
      <alignment horizontal="center" vertical="center"/>
    </xf>
    <xf numFmtId="4" fontId="0" fillId="0" borderId="0" xfId="0" applyNumberFormat="1" applyAlignment="1">
      <alignment vertical="center" wrapText="1"/>
    </xf>
    <xf numFmtId="10" fontId="0" fillId="0" borderId="0" xfId="0" applyNumberFormat="1" applyAlignment="1">
      <alignment vertical="center" wrapText="1"/>
    </xf>
    <xf numFmtId="4" fontId="0" fillId="0" borderId="0" xfId="0" applyNumberFormat="1" applyAlignment="1">
      <alignment horizontal="center" vertical="center" wrapText="1"/>
    </xf>
    <xf numFmtId="4" fontId="0" fillId="0" borderId="0" xfId="0" applyNumberFormat="1" applyFill="1" applyAlignment="1">
      <alignment vertical="center" wrapText="1"/>
    </xf>
    <xf numFmtId="4" fontId="0" fillId="2" borderId="0" xfId="0" applyNumberFormat="1" applyFill="1" applyAlignment="1">
      <alignment vertical="center" wrapText="1"/>
    </xf>
    <xf numFmtId="0" fontId="0" fillId="0" borderId="0" xfId="0" applyFill="1" applyAlignment="1">
      <alignment vertical="center" wrapText="1"/>
    </xf>
    <xf numFmtId="0" fontId="0" fillId="0" borderId="0" xfId="0" applyFill="1" applyAlignment="1">
      <alignment horizontal="center" vertical="center" wrapText="1"/>
    </xf>
    <xf numFmtId="10" fontId="0" fillId="0" borderId="0" xfId="0" applyNumberFormat="1" applyFill="1" applyAlignment="1">
      <alignment vertical="center" wrapText="1"/>
    </xf>
    <xf numFmtId="0" fontId="0" fillId="0" borderId="0" xfId="0" applyFill="1" applyAlignment="1">
      <alignment vertical="center"/>
    </xf>
    <xf numFmtId="4" fontId="0" fillId="0" borderId="0" xfId="0" applyNumberFormat="1" applyFill="1" applyAlignment="1">
      <alignment horizontal="center" vertical="center" wrapText="1"/>
    </xf>
    <xf numFmtId="10" fontId="2" fillId="0" borderId="0" xfId="0" applyNumberFormat="1" applyFont="1" applyFill="1" applyAlignment="1">
      <alignment vertical="center" wrapText="1"/>
    </xf>
    <xf numFmtId="14" fontId="0" fillId="0" borderId="0" xfId="0" applyNumberFormat="1" applyFill="1" applyAlignment="1">
      <alignment horizontal="center" vertical="center" wrapText="1"/>
    </xf>
    <xf numFmtId="14" fontId="0" fillId="0" borderId="0" xfId="0" applyNumberFormat="1" applyFill="1" applyAlignment="1">
      <alignment vertical="center" wrapText="1"/>
    </xf>
    <xf numFmtId="4" fontId="0" fillId="0" borderId="0" xfId="0" applyNumberFormat="1" applyFill="1" applyAlignment="1">
      <alignment vertical="center"/>
    </xf>
    <xf numFmtId="10" fontId="4" fillId="0" borderId="0" xfId="0" applyNumberFormat="1" applyFont="1" applyFill="1" applyAlignment="1">
      <alignment vertical="center" wrapText="1"/>
    </xf>
    <xf numFmtId="4" fontId="0" fillId="3" borderId="0" xfId="0" applyNumberFormat="1" applyFill="1" applyAlignment="1">
      <alignment vertical="center" wrapText="1"/>
    </xf>
    <xf numFmtId="4" fontId="0" fillId="4" borderId="0" xfId="0" applyNumberFormat="1" applyFill="1" applyAlignment="1">
      <alignment vertical="center" wrapText="1"/>
    </xf>
    <xf numFmtId="9" fontId="0" fillId="4" borderId="0" xfId="0" applyNumberFormat="1" applyFill="1" applyAlignment="1">
      <alignment horizontal="center" vertical="center" wrapText="1"/>
    </xf>
    <xf numFmtId="4" fontId="0" fillId="5" borderId="3" xfId="0" applyNumberFormat="1" applyFill="1" applyBorder="1" applyAlignment="1">
      <alignment vertical="center" wrapText="1"/>
    </xf>
    <xf numFmtId="4" fontId="0" fillId="5" borderId="0" xfId="0" applyNumberFormat="1" applyFill="1" applyBorder="1" applyAlignment="1">
      <alignment vertical="center" wrapText="1"/>
    </xf>
    <xf numFmtId="4" fontId="0" fillId="5" borderId="8" xfId="0" applyNumberFormat="1" applyFill="1" applyBorder="1" applyAlignment="1">
      <alignment vertical="center" wrapText="1"/>
    </xf>
    <xf numFmtId="4" fontId="0" fillId="5" borderId="0" xfId="0" applyNumberFormat="1" applyFill="1" applyAlignment="1">
      <alignment vertical="center" wrapText="1"/>
    </xf>
    <xf numFmtId="0" fontId="0" fillId="4" borderId="0" xfId="0" applyFill="1" applyAlignment="1">
      <alignment horizontal="center" vertical="center" wrapText="1"/>
    </xf>
    <xf numFmtId="4" fontId="0" fillId="4" borderId="0" xfId="0" applyNumberFormat="1" applyFill="1" applyAlignment="1">
      <alignment horizontal="center" vertical="center" wrapText="1"/>
    </xf>
    <xf numFmtId="14" fontId="0" fillId="4" borderId="0" xfId="0" applyNumberFormat="1" applyFill="1" applyAlignment="1">
      <alignment vertical="center" wrapText="1"/>
    </xf>
    <xf numFmtId="0" fontId="0" fillId="4" borderId="0" xfId="0" applyFill="1" applyAlignment="1">
      <alignment vertical="center" wrapText="1"/>
    </xf>
    <xf numFmtId="14" fontId="0" fillId="4" borderId="0" xfId="0" applyNumberFormat="1" applyFill="1" applyAlignment="1">
      <alignment horizontal="center" vertical="center" wrapText="1"/>
    </xf>
    <xf numFmtId="10" fontId="0" fillId="4" borderId="0" xfId="0" applyNumberFormat="1" applyFill="1" applyAlignment="1">
      <alignment vertical="center" wrapText="1"/>
    </xf>
    <xf numFmtId="10" fontId="2" fillId="4" borderId="0" xfId="0" applyNumberFormat="1" applyFont="1" applyFill="1" applyAlignment="1">
      <alignment vertical="center" wrapText="1"/>
    </xf>
    <xf numFmtId="4" fontId="0" fillId="6" borderId="1" xfId="0" applyNumberFormat="1" applyFill="1" applyBorder="1" applyAlignment="1">
      <alignment vertical="center" wrapText="1"/>
    </xf>
    <xf numFmtId="4" fontId="0" fillId="3" borderId="0" xfId="0" applyNumberFormat="1" applyFill="1" applyAlignment="1">
      <alignment vertical="center" wrapText="1"/>
    </xf>
    <xf numFmtId="9" fontId="0" fillId="0" borderId="0" xfId="0" applyNumberFormat="1" applyFill="1" applyAlignment="1">
      <alignment horizontal="center" vertical="center" wrapText="1"/>
    </xf>
    <xf numFmtId="0" fontId="0" fillId="0" borderId="2" xfId="0" applyFill="1" applyBorder="1" applyAlignment="1">
      <alignment horizontal="center" vertical="center" wrapText="1"/>
    </xf>
    <xf numFmtId="4" fontId="0" fillId="0" borderId="3" xfId="0" applyNumberFormat="1" applyFill="1" applyBorder="1" applyAlignment="1">
      <alignment horizontal="center" vertical="center" wrapText="1"/>
    </xf>
    <xf numFmtId="14" fontId="0" fillId="0" borderId="3" xfId="0" applyNumberFormat="1" applyFill="1" applyBorder="1" applyAlignment="1">
      <alignment vertical="center" wrapText="1"/>
    </xf>
    <xf numFmtId="0" fontId="0" fillId="0" borderId="3" xfId="0" applyFill="1" applyBorder="1" applyAlignment="1">
      <alignment vertical="center" wrapText="1"/>
    </xf>
    <xf numFmtId="4" fontId="0" fillId="0" borderId="3" xfId="0" applyNumberFormat="1" applyFill="1" applyBorder="1" applyAlignment="1">
      <alignment vertical="center" wrapText="1"/>
    </xf>
    <xf numFmtId="14" fontId="0" fillId="0" borderId="3" xfId="0" applyNumberFormat="1" applyFill="1" applyBorder="1" applyAlignment="1">
      <alignment horizontal="center" vertical="center" wrapText="1"/>
    </xf>
    <xf numFmtId="10" fontId="0" fillId="0" borderId="3" xfId="0" applyNumberFormat="1" applyFill="1" applyBorder="1" applyAlignment="1">
      <alignment vertical="center" wrapText="1"/>
    </xf>
    <xf numFmtId="10" fontId="2" fillId="0" borderId="3" xfId="0" applyNumberFormat="1" applyFont="1" applyFill="1" applyBorder="1" applyAlignment="1">
      <alignment vertical="center" wrapText="1"/>
    </xf>
    <xf numFmtId="0" fontId="0" fillId="0" borderId="5" xfId="0" applyFill="1" applyBorder="1" applyAlignment="1">
      <alignment horizontal="center" vertical="center" wrapText="1"/>
    </xf>
    <xf numFmtId="4" fontId="0" fillId="0" borderId="0" xfId="0" applyNumberFormat="1" applyFill="1" applyBorder="1" applyAlignment="1">
      <alignment horizontal="center" vertical="center" wrapText="1"/>
    </xf>
    <xf numFmtId="14" fontId="0" fillId="0" borderId="0" xfId="0" applyNumberFormat="1" applyFill="1" applyBorder="1" applyAlignment="1">
      <alignment vertical="center" wrapText="1"/>
    </xf>
    <xf numFmtId="0" fontId="0" fillId="0" borderId="0" xfId="0" applyFill="1" applyBorder="1" applyAlignment="1">
      <alignment vertical="center" wrapText="1"/>
    </xf>
    <xf numFmtId="4" fontId="0" fillId="0" borderId="0" xfId="0" applyNumberFormat="1" applyFill="1" applyBorder="1" applyAlignment="1">
      <alignment vertical="center" wrapText="1"/>
    </xf>
    <xf numFmtId="14" fontId="0" fillId="0" borderId="0" xfId="0" applyNumberFormat="1" applyFill="1" applyBorder="1" applyAlignment="1">
      <alignment horizontal="center" vertical="center" wrapText="1"/>
    </xf>
    <xf numFmtId="10" fontId="0" fillId="0" borderId="0" xfId="0" applyNumberFormat="1" applyFill="1" applyBorder="1" applyAlignment="1">
      <alignment vertical="center" wrapText="1"/>
    </xf>
    <xf numFmtId="10" fontId="2" fillId="0" borderId="0" xfId="0" applyNumberFormat="1" applyFont="1" applyFill="1" applyBorder="1" applyAlignment="1">
      <alignment vertical="center" wrapText="1"/>
    </xf>
    <xf numFmtId="0" fontId="0" fillId="0" borderId="7" xfId="0" applyFill="1" applyBorder="1" applyAlignment="1">
      <alignment horizontal="center" vertical="center" wrapText="1"/>
    </xf>
    <xf numFmtId="4" fontId="0" fillId="0" borderId="8" xfId="0" applyNumberFormat="1" applyFill="1" applyBorder="1" applyAlignment="1">
      <alignment horizontal="center" vertical="center" wrapText="1"/>
    </xf>
    <xf numFmtId="14" fontId="0" fillId="0" borderId="8" xfId="0" applyNumberFormat="1" applyFill="1" applyBorder="1" applyAlignment="1">
      <alignment vertical="center" wrapText="1"/>
    </xf>
    <xf numFmtId="0" fontId="0" fillId="0" borderId="8" xfId="0" applyFill="1" applyBorder="1" applyAlignment="1">
      <alignment vertical="center" wrapText="1"/>
    </xf>
    <xf numFmtId="4" fontId="0" fillId="0" borderId="8" xfId="0" applyNumberFormat="1" applyFill="1" applyBorder="1" applyAlignment="1">
      <alignment vertical="center" wrapText="1"/>
    </xf>
    <xf numFmtId="14" fontId="0" fillId="0" borderId="8" xfId="0" applyNumberFormat="1" applyFill="1" applyBorder="1" applyAlignment="1">
      <alignment horizontal="center" vertical="center" wrapText="1"/>
    </xf>
    <xf numFmtId="10" fontId="0" fillId="0" borderId="8" xfId="0" applyNumberFormat="1" applyFill="1" applyBorder="1" applyAlignment="1">
      <alignment vertical="center" wrapText="1"/>
    </xf>
    <xf numFmtId="10" fontId="2" fillId="0" borderId="8" xfId="0" applyNumberFormat="1" applyFont="1" applyFill="1" applyBorder="1" applyAlignment="1">
      <alignment vertical="center" wrapText="1"/>
    </xf>
    <xf numFmtId="0" fontId="5" fillId="0" borderId="4" xfId="0" applyFont="1" applyFill="1" applyBorder="1"/>
    <xf numFmtId="4" fontId="0" fillId="0" borderId="6" xfId="0" applyNumberFormat="1" applyFill="1" applyBorder="1" applyAlignment="1">
      <alignment vertical="center" wrapText="1"/>
    </xf>
    <xf numFmtId="4" fontId="0" fillId="0" borderId="9" xfId="0" applyNumberFormat="1" applyFill="1" applyBorder="1" applyAlignment="1">
      <alignment vertical="center" wrapText="1"/>
    </xf>
    <xf numFmtId="10" fontId="3" fillId="0" borderId="0" xfId="0" applyNumberFormat="1" applyFont="1" applyFill="1" applyAlignment="1">
      <alignment vertical="center" wrapText="1"/>
    </xf>
    <xf numFmtId="10" fontId="3" fillId="0" borderId="3" xfId="0" applyNumberFormat="1" applyFont="1" applyFill="1" applyBorder="1" applyAlignment="1">
      <alignment vertical="center" wrapText="1"/>
    </xf>
    <xf numFmtId="10" fontId="3" fillId="0" borderId="0" xfId="0" applyNumberFormat="1" applyFont="1" applyFill="1" applyBorder="1" applyAlignment="1">
      <alignment vertical="center" wrapText="1"/>
    </xf>
    <xf numFmtId="10" fontId="3" fillId="0" borderId="8" xfId="0" applyNumberFormat="1" applyFont="1" applyFill="1" applyBorder="1" applyAlignment="1">
      <alignment vertical="center" wrapText="1"/>
    </xf>
    <xf numFmtId="4" fontId="0" fillId="0" borderId="4" xfId="0" applyNumberFormat="1" applyFill="1" applyBorder="1" applyAlignment="1">
      <alignment vertical="center" wrapText="1"/>
    </xf>
    <xf numFmtId="4" fontId="0" fillId="0" borderId="0" xfId="0" applyNumberFormat="1" applyFill="1" applyAlignment="1">
      <alignment vertical="center" wrapText="1"/>
    </xf>
    <xf numFmtId="0" fontId="0" fillId="0" borderId="0" xfId="0" applyFill="1" applyAlignment="1">
      <alignment vertical="center" wrapText="1"/>
    </xf>
    <xf numFmtId="10" fontId="6" fillId="0" borderId="0" xfId="0" applyNumberFormat="1" applyFont="1" applyFill="1" applyAlignment="1">
      <alignment vertical="center" wrapText="1"/>
    </xf>
    <xf numFmtId="10" fontId="0" fillId="0" borderId="0" xfId="0" applyNumberFormat="1" applyFill="1" applyAlignment="1">
      <alignment horizontal="center" vertical="center" wrapText="1"/>
    </xf>
    <xf numFmtId="0" fontId="0" fillId="0" borderId="0" xfId="0" applyFill="1" applyBorder="1" applyAlignment="1">
      <alignment horizontal="center" vertical="center" wrapText="1"/>
    </xf>
    <xf numFmtId="44" fontId="0" fillId="0" borderId="0" xfId="1" applyFont="1" applyFill="1" applyAlignment="1">
      <alignment vertical="center"/>
    </xf>
    <xf numFmtId="9" fontId="0" fillId="0" borderId="0" xfId="0" applyNumberFormat="1" applyFill="1" applyBorder="1" applyAlignment="1">
      <alignment horizontal="center" vertical="center" wrapText="1"/>
    </xf>
    <xf numFmtId="0" fontId="1" fillId="0" borderId="0" xfId="0" applyFont="1" applyFill="1" applyAlignment="1">
      <alignment horizontal="center" vertical="center"/>
    </xf>
  </cellXfs>
  <cellStyles count="2">
    <cellStyle name="Monétaire" xfId="1" builtinId="4"/>
    <cellStyle name="Normal" xfId="0" builtinId="0"/>
  </cellStyles>
  <dxfs count="220">
    <dxf>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numFmt numFmtId="1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1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4" formatCode="#,##0.00"/>
      <alignment horizontal="center" vertical="center" textRotation="0" wrapText="1" indent="0" justifyLastLine="0" shrinkToFit="0" readingOrder="0"/>
    </dxf>
    <dxf>
      <alignment horizontal="general" vertical="center" textRotation="0" wrapText="1" indent="0" justifyLastLine="0" shrinkToFit="0" readingOrder="0"/>
    </dxf>
    <dxf>
      <numFmt numFmtId="4" formatCode="#,##0.00"/>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vertical="center" textRotation="0" wrapText="1"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ont>
        <b/>
        <i val="0"/>
        <color rgb="FFFF0000"/>
      </font>
    </dxf>
    <dxf>
      <font>
        <b/>
        <i val="0"/>
        <color rgb="FF00B050"/>
      </font>
    </dxf>
    <dxf>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auto="1"/>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19" formatCode="dd/mm/yyyy"/>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19" formatCode="dd/mm/yyyy"/>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1"/>
        <color auto="1"/>
        <name val="Calibri"/>
        <scheme val="minor"/>
      </font>
      <numFmt numFmtId="1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1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19" formatCode="dd/mm/yyyy"/>
      <fill>
        <patternFill patternType="none">
          <fgColor indexed="64"/>
          <bgColor indexed="65"/>
        </patternFill>
      </fill>
      <alignment horizontal="center"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center"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center"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center"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19" formatCode="dd/mm/yyyy"/>
      <fill>
        <patternFill patternType="none">
          <fgColor indexed="64"/>
          <bgColor indexed="65"/>
        </patternFill>
      </fill>
      <alignment horizontal="center"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center"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19" formatCode="dd/mm/yyyy"/>
      <fill>
        <patternFill patternType="none">
          <fgColor indexed="64"/>
          <bgColor indexed="65"/>
        </patternFill>
      </fill>
      <alignment horizontal="center"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19" formatCode="dd/mm/yyyy"/>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center"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center"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center" vertical="center" textRotation="0" wrapText="1" indent="0" justifyLastLine="0" shrinkToFit="0" readingOrder="0"/>
    </dxf>
    <dxf>
      <fill>
        <patternFill patternType="none">
          <fgColor indexed="64"/>
          <bgColor auto="1"/>
        </patternFill>
      </fill>
      <alignment vertical="center" textRotation="0" wrapText="1"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bgColor rgb="FF92D050"/>
        </patternFill>
      </fill>
    </dxf>
    <dxf>
      <fill>
        <patternFill>
          <bgColor rgb="FFFF0000"/>
        </patternFill>
      </fill>
    </dxf>
    <dxf>
      <font>
        <b/>
        <i val="0"/>
        <color rgb="FFFF0000"/>
      </font>
    </dxf>
    <dxf>
      <font>
        <b/>
        <i val="0"/>
        <color rgb="FF00B050"/>
      </font>
    </dxf>
    <dxf>
      <font>
        <b/>
        <i val="0"/>
        <color rgb="FFFF0000"/>
      </font>
    </dxf>
    <dxf>
      <font>
        <b/>
        <i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queryTables/queryTable1.xml><?xml version="1.0" encoding="utf-8"?>
<queryTable xmlns="http://schemas.openxmlformats.org/spreadsheetml/2006/main" name="Lancer la requête à partir de Excel Files" adjustColumnWidth="0" connectionId="1" autoFormatId="16" applyNumberFormats="0" applyBorderFormats="0" applyFontFormats="0" applyPatternFormats="0" applyAlignmentFormats="0" applyWidthHeightFormats="0">
  <queryTableRefresh nextId="151" unboundColumnsRight="2">
    <queryTableFields count="57">
      <queryTableField id="1" name="Programme" tableColumnId="1"/>
      <queryTableField id="84" name="ID_dossier GIP" tableColumnId="50"/>
      <queryTableField id="48" name="ID_Synergie" tableColumnId="43"/>
      <queryTableField id="146" name="Thematique" tableColumnId="57"/>
      <queryTableField id="2" name="Nom_MO" tableColumnId="2"/>
      <queryTableField id="3" name="Intitule_Operation" tableColumnId="3"/>
      <queryTableField id="4" name="Coût total déposé" tableColumnId="4"/>
      <queryTableField id="5" name="Aide Publique demandée" tableColumnId="5"/>
      <queryTableField id="135" name="Taux Aide publique" tableColumnId="47"/>
      <queryTableField id="133" name="FEDER Demandé" tableColumnId="45"/>
      <queryTableField id="136" name="Taux FEDER" tableColumnId="48"/>
      <queryTableField id="129" name="Dde cofi Etat" tableColumnId="13"/>
      <queryTableField id="130" name="Dde cofi Régions" tableColumnId="14"/>
      <queryTableField id="131" name="Dde cofi Dpt" tableColumnId="15"/>
      <queryTableField id="132" name="Date ARC" tableColumnId="17"/>
      <queryTableField id="92" dataBound="0" tableColumnId="6"/>
      <queryTableField id="44" dataBound="0" tableColumnId="44"/>
      <queryTableField id="40" dataBound="0" tableColumnId="40"/>
      <queryTableField id="42" dataBound="0" tableColumnId="42"/>
      <queryTableField id="41" dataBound="0" tableColumnId="41"/>
      <queryTableField id="89" dataBound="0" tableColumnId="52"/>
      <queryTableField id="7" name="FNADT_FN2" tableColumnId="7"/>
      <queryTableField id="125" name="AgricultureFN2" tableColumnId="8"/>
      <queryTableField id="90" dataBound="0" tableColumnId="54"/>
      <queryTableField id="95" name="ALPC_FN2" tableColumnId="11"/>
      <queryTableField id="50" name="AURA_FN2" tableColumnId="9"/>
      <queryTableField id="94" name="BFC_FN2" tableColumnId="10"/>
      <queryTableField id="55" name="LRMP_FN2" tableColumnId="16"/>
      <queryTableField id="91" dataBound="0" tableColumnId="55"/>
      <queryTableField id="57" name="03_FN2" tableColumnId="18"/>
      <queryTableField id="58" name="07_FN2" tableColumnId="19"/>
      <queryTableField id="59" name="11_FN2" tableColumnId="20"/>
      <queryTableField id="60" name="12_FN2" tableColumnId="21"/>
      <queryTableField id="61" name="15_FN2" tableColumnId="22"/>
      <queryTableField id="62" name="19_FN2" tableColumnId="23"/>
      <queryTableField id="63" name="21_FN2" tableColumnId="24"/>
      <queryTableField id="64" name="23_FN2" tableColumnId="25"/>
      <queryTableField id="65" name="30_FN2" tableColumnId="26"/>
      <queryTableField id="66" name="34_FN2" tableColumnId="27"/>
      <queryTableField id="67" name="42_FN2" tableColumnId="28"/>
      <queryTableField id="68" name="43_FN2" tableColumnId="29"/>
      <queryTableField id="69" name="46_FN2" tableColumnId="30"/>
      <queryTableField id="70" name="48_FN2" tableColumnId="31"/>
      <queryTableField id="71" name="58_FN2" tableColumnId="32"/>
      <queryTableField id="72" name="63_FN2" tableColumnId="33"/>
      <queryTableField id="73" name="69_FN2" tableColumnId="34"/>
      <queryTableField id="74" name="71_FN2" tableColumnId="35"/>
      <queryTableField id="75" name="81_FN2" tableColumnId="36"/>
      <queryTableField id="76" name="82_FN2" tableColumnId="37"/>
      <queryTableField id="77" name="87_FN2" tableColumnId="38"/>
      <queryTableField id="78" name="89_FN2" tableColumnId="39"/>
      <queryTableField id="79" name="Autre Public2" tableColumnId="46"/>
      <queryTableField id="88" name="'Prévisionnel FEDER'" tableColumnId="51"/>
      <queryTableField id="144" name="Date début operation" tableColumnId="53"/>
      <queryTableField id="148" name="'Avis Cprog précédent'" tableColumnId="58"/>
      <queryTableField id="87" dataBound="0" tableColumnId="49"/>
      <queryTableField id="150" dataBound="0" tableColumnId="12"/>
    </queryTableFields>
    <queryTableDeletedFields count="3">
      <deletedField name="Total_Etat_FN2"/>
      <deletedField name="Total_Regions_FN2"/>
      <deletedField name="Total_Dpts_FN2"/>
    </queryTableDeletedFields>
  </queryTableRefresh>
</queryTable>
</file>

<file path=xl/queryTables/queryTable2.xml><?xml version="1.0" encoding="utf-8"?>
<queryTable xmlns="http://schemas.openxmlformats.org/spreadsheetml/2006/main" name="Lancer la requête à partir de Excel Files" adjustColumnWidth="0" connectionId="2" autoFormatId="16" applyNumberFormats="0" applyBorderFormats="0" applyFontFormats="0" applyPatternFormats="0" applyAlignmentFormats="0" applyWidthHeightFormats="0">
  <queryTableRefresh nextId="171" unboundColumnsRight="1">
    <queryTableFields count="46">
      <queryTableField id="1" name="Programme" tableColumnId="1"/>
      <queryTableField id="84" name="ID_dossier GIP" tableColumnId="50"/>
      <queryTableField id="48" name="ID_Synergie" tableColumnId="43"/>
      <queryTableField id="2" name="Nom_MO" tableColumnId="2"/>
      <queryTableField id="3" name="Intitule_Operation" tableColumnId="3"/>
      <queryTableField id="4" name="Coût total déposé" tableColumnId="4"/>
      <queryTableField id="128" name="Coût total Eligible FEDER" tableColumnId="12"/>
      <queryTableField id="131" dataBound="0" tableColumnId="13"/>
      <queryTableField id="92" dataBound="0" tableColumnId="6"/>
      <queryTableField id="44" dataBound="0" tableColumnId="44"/>
      <queryTableField id="40" dataBound="0" tableColumnId="40"/>
      <queryTableField id="42" dataBound="0" tableColumnId="42"/>
      <queryTableField id="89" dataBound="0" tableColumnId="52"/>
      <queryTableField id="133" name="'FNADT'" tableColumnId="15"/>
      <queryTableField id="134" name="'Agriculture'" tableColumnId="16"/>
      <queryTableField id="90" dataBound="0" tableColumnId="54"/>
      <queryTableField id="138" name="'ALPC'" tableColumnId="20"/>
      <queryTableField id="136" name="'AURA'" tableColumnId="18"/>
      <queryTableField id="137" name="'BFC'" tableColumnId="19"/>
      <queryTableField id="139" name="'LRMP'" tableColumnId="21"/>
      <queryTableField id="91" dataBound="0" tableColumnId="55"/>
      <queryTableField id="141" name="'03'" tableColumnId="23"/>
      <queryTableField id="142" name="'07'" tableColumnId="24"/>
      <queryTableField id="143" name="'11'" tableColumnId="25"/>
      <queryTableField id="144" name="'12'" tableColumnId="26"/>
      <queryTableField id="145" name="'15'" tableColumnId="27"/>
      <queryTableField id="146" name="'19'" tableColumnId="28"/>
      <queryTableField id="147" name="'21'" tableColumnId="29"/>
      <queryTableField id="148" name="'23'" tableColumnId="30"/>
      <queryTableField id="149" name="'30'" tableColumnId="31"/>
      <queryTableField id="150" name="'34'" tableColumnId="32"/>
      <queryTableField id="151" name="'42'" tableColumnId="33"/>
      <queryTableField id="152" name="'43'" tableColumnId="34"/>
      <queryTableField id="153" name="'46'" tableColumnId="35"/>
      <queryTableField id="154" name="'48'" tableColumnId="36"/>
      <queryTableField id="155" name="'58'" tableColumnId="37"/>
      <queryTableField id="156" name="'63'" tableColumnId="38"/>
      <queryTableField id="157" name="'69'" tableColumnId="39"/>
      <queryTableField id="158" name="'71'" tableColumnId="41"/>
      <queryTableField id="159" name="'81'" tableColumnId="45"/>
      <queryTableField id="160" name="'82'" tableColumnId="47"/>
      <queryTableField id="161" name="'87'" tableColumnId="48"/>
      <queryTableField id="162" name="'89'" tableColumnId="51"/>
      <queryTableField id="163" name="'FEDER'" tableColumnId="53"/>
      <queryTableField id="164" name="'Autre Public'" tableColumnId="56"/>
      <queryTableField id="87" dataBound="0" tableColumnId="49"/>
    </queryTableFields>
    <queryTableDeletedFields count="7">
      <deletedField name="Total_Etat_FN2"/>
      <deletedField name="Total_Regions_FN2"/>
      <deletedField name="Total_Dpts_FN2"/>
      <deletedField name="Aide Publique demandée"/>
      <deletedField name="'Régions'"/>
      <deletedField name="'Etat'"/>
      <deletedField name="'Dpts'"/>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 name="Tableau_Lancer_la_requête_à_partir_de_Excel_Files" displayName="Tableau_Lancer_la_requête_à_partir_de_Excel_Files" ref="A2:BE63" tableType="queryTable" totalsRowCount="1" headerRowDxfId="213" dataDxfId="212" totalsRowDxfId="211">
  <autoFilter ref="A2:BE62"/>
  <sortState ref="A3:BD107">
    <sortCondition ref="B2:B121"/>
  </sortState>
  <tableColumns count="57">
    <tableColumn id="1" uniqueName="1" name="Programme" totalsRowLabel="Total" queryTableFieldId="1" dataDxfId="210" totalsRowDxfId="209"/>
    <tableColumn id="50" uniqueName="50" name="ID_dossier GIP" totalsRowFunction="count" queryTableFieldId="84" dataDxfId="208" totalsRowDxfId="207"/>
    <tableColumn id="43" uniqueName="43" name="ID_Synergie" totalsRowFunction="count" queryTableFieldId="48" dataDxfId="206" totalsRowDxfId="205"/>
    <tableColumn id="57" uniqueName="57" name="Thematique" queryTableFieldId="146" dataDxfId="204" totalsRowDxfId="203"/>
    <tableColumn id="2" uniqueName="2" name="Nom_MO" queryTableFieldId="2" dataDxfId="202" totalsRowDxfId="201"/>
    <tableColumn id="3" uniqueName="3" name="Intitule_Operation" queryTableFieldId="3" dataDxfId="200" totalsRowDxfId="199"/>
    <tableColumn id="4" uniqueName="4" name="Coût total déposé" totalsRowFunction="sum" queryTableFieldId="4" dataDxfId="198" totalsRowDxfId="197"/>
    <tableColumn id="5" uniqueName="5" name="Aide Publique demandée" totalsRowFunction="sum" queryTableFieldId="5" dataDxfId="196" totalsRowDxfId="195"/>
    <tableColumn id="47" uniqueName="47" name="Taux Aide publique" queryTableFieldId="135" dataDxfId="194" totalsRowDxfId="193"/>
    <tableColumn id="45" uniqueName="45" name="FEDER Demandé" totalsRowFunction="sum" queryTableFieldId="133" dataDxfId="192" totalsRowDxfId="191"/>
    <tableColumn id="48" uniqueName="48" name="Taux FEDER" queryTableFieldId="136" dataDxfId="190" totalsRowDxfId="189"/>
    <tableColumn id="13" uniqueName="13" name="Dde cofi Etat" queryTableFieldId="129" dataDxfId="188" totalsRowDxfId="187"/>
    <tableColumn id="14" uniqueName="14" name="Dde cofi Régions" queryTableFieldId="130" dataDxfId="186" totalsRowDxfId="185"/>
    <tableColumn id="15" uniqueName="15" name="Dde cofi Dpt" queryTableFieldId="131" dataDxfId="184" totalsRowDxfId="183"/>
    <tableColumn id="17" uniqueName="17" name="Date ARC" queryTableFieldId="132" dataDxfId="182" totalsRowDxfId="181"/>
    <tableColumn id="6" uniqueName="6" name="Aide Publique Obtenue" totalsRowFunction="sum" queryTableFieldId="92" dataDxfId="180" totalsRowDxfId="179">
      <calculatedColumnFormula>Tableau_Lancer_la_requête_à_partir_de_Excel_Files[[#This Row],[Aide Massif Obtenue]]+Tableau_Lancer_la_requête_à_partir_de_Excel_Files[[#This Row],[Autre Public2]]</calculatedColumnFormula>
    </tableColumn>
    <tableColumn id="44" uniqueName="44" name="Taux Aide Publique cofi" queryTableFieldId="44" dataDxfId="178" totalsRowDxfId="177">
      <calculatedColumnFormula>(Tableau_Lancer_la_requête_à_partir_de_Excel_Files[[#This Row],[Autre Public2]]+Tableau_Lancer_la_requête_à_partir_de_Excel_Files[[#This Row],[Aide Massif Obtenue]])/Tableau_Lancer_la_requête_à_partir_de_Excel_Files[[#This Row],[Coût total déposé]]</calculatedColumnFormula>
    </tableColumn>
    <tableColumn id="40" uniqueName="40" name="Aide Massif Obtenue" totalsRowFunction="sum" queryTableFieldId="40" dataDxfId="176" totalsRowDxfId="175">
      <calculatedColumnFormula>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calculatedColumnFormula>
    </tableColumn>
    <tableColumn id="42" uniqueName="42" name="Taux Aide Massif cofi" queryTableFieldId="42" dataDxfId="174" totalsRowDxfId="173">
      <calculatedColumnFormula>Tableau_Lancer_la_requête_à_partir_de_Excel_Files[[#This Row],[Aide Massif Obtenue]]/Tableau_Lancer_la_requête_à_partir_de_Excel_Files[[#This Row],[Coût total déposé]]</calculatedColumnFormula>
    </tableColumn>
    <tableColumn id="41" uniqueName="41" name="Manque" totalsRowFunction="sum" queryTableFieldId="41" dataDxfId="172" totalsRowDxfId="171">
      <calculatedColumnFormula>Tableau_Lancer_la_requête_à_partir_de_Excel_Files[[#This Row],[Aide Publique Obtenue]]-Tableau_Lancer_la_requête_à_partir_de_Excel_Files[[#This Row],[Aide Publique demandée]]</calculatedColumnFormula>
    </tableColumn>
    <tableColumn id="52" uniqueName="52" name="Total_Etat_FN2 " totalsRowFunction="sum" queryTableFieldId="89" dataDxfId="170" totalsRowDxfId="169">
      <calculatedColumnFormula>Tableau_Lancer_la_requête_à_partir_de_Excel_Files[[#This Row],[FNADT_FN2]]+Tableau_Lancer_la_requête_à_partir_de_Excel_Files[[#This Row],[AgricultureFN2]]</calculatedColumnFormula>
    </tableColumn>
    <tableColumn id="7" uniqueName="7" name="FNADT_FN2" totalsRowFunction="sum" queryTableFieldId="7" dataDxfId="168" totalsRowDxfId="167"/>
    <tableColumn id="8" uniqueName="8" name="AgricultureFN2" queryTableFieldId="125" dataDxfId="166" totalsRowDxfId="165"/>
    <tableColumn id="54" uniqueName="54" name="Total_Regions_FN2 " totalsRowFunction="sum" queryTableFieldId="90" dataDxfId="164" totalsRowDxfId="163">
      <calculatedColumnFormula>Tableau_Lancer_la_requête_à_partir_de_Excel_Files[[#This Row],[ALPC_FN2]]+Tableau_Lancer_la_requête_à_partir_de_Excel_Files[[#This Row],[AURA_FN2]]+Tableau_Lancer_la_requête_à_partir_de_Excel_Files[[#This Row],[BFC_FN2]]+Tableau_Lancer_la_requête_à_partir_de_Excel_Files[[#This Row],[LRMP_FN2]]</calculatedColumnFormula>
    </tableColumn>
    <tableColumn id="11" uniqueName="11" name="ALPC_FN2" totalsRowFunction="sum" queryTableFieldId="95" dataDxfId="162" totalsRowDxfId="161"/>
    <tableColumn id="9" uniqueName="9" name="AURA_FN2" totalsRowFunction="sum" queryTableFieldId="50" dataDxfId="160" totalsRowDxfId="159"/>
    <tableColumn id="10" uniqueName="10" name="BFC_FN2" totalsRowFunction="sum" queryTableFieldId="94" dataDxfId="158" totalsRowDxfId="157"/>
    <tableColumn id="16" uniqueName="16" name="LRMP_FN2" totalsRowFunction="sum" queryTableFieldId="55" dataDxfId="156" totalsRowDxfId="155"/>
    <tableColumn id="55" uniqueName="55" name="Total_Dpts_FN2 " totalsRowFunction="sum" queryTableFieldId="91" dataDxfId="154" totalsRowDxfId="153">
      <calculatedColumnFormula>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calculatedColumnFormula>
    </tableColumn>
    <tableColumn id="18" uniqueName="18" name="03_FN2" totalsRowFunction="sum" queryTableFieldId="57" dataDxfId="152" totalsRowDxfId="151"/>
    <tableColumn id="19" uniqueName="19" name="07_FN2" totalsRowFunction="sum" queryTableFieldId="58" dataDxfId="150" totalsRowDxfId="149"/>
    <tableColumn id="20" uniqueName="20" name="11_FN2" totalsRowFunction="sum" queryTableFieldId="59" dataDxfId="148" totalsRowDxfId="147"/>
    <tableColumn id="21" uniqueName="21" name="12_FN2" totalsRowFunction="sum" queryTableFieldId="60" dataDxfId="146" totalsRowDxfId="145"/>
    <tableColumn id="22" uniqueName="22" name="15_FN2" totalsRowFunction="sum" queryTableFieldId="61" dataDxfId="144" totalsRowDxfId="143"/>
    <tableColumn id="23" uniqueName="23" name="19_FN2" totalsRowFunction="sum" queryTableFieldId="62" dataDxfId="142" totalsRowDxfId="141"/>
    <tableColumn id="24" uniqueName="24" name="21_FN2" totalsRowFunction="sum" queryTableFieldId="63" dataDxfId="140" totalsRowDxfId="139"/>
    <tableColumn id="25" uniqueName="25" name="23_FN2" totalsRowFunction="sum" queryTableFieldId="64" dataDxfId="138" totalsRowDxfId="137"/>
    <tableColumn id="26" uniqueName="26" name="30_FN2" totalsRowFunction="sum" queryTableFieldId="65" dataDxfId="136" totalsRowDxfId="135"/>
    <tableColumn id="27" uniqueName="27" name="34_FN2" totalsRowFunction="sum" queryTableFieldId="66" dataDxfId="134" totalsRowDxfId="133"/>
    <tableColumn id="28" uniqueName="28" name="42_FN2" totalsRowFunction="sum" queryTableFieldId="67" dataDxfId="132" totalsRowDxfId="131"/>
    <tableColumn id="29" uniqueName="29" name="43_FN2" totalsRowFunction="sum" queryTableFieldId="68" dataDxfId="130" totalsRowDxfId="129"/>
    <tableColumn id="30" uniqueName="30" name="46_FN2" totalsRowFunction="sum" queryTableFieldId="69" dataDxfId="128" totalsRowDxfId="127"/>
    <tableColumn id="31" uniqueName="31" name="48_FN2" totalsRowFunction="sum" queryTableFieldId="70" dataDxfId="126" totalsRowDxfId="125"/>
    <tableColumn id="32" uniqueName="32" name="58_FN2" totalsRowFunction="sum" queryTableFieldId="71" dataDxfId="124" totalsRowDxfId="123"/>
    <tableColumn id="33" uniqueName="33" name="63_FN2" totalsRowFunction="sum" queryTableFieldId="72" dataDxfId="122" totalsRowDxfId="121"/>
    <tableColumn id="34" uniqueName="34" name="69_FN2" totalsRowFunction="sum" queryTableFieldId="73" dataDxfId="120" totalsRowDxfId="119"/>
    <tableColumn id="35" uniqueName="35" name="71_FN2" totalsRowFunction="sum" queryTableFieldId="74" dataDxfId="118" totalsRowDxfId="117"/>
    <tableColumn id="36" uniqueName="36" name="81_FN2" totalsRowFunction="sum" queryTableFieldId="75" dataDxfId="116" totalsRowDxfId="115"/>
    <tableColumn id="37" uniqueName="37" name="82_FN2" totalsRowFunction="sum" queryTableFieldId="76" dataDxfId="114" totalsRowDxfId="113"/>
    <tableColumn id="38" uniqueName="38" name="87_FN2" totalsRowFunction="sum" queryTableFieldId="77" dataDxfId="112" totalsRowDxfId="111"/>
    <tableColumn id="39" uniqueName="39" name="89_FN2" totalsRowFunction="sum" queryTableFieldId="78" dataDxfId="110" totalsRowDxfId="109"/>
    <tableColumn id="46" uniqueName="46" name="Autre Public2" totalsRowFunction="sum" queryTableFieldId="79" dataDxfId="108" totalsRowDxfId="107"/>
    <tableColumn id="51" uniqueName="51" name="'Prévisionnel FEDER'" totalsRowFunction="sum" queryTableFieldId="88" dataDxfId="106" totalsRowDxfId="105"/>
    <tableColumn id="53" uniqueName="53" name="Date début operation" queryTableFieldId="144" dataDxfId="104" totalsRowDxfId="103"/>
    <tableColumn id="58" uniqueName="58" name="'Avis Cprog précédent'" queryTableFieldId="148" dataDxfId="102" totalsRowDxfId="101"/>
    <tableColumn id="49" uniqueName="49" name="Remarques " queryTableFieldId="87" dataDxfId="100" totalsRowDxfId="99"/>
    <tableColumn id="12" uniqueName="12" name="Colonne1" queryTableFieldId="150" dataDxfId="98" totalsRowDxfId="97"/>
  </tableColumns>
  <tableStyleInfo name="TableStyleMedium2" showFirstColumn="0" showLastColumn="0" showRowStripes="1" showColumnStripes="0"/>
</table>
</file>

<file path=xl/tables/table2.xml><?xml version="1.0" encoding="utf-8"?>
<table xmlns="http://schemas.openxmlformats.org/spreadsheetml/2006/main" id="2" name="Tableau_Lancer_la_requête_à_partir_de_Excel_Files3" displayName="Tableau_Lancer_la_requête_à_partir_de_Excel_Files3" ref="A1:AT41" tableType="queryTable" totalsRowCount="1" headerRowDxfId="94" dataDxfId="93" totalsRowDxfId="92">
  <autoFilter ref="A1:AT40"/>
  <tableColumns count="46">
    <tableColumn id="1" uniqueName="1" name="Programme" totalsRowLabel="Total" queryTableFieldId="1" dataDxfId="91" totalsRowDxfId="90"/>
    <tableColumn id="50" uniqueName="50" name="ID_dossier GIP" queryTableFieldId="84" dataDxfId="89" totalsRowDxfId="88"/>
    <tableColumn id="43" uniqueName="43" name="ID_Synergie" totalsRowFunction="count" queryTableFieldId="48" dataDxfId="87" totalsRowDxfId="86"/>
    <tableColumn id="2" uniqueName="2" name="Nom_MO" queryTableFieldId="2" dataDxfId="85" totalsRowDxfId="84"/>
    <tableColumn id="3" uniqueName="3" name="Intitule_Operation" queryTableFieldId="3" dataDxfId="83" totalsRowDxfId="82"/>
    <tableColumn id="4" uniqueName="4" name="Coût total déposé" totalsRowFunction="sum" queryTableFieldId="4" dataDxfId="81" totalsRowDxfId="80"/>
    <tableColumn id="12" uniqueName="12" name="Coût total Eligible FEDER" queryTableFieldId="128" dataDxfId="79" totalsRowDxfId="78"/>
    <tableColumn id="13" uniqueName="13" name="Coût total" totalsRowFunction="sum" queryTableFieldId="131" dataDxfId="77" totalsRowDxfId="76">
      <calculatedColumnFormula>IF(Tableau_Lancer_la_requête_à_partir_de_Excel_Files3[[#This Row],[Coût total Eligible FEDER]]="",Tableau_Lancer_la_requête_à_partir_de_Excel_Files3[[#This Row],[Coût total déposé]],Tableau_Lancer_la_requête_à_partir_de_Excel_Files3[[#This Row],[Coût total Eligible FEDER]])</calculatedColumnFormula>
    </tableColumn>
    <tableColumn id="6" uniqueName="6" name="Aide Publique Obtenue" totalsRowFunction="sum" queryTableFieldId="92" dataDxfId="75" totalsRowDxfId="74">
      <calculatedColumnFormula>Tableau_Lancer_la_requête_à_partir_de_Excel_Files3[[#This Row],[Aide Massif Obtenu]]+Tableau_Lancer_la_requête_à_partir_de_Excel_Files3[[#This Row],[''Autre Public'']]</calculatedColumnFormula>
    </tableColumn>
    <tableColumn id="44" uniqueName="44" name="Taux Aide Publique" totalsRowFunction="sum" queryTableFieldId="44" dataDxfId="73" totalsRowDxfId="72">
      <calculatedColumnFormula>Tableau_Lancer_la_requête_à_partir_de_Excel_Files3[[#This Row],[Aide Publique Obtenue]]/Tableau_Lancer_la_requête_à_partir_de_Excel_Files3[[#This Row],[Coût total]]</calculatedColumnFormula>
    </tableColumn>
    <tableColumn id="40" uniqueName="40" name="Aide Massif Obtenu" totalsRowFunction="sum" queryTableFieldId="40" dataDxfId="71" totalsRowDxfId="70">
      <calculatedColumnFormula>Tableau_Lancer_la_requête_à_partir_de_Excel_Files3[[#This Row],[Etat]]+Tableau_Lancer_la_requête_à_partir_de_Excel_Files3[[#This Row],[Régions]]+Tableau_Lancer_la_requête_à_partir_de_Excel_Files3[[#This Row],[Départements]]+Tableau_Lancer_la_requête_à_partir_de_Excel_Files3[[#This Row],[''FEDER'']]</calculatedColumnFormula>
    </tableColumn>
    <tableColumn id="42" uniqueName="42" name="Taux Aide Massif" queryTableFieldId="42" dataDxfId="69" totalsRowDxfId="68">
      <calculatedColumnFormula>Tableau_Lancer_la_requête_à_partir_de_Excel_Files3[[#This Row],[Aide Massif Obtenu]]/Tableau_Lancer_la_requête_à_partir_de_Excel_Files3[[#This Row],[Coût total]]</calculatedColumnFormula>
    </tableColumn>
    <tableColumn id="52" uniqueName="52" name="Etat" totalsRowFunction="sum" queryTableFieldId="89" dataDxfId="67" totalsRowDxfId="66">
      <calculatedColumnFormula>Tableau_Lancer_la_requête_à_partir_de_Excel_Files3[[#This Row],[''FNADT'']]+Tableau_Lancer_la_requête_à_partir_de_Excel_Files3[[#This Row],[''Agriculture'']]</calculatedColumnFormula>
    </tableColumn>
    <tableColumn id="15" uniqueName="15" name="'FNADT'" queryTableFieldId="133" dataDxfId="65" totalsRowDxfId="64"/>
    <tableColumn id="16" uniqueName="16" name="'Agriculture'" queryTableFieldId="134" dataDxfId="63" totalsRowDxfId="62"/>
    <tableColumn id="54" uniqueName="54" name="Régions" totalsRowFunction="sum" queryTableFieldId="90" dataDxfId="61" totalsRowDxfId="60">
      <calculatedColumnFormula>Tableau_Lancer_la_requête_à_partir_de_Excel_Files3[[#This Row],[''ALPC'']]+Tableau_Lancer_la_requête_à_partir_de_Excel_Files3[[#This Row],[''AURA'']]+Tableau_Lancer_la_requête_à_partir_de_Excel_Files3[[#This Row],[''BFC'']]+Tableau_Lancer_la_requête_à_partir_de_Excel_Files3[[#This Row],[''LRMP'']]</calculatedColumnFormula>
    </tableColumn>
    <tableColumn id="20" uniqueName="20" name="'ALPC'" queryTableFieldId="138" dataDxfId="59" totalsRowDxfId="58"/>
    <tableColumn id="18" uniqueName="18" name="'AURA'" queryTableFieldId="136" dataDxfId="57" totalsRowDxfId="56"/>
    <tableColumn id="19" uniqueName="19" name="'BFC'" queryTableFieldId="137" dataDxfId="55" totalsRowDxfId="54"/>
    <tableColumn id="21" uniqueName="21" name="'LRMP'" queryTableFieldId="139" dataDxfId="53" totalsRowDxfId="52"/>
    <tableColumn id="55" uniqueName="55" name="Départements" totalsRowFunction="sum" queryTableFieldId="91" dataDxfId="51" totalsRowDxfId="50">
      <calculatedColumnFormula>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calculatedColumnFormula>
    </tableColumn>
    <tableColumn id="23" uniqueName="23" name="'03'" queryTableFieldId="141" dataDxfId="49" totalsRowDxfId="48"/>
    <tableColumn id="24" uniqueName="24" name="'07'" queryTableFieldId="142" dataDxfId="47" totalsRowDxfId="46"/>
    <tableColumn id="25" uniqueName="25" name="'11'" queryTableFieldId="143" dataDxfId="45" totalsRowDxfId="44"/>
    <tableColumn id="26" uniqueName="26" name="'12'" queryTableFieldId="144" dataDxfId="43" totalsRowDxfId="42"/>
    <tableColumn id="27" uniqueName="27" name="'15'" queryTableFieldId="145" dataDxfId="41" totalsRowDxfId="40"/>
    <tableColumn id="28" uniqueName="28" name="'19'" queryTableFieldId="146" dataDxfId="39" totalsRowDxfId="38"/>
    <tableColumn id="29" uniqueName="29" name="'21'" queryTableFieldId="147" dataDxfId="37" totalsRowDxfId="36"/>
    <tableColumn id="30" uniqueName="30" name="'23'" queryTableFieldId="148" dataDxfId="35" totalsRowDxfId="34"/>
    <tableColumn id="31" uniqueName="31" name="'30'" queryTableFieldId="149" dataDxfId="33" totalsRowDxfId="32"/>
    <tableColumn id="32" uniqueName="32" name="'34'" queryTableFieldId="150" dataDxfId="31" totalsRowDxfId="30"/>
    <tableColumn id="33" uniqueName="33" name="'42'" queryTableFieldId="151" dataDxfId="29" totalsRowDxfId="28"/>
    <tableColumn id="34" uniqueName="34" name="'43'" queryTableFieldId="152" dataDxfId="27" totalsRowDxfId="26"/>
    <tableColumn id="35" uniqueName="35" name="'46'" queryTableFieldId="153" dataDxfId="25" totalsRowDxfId="24"/>
    <tableColumn id="36" uniqueName="36" name="'48'" queryTableFieldId="154" dataDxfId="23" totalsRowDxfId="22"/>
    <tableColumn id="37" uniqueName="37" name="'58'" queryTableFieldId="155" dataDxfId="21" totalsRowDxfId="20"/>
    <tableColumn id="38" uniqueName="38" name="'63'" queryTableFieldId="156" dataDxfId="19" totalsRowDxfId="18"/>
    <tableColumn id="39" uniqueName="39" name="'69'" queryTableFieldId="157" dataDxfId="17" totalsRowDxfId="16"/>
    <tableColumn id="41" uniqueName="41" name="'71'" queryTableFieldId="158" dataDxfId="15" totalsRowDxfId="14"/>
    <tableColumn id="45" uniqueName="45" name="'81'" queryTableFieldId="159" dataDxfId="13" totalsRowDxfId="12"/>
    <tableColumn id="47" uniqueName="47" name="'82'" queryTableFieldId="160" dataDxfId="11" totalsRowDxfId="10"/>
    <tableColumn id="48" uniqueName="48" name="'87'" queryTableFieldId="161" dataDxfId="9" totalsRowDxfId="8"/>
    <tableColumn id="51" uniqueName="51" name="'89'" queryTableFieldId="162" dataDxfId="7" totalsRowDxfId="6"/>
    <tableColumn id="53" uniqueName="53" name="'FEDER'" queryTableFieldId="163" dataDxfId="5" totalsRowDxfId="4"/>
    <tableColumn id="56" uniqueName="56" name="'Autre Public'" queryTableFieldId="164" dataDxfId="3" totalsRowDxfId="2"/>
    <tableColumn id="49" uniqueName="49" name="Remarques " queryTableFieldId="87" dataDxfId="1" totalsRowDxfId="0"/>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N97"/>
  <sheetViews>
    <sheetView tabSelected="1" topLeftCell="F1" zoomScale="60" zoomScaleNormal="60" workbookViewId="0">
      <pane ySplit="1830" topLeftCell="A46" activePane="bottomLeft"/>
      <selection activeCell="AB3" sqref="AB3:AB62"/>
      <selection pane="bottomLeft" activeCell="G50" sqref="A50:XFD51"/>
    </sheetView>
  </sheetViews>
  <sheetFormatPr baseColWidth="10" defaultRowHeight="15" outlineLevelCol="1" x14ac:dyDescent="0.25"/>
  <cols>
    <col min="1" max="1" width="12.42578125" style="14" customWidth="1"/>
    <col min="2" max="2" width="12.140625" style="14" customWidth="1"/>
    <col min="3" max="3" width="15" style="14" customWidth="1"/>
    <col min="4" max="4" width="17.85546875" style="14" customWidth="1"/>
    <col min="5" max="5" width="37.42578125" style="14" customWidth="1"/>
    <col min="6" max="6" width="46" style="14" customWidth="1"/>
    <col min="7" max="7" width="19.5703125" style="14" customWidth="1"/>
    <col min="8" max="8" width="19.28515625" style="14" customWidth="1"/>
    <col min="9" max="9" width="15.42578125" style="14" customWidth="1"/>
    <col min="10" max="10" width="17.7109375" style="14" customWidth="1"/>
    <col min="11" max="11" width="10.7109375" style="14" customWidth="1"/>
    <col min="12" max="12" width="12.5703125" style="14" customWidth="1"/>
    <col min="13" max="13" width="14.42578125" style="14" customWidth="1"/>
    <col min="14" max="14" width="9.85546875" style="14" customWidth="1"/>
    <col min="15" max="15" width="13.5703125" style="14" customWidth="1"/>
    <col min="16" max="16" width="17.28515625" style="14" customWidth="1" collapsed="1"/>
    <col min="17" max="17" width="15.140625" style="14" customWidth="1"/>
    <col min="18" max="18" width="12.7109375" style="14" customWidth="1"/>
    <col min="19" max="19" width="14.140625" style="14" customWidth="1"/>
    <col min="20" max="20" width="16.85546875" style="14" customWidth="1" collapsed="1"/>
    <col min="21" max="21" width="17.85546875" style="14" customWidth="1"/>
    <col min="22" max="22" width="19.140625" style="14" customWidth="1" outlineLevel="1"/>
    <col min="23" max="23" width="18.28515625" style="14" customWidth="1" outlineLevel="1" collapsed="1"/>
    <col min="24" max="24" width="17.28515625" style="14" customWidth="1"/>
    <col min="25" max="25" width="19.42578125" style="14" hidden="1" customWidth="1" outlineLevel="1" collapsed="1"/>
    <col min="26" max="27" width="12" style="14" hidden="1" customWidth="1" outlineLevel="1"/>
    <col min="28" max="28" width="12" style="14" hidden="1" customWidth="1" outlineLevel="1" collapsed="1"/>
    <col min="29" max="29" width="14.85546875" style="14" customWidth="1" collapsed="1"/>
    <col min="30" max="44" width="12" style="14" hidden="1" customWidth="1" outlineLevel="1"/>
    <col min="45" max="45" width="12" style="14" hidden="1" customWidth="1" outlineLevel="1" collapsed="1"/>
    <col min="46" max="47" width="12" style="14" hidden="1" customWidth="1" outlineLevel="1"/>
    <col min="48" max="48" width="12" style="14" hidden="1" customWidth="1" outlineLevel="1" collapsed="1"/>
    <col min="49" max="50" width="12" style="14" hidden="1" customWidth="1" outlineLevel="1"/>
    <col min="51" max="51" width="12" style="14" hidden="1" customWidth="1" outlineLevel="1" collapsed="1"/>
    <col min="52" max="52" width="13.85546875" style="14" customWidth="1" collapsed="1"/>
    <col min="53" max="53" width="16.5703125" style="14" customWidth="1"/>
    <col min="54" max="54" width="12" style="14" customWidth="1"/>
    <col min="55" max="55" width="8.42578125" style="14" customWidth="1"/>
    <col min="56" max="56" width="15.42578125" style="14" customWidth="1"/>
    <col min="57" max="57" width="26.140625" style="14" customWidth="1"/>
    <col min="58" max="58" width="34.5703125" style="14" customWidth="1"/>
    <col min="59" max="59" width="29.28515625" style="14" customWidth="1"/>
    <col min="60" max="60" width="14.28515625" style="14" customWidth="1" collapsed="1"/>
    <col min="61" max="61" width="17.42578125" style="14" customWidth="1" collapsed="1"/>
    <col min="62" max="62" width="11.42578125" style="14" bestFit="1" customWidth="1" collapsed="1"/>
    <col min="63" max="63" width="11.42578125" style="14" customWidth="1"/>
    <col min="64" max="64" width="15.5703125" style="14" bestFit="1" customWidth="1"/>
    <col min="65" max="65" width="36.85546875" style="14" customWidth="1"/>
    <col min="66" max="66" width="10" style="14" customWidth="1"/>
    <col min="67" max="67" width="19.28515625" style="14" customWidth="1"/>
    <col min="68" max="68" width="21.5703125" style="14" customWidth="1" collapsed="1"/>
    <col min="69" max="69" width="9.7109375" style="19" customWidth="1" collapsed="1"/>
    <col min="70" max="90" width="9.7109375" style="19" customWidth="1"/>
    <col min="91" max="91" width="12" style="14" customWidth="1" collapsed="1"/>
    <col min="92" max="92" width="14.28515625" style="14" bestFit="1" customWidth="1" collapsed="1"/>
    <col min="93" max="93" width="17.42578125" style="14" bestFit="1" customWidth="1"/>
    <col min="94" max="94" width="17" style="14" bestFit="1" customWidth="1"/>
    <col min="95" max="95" width="14.7109375" style="14" bestFit="1" customWidth="1"/>
    <col min="96" max="16384" width="11.42578125" style="14"/>
  </cols>
  <sheetData>
    <row r="1" spans="1:90" x14ac:dyDescent="0.25">
      <c r="U1" s="77" t="s">
        <v>214</v>
      </c>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row>
    <row r="2" spans="1:90" s="12" customFormat="1" ht="60" x14ac:dyDescent="0.25">
      <c r="A2" s="12" t="s">
        <v>0</v>
      </c>
      <c r="B2" s="12" t="s">
        <v>45</v>
      </c>
      <c r="C2" s="12" t="s">
        <v>18</v>
      </c>
      <c r="D2" s="12" t="s">
        <v>387</v>
      </c>
      <c r="E2" s="12" t="s">
        <v>1</v>
      </c>
      <c r="F2" s="12" t="s">
        <v>2</v>
      </c>
      <c r="G2" s="12" t="s">
        <v>3</v>
      </c>
      <c r="H2" s="12" t="s">
        <v>4</v>
      </c>
      <c r="I2" s="12" t="s">
        <v>207</v>
      </c>
      <c r="J2" s="12" t="s">
        <v>206</v>
      </c>
      <c r="K2" s="12" t="s">
        <v>208</v>
      </c>
      <c r="L2" s="12" t="s">
        <v>200</v>
      </c>
      <c r="M2" s="12" t="s">
        <v>201</v>
      </c>
      <c r="N2" s="12" t="s">
        <v>202</v>
      </c>
      <c r="O2" s="12" t="s">
        <v>203</v>
      </c>
      <c r="P2" s="12" t="s">
        <v>51</v>
      </c>
      <c r="Q2" s="12" t="s">
        <v>215</v>
      </c>
      <c r="R2" s="12" t="s">
        <v>217</v>
      </c>
      <c r="S2" s="12" t="s">
        <v>216</v>
      </c>
      <c r="T2" s="12" t="s">
        <v>14</v>
      </c>
      <c r="U2" s="12" t="s">
        <v>48</v>
      </c>
      <c r="V2" s="12" t="s">
        <v>13</v>
      </c>
      <c r="W2" s="12" t="s">
        <v>54</v>
      </c>
      <c r="X2" s="12" t="s">
        <v>49</v>
      </c>
      <c r="Y2" s="12" t="s">
        <v>53</v>
      </c>
      <c r="Z2" s="12" t="s">
        <v>20</v>
      </c>
      <c r="AA2" s="12" t="s">
        <v>52</v>
      </c>
      <c r="AB2" s="12" t="s">
        <v>21</v>
      </c>
      <c r="AC2" s="12" t="s">
        <v>50</v>
      </c>
      <c r="AD2" s="12" t="s">
        <v>22</v>
      </c>
      <c r="AE2" s="12" t="s">
        <v>23</v>
      </c>
      <c r="AF2" s="12" t="s">
        <v>24</v>
      </c>
      <c r="AG2" s="12" t="s">
        <v>25</v>
      </c>
      <c r="AH2" s="12" t="s">
        <v>26</v>
      </c>
      <c r="AI2" s="12" t="s">
        <v>27</v>
      </c>
      <c r="AJ2" s="12" t="s">
        <v>28</v>
      </c>
      <c r="AK2" s="12" t="s">
        <v>29</v>
      </c>
      <c r="AL2" s="12" t="s">
        <v>30</v>
      </c>
      <c r="AM2" s="12" t="s">
        <v>31</v>
      </c>
      <c r="AN2" s="12" t="s">
        <v>32</v>
      </c>
      <c r="AO2" s="12" t="s">
        <v>33</v>
      </c>
      <c r="AP2" s="12" t="s">
        <v>34</v>
      </c>
      <c r="AQ2" s="12" t="s">
        <v>35</v>
      </c>
      <c r="AR2" s="12" t="s">
        <v>36</v>
      </c>
      <c r="AS2" s="12" t="s">
        <v>37</v>
      </c>
      <c r="AT2" s="12" t="s">
        <v>38</v>
      </c>
      <c r="AU2" s="12" t="s">
        <v>39</v>
      </c>
      <c r="AV2" s="12" t="s">
        <v>40</v>
      </c>
      <c r="AW2" s="12" t="s">
        <v>41</v>
      </c>
      <c r="AX2" s="12" t="s">
        <v>42</v>
      </c>
      <c r="AY2" s="12" t="s">
        <v>43</v>
      </c>
      <c r="AZ2" s="12" t="s">
        <v>44</v>
      </c>
      <c r="BA2" s="12" t="s">
        <v>47</v>
      </c>
      <c r="BB2" s="12" t="s">
        <v>218</v>
      </c>
      <c r="BC2" s="12" t="s">
        <v>396</v>
      </c>
      <c r="BD2" s="12" t="s">
        <v>46</v>
      </c>
      <c r="BE2" s="12" t="s">
        <v>440</v>
      </c>
    </row>
    <row r="3" spans="1:90" ht="45" x14ac:dyDescent="0.25">
      <c r="A3" s="12" t="s">
        <v>5</v>
      </c>
      <c r="B3" s="15" t="s">
        <v>222</v>
      </c>
      <c r="C3" s="15" t="s">
        <v>222</v>
      </c>
      <c r="D3" s="18" t="s">
        <v>389</v>
      </c>
      <c r="E3" s="71" t="s">
        <v>220</v>
      </c>
      <c r="F3" s="71" t="s">
        <v>221</v>
      </c>
      <c r="G3" s="70">
        <v>195163</v>
      </c>
      <c r="H3" s="70">
        <v>187224</v>
      </c>
      <c r="I3" s="37">
        <v>0.8</v>
      </c>
      <c r="J3" s="15"/>
      <c r="K3" s="17" t="s">
        <v>211</v>
      </c>
      <c r="L3" s="15" t="s">
        <v>223</v>
      </c>
      <c r="M3" s="15"/>
      <c r="N3" s="15"/>
      <c r="O3" s="17">
        <v>42736</v>
      </c>
      <c r="P3" s="70">
        <f>Tableau_Lancer_la_requête_à_partir_de_Excel_Files[[#This Row],[Aide Massif Obtenue]]+Tableau_Lancer_la_requête_à_partir_de_Excel_Files[[#This Row],[Autre Public2]]</f>
        <v>136614.1</v>
      </c>
      <c r="Q3" s="13">
        <f>(Tableau_Lancer_la_requête_à_partir_de_Excel_Files[[#This Row],[Autre Public2]]+Tableau_Lancer_la_requête_à_partir_de_Excel_Files[[#This Row],[Aide Massif Obtenue]])/Tableau_Lancer_la_requête_à_partir_de_Excel_Files[[#This Row],[Coût total déposé]]</f>
        <v>0.70000000000000007</v>
      </c>
      <c r="R3" s="70">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136614.1</v>
      </c>
      <c r="S3" s="16">
        <f>Tableau_Lancer_la_requête_à_partir_de_Excel_Files[[#This Row],[Aide Massif Obtenue]]/Tableau_Lancer_la_requête_à_partir_de_Excel_Files[[#This Row],[Coût total déposé]]</f>
        <v>0.70000000000000007</v>
      </c>
      <c r="T3" s="70">
        <f>Tableau_Lancer_la_requête_à_partir_de_Excel_Files[[#This Row],[Aide Publique Obtenue]]-Tableau_Lancer_la_requête_à_partir_de_Excel_Files[[#This Row],[Aide Publique demandée]]</f>
        <v>-50609.899999999994</v>
      </c>
      <c r="U3" s="70">
        <f>Tableau_Lancer_la_requête_à_partir_de_Excel_Files[[#This Row],[FNADT_FN2]]+Tableau_Lancer_la_requête_à_partir_de_Excel_Files[[#This Row],[AgricultureFN2]]</f>
        <v>136614.1</v>
      </c>
      <c r="V3" s="70"/>
      <c r="W3" s="70">
        <v>136614.1</v>
      </c>
      <c r="X3" s="70">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3" s="70"/>
      <c r="Z3" s="70"/>
      <c r="AA3" s="70"/>
      <c r="AB3" s="70"/>
      <c r="AC3" s="70">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3" s="70"/>
      <c r="AE3" s="70"/>
      <c r="AF3" s="70"/>
      <c r="AG3" s="70"/>
      <c r="AH3" s="70"/>
      <c r="AI3" s="70"/>
      <c r="AJ3" s="70"/>
      <c r="AK3" s="70"/>
      <c r="AL3" s="70"/>
      <c r="AM3" s="70"/>
      <c r="AN3" s="70"/>
      <c r="AO3" s="70"/>
      <c r="AP3" s="70"/>
      <c r="AQ3" s="70"/>
      <c r="AR3" s="70"/>
      <c r="AS3" s="70"/>
      <c r="AT3" s="70"/>
      <c r="AU3" s="70"/>
      <c r="AV3" s="70"/>
      <c r="AW3" s="70"/>
      <c r="AX3" s="70"/>
      <c r="AY3" s="70"/>
      <c r="AZ3" s="70">
        <v>0</v>
      </c>
      <c r="BA3" s="70">
        <v>0</v>
      </c>
      <c r="BB3" s="18"/>
      <c r="BC3" s="18"/>
      <c r="BD3" s="70"/>
      <c r="BE3" s="70"/>
      <c r="BQ3" s="14"/>
      <c r="BR3" s="14"/>
      <c r="BS3" s="14"/>
      <c r="BT3" s="14"/>
      <c r="BU3" s="14"/>
      <c r="BV3" s="14"/>
      <c r="BW3" s="14"/>
      <c r="BX3" s="14"/>
      <c r="BY3" s="14"/>
      <c r="BZ3" s="14"/>
      <c r="CA3" s="14"/>
      <c r="CB3" s="14"/>
      <c r="CC3" s="14"/>
      <c r="CD3" s="14"/>
      <c r="CE3" s="14"/>
      <c r="CF3" s="14"/>
      <c r="CG3" s="14"/>
      <c r="CH3" s="14"/>
      <c r="CI3" s="14"/>
      <c r="CJ3" s="14"/>
      <c r="CK3" s="14"/>
      <c r="CL3" s="14"/>
    </row>
    <row r="4" spans="1:90" ht="30" x14ac:dyDescent="0.25">
      <c r="A4" s="12" t="s">
        <v>6</v>
      </c>
      <c r="B4" s="15" t="s">
        <v>347</v>
      </c>
      <c r="C4" s="15" t="s">
        <v>416</v>
      </c>
      <c r="D4" s="18" t="s">
        <v>390</v>
      </c>
      <c r="E4" s="11" t="s">
        <v>348</v>
      </c>
      <c r="F4" s="11" t="s">
        <v>349</v>
      </c>
      <c r="G4" s="9">
        <v>238070.8761137441</v>
      </c>
      <c r="H4" s="9">
        <f>Tableau_Lancer_la_requête_à_partir_de_Excel_Files[[#This Row],[Coût total déposé]]*Tableau_Lancer_la_requête_à_partir_de_Excel_Files[[#This Row],[Taux Aide publique]]</f>
        <v>187218.93697584837</v>
      </c>
      <c r="I4" s="37">
        <v>0.78639999999999999</v>
      </c>
      <c r="J4" s="15">
        <v>72240</v>
      </c>
      <c r="K4" s="17" t="s">
        <v>417</v>
      </c>
      <c r="L4" s="15" t="s">
        <v>204</v>
      </c>
      <c r="M4" s="15" t="s">
        <v>205</v>
      </c>
      <c r="N4" s="15"/>
      <c r="O4" s="17">
        <v>42857</v>
      </c>
      <c r="P4" s="9">
        <f>Tableau_Lancer_la_requête_à_partir_de_Excel_Files[[#This Row],[Aide Massif Obtenue]]+Tableau_Lancer_la_requête_à_partir_de_Excel_Files[[#This Row],[Autre Public2]]</f>
        <v>169290</v>
      </c>
      <c r="Q4" s="13">
        <f>(Tableau_Lancer_la_requête_à_partir_de_Excel_Files[[#This Row],[Autre Public2]]+Tableau_Lancer_la_requête_à_partir_de_Excel_Files[[#This Row],[Aide Massif Obtenue]])/Tableau_Lancer_la_requête_à_partir_de_Excel_Files[[#This Row],[Coût total déposé]]</f>
        <v>0.71109075903563113</v>
      </c>
      <c r="R4"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146546</v>
      </c>
      <c r="S4" s="16">
        <f>Tableau_Lancer_la_requête_à_partir_de_Excel_Files[[#This Row],[Aide Massif Obtenue]]/Tableau_Lancer_la_requête_à_partir_de_Excel_Files[[#This Row],[Coût total déposé]]</f>
        <v>0.61555618390711564</v>
      </c>
      <c r="T4" s="9">
        <f>Tableau_Lancer_la_requête_à_partir_de_Excel_Files[[#This Row],[Aide Publique Obtenue]]-Tableau_Lancer_la_requête_à_partir_de_Excel_Files[[#This Row],[Aide Publique demandée]]</f>
        <v>-17928.936975848366</v>
      </c>
      <c r="U4" s="9">
        <f>Tableau_Lancer_la_requête_à_partir_de_Excel_Files[[#This Row],[FNADT_FN2]]+Tableau_Lancer_la_requête_à_partir_de_Excel_Files[[#This Row],[AgricultureFN2]]</f>
        <v>72240</v>
      </c>
      <c r="V4" s="9">
        <v>72240</v>
      </c>
      <c r="W4" s="9"/>
      <c r="X4" s="9">
        <f>Tableau_Lancer_la_requête_à_partir_de_Excel_Files[[#This Row],[ALPC_FN2]]+Tableau_Lancer_la_requête_à_partir_de_Excel_Files[[#This Row],[AURA_FN2]]+Tableau_Lancer_la_requête_à_partir_de_Excel_Files[[#This Row],[BFC_FN2]]+Tableau_Lancer_la_requête_à_partir_de_Excel_Files[[#This Row],[LRMP_FN2]]</f>
        <v>20000</v>
      </c>
      <c r="Y4" s="70"/>
      <c r="Z4" s="70">
        <v>20000</v>
      </c>
      <c r="AA4" s="70"/>
      <c r="AB4" s="70"/>
      <c r="AC4"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4" s="36"/>
      <c r="AE4" s="36"/>
      <c r="AF4" s="36"/>
      <c r="AG4" s="36"/>
      <c r="AH4" s="36"/>
      <c r="AI4" s="36"/>
      <c r="AJ4" s="36"/>
      <c r="AK4" s="36"/>
      <c r="AL4" s="36"/>
      <c r="AM4" s="36"/>
      <c r="AN4" s="36"/>
      <c r="AO4" s="36"/>
      <c r="AP4" s="36"/>
      <c r="AQ4" s="36"/>
      <c r="AR4" s="36"/>
      <c r="AS4" s="36"/>
      <c r="AT4" s="36"/>
      <c r="AU4" s="36"/>
      <c r="AV4" s="36"/>
      <c r="AW4" s="36"/>
      <c r="AX4" s="36"/>
      <c r="AY4" s="36"/>
      <c r="AZ4" s="9">
        <v>22744</v>
      </c>
      <c r="BA4" s="9">
        <v>54306</v>
      </c>
      <c r="BB4" s="18"/>
      <c r="BC4" s="18"/>
      <c r="BD4" s="70"/>
      <c r="BE4" s="70"/>
      <c r="BQ4" s="14"/>
      <c r="BR4" s="14"/>
      <c r="BS4" s="14"/>
      <c r="BT4" s="14"/>
      <c r="BU4" s="14"/>
      <c r="BV4" s="14"/>
      <c r="BW4" s="14"/>
      <c r="BX4" s="14"/>
      <c r="BY4" s="14"/>
      <c r="BZ4" s="14"/>
      <c r="CA4" s="14"/>
      <c r="CB4" s="14"/>
      <c r="CC4" s="14"/>
      <c r="CD4" s="14"/>
      <c r="CE4" s="14"/>
      <c r="CF4" s="14"/>
      <c r="CG4" s="14"/>
      <c r="CH4" s="14"/>
      <c r="CI4" s="14"/>
      <c r="CJ4" s="14"/>
      <c r="CK4" s="14"/>
      <c r="CL4" s="14"/>
    </row>
    <row r="5" spans="1:90" ht="45" x14ac:dyDescent="0.25">
      <c r="A5" s="74" t="s">
        <v>6</v>
      </c>
      <c r="B5" s="47" t="s">
        <v>353</v>
      </c>
      <c r="C5" s="47" t="s">
        <v>350</v>
      </c>
      <c r="D5" s="48" t="s">
        <v>391</v>
      </c>
      <c r="E5" s="49" t="s">
        <v>351</v>
      </c>
      <c r="F5" s="49" t="s">
        <v>352</v>
      </c>
      <c r="G5" s="50">
        <v>148000</v>
      </c>
      <c r="H5" s="70">
        <f>Tableau_Lancer_la_requête_à_partir_de_Excel_Files[[#This Row],[Coût total déposé]]*Tableau_Lancer_la_requête_à_partir_de_Excel_Files[[#This Row],[Taux Aide publique]]</f>
        <v>103600</v>
      </c>
      <c r="I5" s="76">
        <v>0.7</v>
      </c>
      <c r="J5" s="47">
        <v>39420</v>
      </c>
      <c r="K5" s="51" t="s">
        <v>355</v>
      </c>
      <c r="L5" s="47" t="s">
        <v>204</v>
      </c>
      <c r="M5" s="47" t="s">
        <v>219</v>
      </c>
      <c r="N5" s="47" t="s">
        <v>354</v>
      </c>
      <c r="O5" s="51">
        <v>42741</v>
      </c>
      <c r="P5" s="50">
        <f>Tableau_Lancer_la_requête_à_partir_de_Excel_Files[[#This Row],[Aide Massif Obtenue]]+Tableau_Lancer_la_requête_à_partir_de_Excel_Files[[#This Row],[Autre Public2]]</f>
        <v>98526</v>
      </c>
      <c r="Q5" s="52">
        <f>(Tableau_Lancer_la_requête_à_partir_de_Excel_Files[[#This Row],[Autre Public2]]+Tableau_Lancer_la_requête_à_partir_de_Excel_Files[[#This Row],[Aide Massif Obtenue]])/Tableau_Lancer_la_requête_à_partir_de_Excel_Files[[#This Row],[Coût total déposé]]</f>
        <v>0.66571621621621624</v>
      </c>
      <c r="R5" s="50">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88526</v>
      </c>
      <c r="S5" s="53">
        <f>Tableau_Lancer_la_requête_à_partir_de_Excel_Files[[#This Row],[Aide Massif Obtenue]]/Tableau_Lancer_la_requête_à_partir_de_Excel_Files[[#This Row],[Coût total déposé]]</f>
        <v>0.5981486486486487</v>
      </c>
      <c r="T5" s="50">
        <f>Tableau_Lancer_la_requête_à_partir_de_Excel_Files[[#This Row],[Aide Publique Obtenue]]-Tableau_Lancer_la_requête_à_partir_de_Excel_Files[[#This Row],[Aide Publique demandée]]</f>
        <v>-5074</v>
      </c>
      <c r="U5" s="50">
        <f>Tableau_Lancer_la_requête_à_partir_de_Excel_Files[[#This Row],[FNADT_FN2]]+Tableau_Lancer_la_requête_à_partir_de_Excel_Files[[#This Row],[AgricultureFN2]]</f>
        <v>0</v>
      </c>
      <c r="V5" s="50"/>
      <c r="W5" s="50"/>
      <c r="X5" s="50">
        <f>Tableau_Lancer_la_requête_à_partir_de_Excel_Files[[#This Row],[ALPC_FN2]]+Tableau_Lancer_la_requête_à_partir_de_Excel_Files[[#This Row],[AURA_FN2]]+Tableau_Lancer_la_requête_à_partir_de_Excel_Files[[#This Row],[BFC_FN2]]+Tableau_Lancer_la_requête_à_partir_de_Excel_Files[[#This Row],[LRMP_FN2]]</f>
        <v>28126</v>
      </c>
      <c r="Y5" s="50"/>
      <c r="Z5" s="50"/>
      <c r="AA5" s="50"/>
      <c r="AB5" s="50">
        <v>28126</v>
      </c>
      <c r="AC5" s="50">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2000</v>
      </c>
      <c r="AD5" s="50"/>
      <c r="AE5" s="50"/>
      <c r="AF5" s="50"/>
      <c r="AG5" s="50"/>
      <c r="AH5" s="50"/>
      <c r="AI5" s="50"/>
      <c r="AJ5" s="50"/>
      <c r="AK5" s="50"/>
      <c r="AL5" s="50">
        <v>2000</v>
      </c>
      <c r="AM5" s="50"/>
      <c r="AN5" s="50"/>
      <c r="AO5" s="50"/>
      <c r="AP5" s="50"/>
      <c r="AQ5" s="50"/>
      <c r="AR5" s="50"/>
      <c r="AS5" s="50"/>
      <c r="AT5" s="50"/>
      <c r="AU5" s="50"/>
      <c r="AV5" s="50"/>
      <c r="AW5" s="50"/>
      <c r="AX5" s="50"/>
      <c r="AY5" s="50"/>
      <c r="AZ5" s="50">
        <v>10000</v>
      </c>
      <c r="BA5" s="50">
        <v>58400</v>
      </c>
      <c r="BB5" s="48">
        <v>42736</v>
      </c>
      <c r="BC5" s="48"/>
      <c r="BD5" s="50"/>
      <c r="BE5" s="70"/>
      <c r="BQ5" s="14"/>
      <c r="BR5" s="14"/>
      <c r="BS5" s="14"/>
      <c r="BT5" s="14"/>
      <c r="BU5" s="14"/>
      <c r="BV5" s="14"/>
      <c r="BW5" s="14"/>
      <c r="BX5" s="14"/>
      <c r="BY5" s="14"/>
      <c r="BZ5" s="14"/>
      <c r="CA5" s="14"/>
      <c r="CB5" s="14"/>
      <c r="CC5" s="14"/>
      <c r="CD5" s="14"/>
      <c r="CE5" s="14"/>
      <c r="CF5" s="14"/>
      <c r="CG5" s="14"/>
      <c r="CH5" s="14"/>
      <c r="CI5" s="14"/>
      <c r="CJ5" s="14"/>
      <c r="CK5" s="14"/>
      <c r="CL5" s="14"/>
    </row>
    <row r="6" spans="1:90" ht="62.25" customHeight="1" x14ac:dyDescent="0.25">
      <c r="A6" s="12" t="s">
        <v>6</v>
      </c>
      <c r="B6" s="15" t="s">
        <v>359</v>
      </c>
      <c r="C6" s="15" t="s">
        <v>357</v>
      </c>
      <c r="D6" s="18" t="s">
        <v>390</v>
      </c>
      <c r="E6" s="71" t="s">
        <v>358</v>
      </c>
      <c r="F6" s="71" t="s">
        <v>356</v>
      </c>
      <c r="G6" s="70">
        <v>135299.1</v>
      </c>
      <c r="H6" s="70">
        <v>94709.37</v>
      </c>
      <c r="I6" s="17" t="s">
        <v>209</v>
      </c>
      <c r="J6" s="15">
        <v>94709.37</v>
      </c>
      <c r="K6" s="17" t="s">
        <v>209</v>
      </c>
      <c r="L6" s="15"/>
      <c r="M6" s="15"/>
      <c r="N6" s="15"/>
      <c r="O6" s="17">
        <v>42746</v>
      </c>
      <c r="P6" s="70">
        <f>Tableau_Lancer_la_requête_à_partir_de_Excel_Files[[#This Row],[Aide Massif Obtenue]]+Tableau_Lancer_la_requête_à_partir_de_Excel_Files[[#This Row],[Autre Public2]]</f>
        <v>78754</v>
      </c>
      <c r="Q6" s="13">
        <f>(Tableau_Lancer_la_requête_à_partir_de_Excel_Files[[#This Row],[Autre Public2]]+Tableau_Lancer_la_requête_à_partir_de_Excel_Files[[#This Row],[Aide Massif Obtenue]])/Tableau_Lancer_la_requête_à_partir_de_Excel_Files[[#This Row],[Coût total déposé]]</f>
        <v>0.58207334712499936</v>
      </c>
      <c r="R6" s="70">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78754</v>
      </c>
      <c r="S6" s="16">
        <f>Tableau_Lancer_la_requête_à_partir_de_Excel_Files[[#This Row],[Aide Massif Obtenue]]/Tableau_Lancer_la_requête_à_partir_de_Excel_Files[[#This Row],[Coût total déposé]]</f>
        <v>0.58207334712499936</v>
      </c>
      <c r="T6" s="70">
        <f>Tableau_Lancer_la_requête_à_partir_de_Excel_Files[[#This Row],[Aide Publique Obtenue]]-Tableau_Lancer_la_requête_à_partir_de_Excel_Files[[#This Row],[Aide Publique demandée]]</f>
        <v>-15955.369999999995</v>
      </c>
      <c r="U6" s="70">
        <f>Tableau_Lancer_la_requête_à_partir_de_Excel_Files[[#This Row],[FNADT_FN2]]+Tableau_Lancer_la_requête_à_partir_de_Excel_Files[[#This Row],[AgricultureFN2]]</f>
        <v>15592</v>
      </c>
      <c r="V6" s="70">
        <v>15592</v>
      </c>
      <c r="W6" s="70"/>
      <c r="X6" s="70">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6" s="70"/>
      <c r="Z6" s="70"/>
      <c r="AA6" s="70"/>
      <c r="AB6" s="70"/>
      <c r="AC6" s="70">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6" s="70"/>
      <c r="AE6" s="70"/>
      <c r="AF6" s="70"/>
      <c r="AG6" s="70"/>
      <c r="AH6" s="70"/>
      <c r="AI6" s="70"/>
      <c r="AJ6" s="70"/>
      <c r="AK6" s="70"/>
      <c r="AL6" s="70"/>
      <c r="AM6" s="70"/>
      <c r="AN6" s="70"/>
      <c r="AO6" s="70"/>
      <c r="AP6" s="70"/>
      <c r="AQ6" s="70"/>
      <c r="AR6" s="70"/>
      <c r="AS6" s="70"/>
      <c r="AT6" s="70"/>
      <c r="AU6" s="70"/>
      <c r="AV6" s="70"/>
      <c r="AW6" s="70"/>
      <c r="AX6" s="70"/>
      <c r="AY6" s="70"/>
      <c r="AZ6" s="70">
        <v>0</v>
      </c>
      <c r="BA6" s="22">
        <v>63162</v>
      </c>
      <c r="BB6" s="18">
        <v>42828</v>
      </c>
      <c r="BC6" s="18"/>
      <c r="BD6" s="70"/>
      <c r="BE6" s="70"/>
      <c r="BQ6" s="14"/>
      <c r="BR6" s="14"/>
      <c r="BS6" s="14"/>
      <c r="BT6" s="14"/>
      <c r="BU6" s="14"/>
      <c r="BV6" s="14"/>
      <c r="BW6" s="14"/>
      <c r="BX6" s="14"/>
      <c r="BY6" s="14"/>
      <c r="BZ6" s="14"/>
      <c r="CA6" s="14"/>
      <c r="CB6" s="14"/>
      <c r="CC6" s="14"/>
      <c r="CD6" s="14"/>
      <c r="CE6" s="14"/>
      <c r="CF6" s="14"/>
      <c r="CG6" s="14"/>
      <c r="CH6" s="14"/>
      <c r="CI6" s="14"/>
      <c r="CJ6" s="14"/>
      <c r="CK6" s="14"/>
      <c r="CL6" s="14"/>
    </row>
    <row r="7" spans="1:90" ht="60" x14ac:dyDescent="0.25">
      <c r="A7" s="28" t="s">
        <v>6</v>
      </c>
      <c r="B7" s="29" t="s">
        <v>362</v>
      </c>
      <c r="C7" s="29" t="s">
        <v>360</v>
      </c>
      <c r="D7" s="30" t="s">
        <v>388</v>
      </c>
      <c r="E7" s="31" t="s">
        <v>8</v>
      </c>
      <c r="F7" s="31" t="s">
        <v>361</v>
      </c>
      <c r="G7" s="22">
        <v>105583.55</v>
      </c>
      <c r="H7" s="22">
        <f>Tableau_Lancer_la_requête_à_partir_de_Excel_Files[[#This Row],[Coût total déposé]]*Tableau_Lancer_la_requête_à_partir_de_Excel_Files[[#This Row],[Taux Aide publique]]</f>
        <v>73908.485000000001</v>
      </c>
      <c r="I7" s="23">
        <v>0.7</v>
      </c>
      <c r="J7" s="29"/>
      <c r="K7" s="32" t="s">
        <v>211</v>
      </c>
      <c r="L7" s="29" t="s">
        <v>204</v>
      </c>
      <c r="M7" s="29"/>
      <c r="N7" s="29"/>
      <c r="O7" s="32">
        <v>42753</v>
      </c>
      <c r="P7" s="22">
        <f>Tableau_Lancer_la_requête_à_partir_de_Excel_Files[[#This Row],[Aide Massif Obtenue]]+Tableau_Lancer_la_requête_à_partir_de_Excel_Files[[#This Row],[Autre Public2]]</f>
        <v>67339.39</v>
      </c>
      <c r="Q7" s="33">
        <f>(Tableau_Lancer_la_requête_à_partir_de_Excel_Files[[#This Row],[Autre Public2]]+Tableau_Lancer_la_requête_à_partir_de_Excel_Files[[#This Row],[Aide Massif Obtenue]])/Tableau_Lancer_la_requête_à_partir_de_Excel_Files[[#This Row],[Coût total déposé]]</f>
        <v>0.63778296903258125</v>
      </c>
      <c r="R7" s="22">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67339.39</v>
      </c>
      <c r="S7" s="34">
        <f>Tableau_Lancer_la_requête_à_partir_de_Excel_Files[[#This Row],[Aide Massif Obtenue]]/Tableau_Lancer_la_requête_à_partir_de_Excel_Files[[#This Row],[Coût total déposé]]</f>
        <v>0.63778296903258125</v>
      </c>
      <c r="T7" s="22">
        <f>Tableau_Lancer_la_requête_à_partir_de_Excel_Files[[#This Row],[Aide Publique Obtenue]]-Tableau_Lancer_la_requête_à_partir_de_Excel_Files[[#This Row],[Aide Publique demandée]]</f>
        <v>-6569.0950000000012</v>
      </c>
      <c r="U7" s="22">
        <f>Tableau_Lancer_la_requête_à_partir_de_Excel_Files[[#This Row],[FNADT_FN2]]+Tableau_Lancer_la_requête_à_partir_de_Excel_Files[[#This Row],[AgricultureFN2]]</f>
        <v>29239.39</v>
      </c>
      <c r="V7" s="22">
        <v>29239.39</v>
      </c>
      <c r="W7" s="22"/>
      <c r="X7" s="22">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7" s="22"/>
      <c r="Z7" s="22"/>
      <c r="AA7" s="22"/>
      <c r="AB7" s="22"/>
      <c r="AC7" s="22">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7" s="22"/>
      <c r="AE7" s="22"/>
      <c r="AF7" s="22"/>
      <c r="AG7" s="22"/>
      <c r="AH7" s="22"/>
      <c r="AI7" s="22"/>
      <c r="AJ7" s="22"/>
      <c r="AK7" s="22"/>
      <c r="AL7" s="22"/>
      <c r="AM7" s="22"/>
      <c r="AN7" s="22"/>
      <c r="AO7" s="22"/>
      <c r="AP7" s="22"/>
      <c r="AQ7" s="22"/>
      <c r="AR7" s="22"/>
      <c r="AS7" s="22"/>
      <c r="AT7" s="22"/>
      <c r="AU7" s="22"/>
      <c r="AV7" s="22"/>
      <c r="AW7" s="22"/>
      <c r="AX7" s="22"/>
      <c r="AY7" s="22"/>
      <c r="AZ7" s="22">
        <v>0</v>
      </c>
      <c r="BA7" s="22">
        <v>38100</v>
      </c>
      <c r="BB7" s="30">
        <v>42736</v>
      </c>
      <c r="BC7" s="30"/>
      <c r="BD7" s="70" t="s">
        <v>439</v>
      </c>
      <c r="BE7" s="70"/>
      <c r="BQ7" s="14"/>
      <c r="BR7" s="14"/>
      <c r="BS7" s="14"/>
      <c r="BT7" s="14"/>
      <c r="BU7" s="14"/>
      <c r="BV7" s="14"/>
      <c r="BW7" s="14"/>
      <c r="BX7" s="14"/>
      <c r="BY7" s="14"/>
      <c r="BZ7" s="14"/>
      <c r="CA7" s="14"/>
      <c r="CB7" s="14"/>
      <c r="CC7" s="14"/>
      <c r="CD7" s="14"/>
      <c r="CE7" s="14"/>
      <c r="CF7" s="14"/>
      <c r="CG7" s="14"/>
      <c r="CH7" s="14"/>
      <c r="CI7" s="14"/>
      <c r="CJ7" s="14"/>
      <c r="CK7" s="14"/>
      <c r="CL7" s="14"/>
    </row>
    <row r="8" spans="1:90" ht="60" x14ac:dyDescent="0.25">
      <c r="A8" s="28" t="s">
        <v>6</v>
      </c>
      <c r="B8" s="29" t="s">
        <v>364</v>
      </c>
      <c r="C8" s="29" t="s">
        <v>360</v>
      </c>
      <c r="D8" s="30" t="s">
        <v>388</v>
      </c>
      <c r="E8" s="31" t="s">
        <v>363</v>
      </c>
      <c r="F8" s="31" t="s">
        <v>361</v>
      </c>
      <c r="G8" s="22">
        <v>115049.39</v>
      </c>
      <c r="H8" s="22">
        <f>Tableau_Lancer_la_requête_à_partir_de_Excel_Files[[#This Row],[Coût total déposé]]*Tableau_Lancer_la_requête_à_partir_de_Excel_Files[[#This Row],[Taux Aide publique]]</f>
        <v>80534.572999999989</v>
      </c>
      <c r="I8" s="23">
        <v>0.7</v>
      </c>
      <c r="J8" s="29"/>
      <c r="K8" s="32" t="s">
        <v>211</v>
      </c>
      <c r="L8" s="29" t="s">
        <v>204</v>
      </c>
      <c r="M8" s="29" t="s">
        <v>224</v>
      </c>
      <c r="N8" s="29"/>
      <c r="O8" s="32">
        <v>42753</v>
      </c>
      <c r="P8" s="22">
        <f>Tableau_Lancer_la_requête_à_partir_de_Excel_Files[[#This Row],[Aide Massif Obtenue]]+Tableau_Lancer_la_requête_à_partir_de_Excel_Files[[#This Row],[Autre Public2]]</f>
        <v>69347.56</v>
      </c>
      <c r="Q8" s="33">
        <f>(Tableau_Lancer_la_requête_à_partir_de_Excel_Files[[#This Row],[Autre Public2]]+Tableau_Lancer_la_requête_à_partir_de_Excel_Files[[#This Row],[Aide Massif Obtenue]])/Tableau_Lancer_la_requête_à_partir_de_Excel_Files[[#This Row],[Coût total déposé]]</f>
        <v>0.60276338709835831</v>
      </c>
      <c r="R8" s="22">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69347.56</v>
      </c>
      <c r="S8" s="34">
        <f>Tableau_Lancer_la_requête_à_partir_de_Excel_Files[[#This Row],[Aide Massif Obtenue]]/Tableau_Lancer_la_requête_à_partir_de_Excel_Files[[#This Row],[Coût total déposé]]</f>
        <v>0.60276338709835831</v>
      </c>
      <c r="T8" s="22">
        <f>Tableau_Lancer_la_requête_à_partir_de_Excel_Files[[#This Row],[Aide Publique Obtenue]]-Tableau_Lancer_la_requête_à_partir_de_Excel_Files[[#This Row],[Aide Publique demandée]]</f>
        <v>-11187.012999999992</v>
      </c>
      <c r="U8" s="22">
        <f>Tableau_Lancer_la_requête_à_partir_de_Excel_Files[[#This Row],[FNADT_FN2]]+Tableau_Lancer_la_requête_à_partir_de_Excel_Files[[#This Row],[AgricultureFN2]]</f>
        <v>30147.56</v>
      </c>
      <c r="V8" s="22">
        <v>30147.56</v>
      </c>
      <c r="W8" s="22"/>
      <c r="X8" s="22">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8" s="22"/>
      <c r="Z8" s="22">
        <v>0</v>
      </c>
      <c r="AA8" s="22"/>
      <c r="AB8" s="22"/>
      <c r="AC8" s="22">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8" s="22"/>
      <c r="AE8" s="22"/>
      <c r="AF8" s="22"/>
      <c r="AG8" s="22"/>
      <c r="AH8" s="22"/>
      <c r="AI8" s="22"/>
      <c r="AJ8" s="22"/>
      <c r="AK8" s="22"/>
      <c r="AL8" s="22"/>
      <c r="AM8" s="22"/>
      <c r="AN8" s="22"/>
      <c r="AO8" s="22"/>
      <c r="AP8" s="22"/>
      <c r="AQ8" s="22"/>
      <c r="AR8" s="22"/>
      <c r="AS8" s="22"/>
      <c r="AT8" s="22"/>
      <c r="AU8" s="22"/>
      <c r="AV8" s="22"/>
      <c r="AW8" s="22"/>
      <c r="AX8" s="22"/>
      <c r="AY8" s="22"/>
      <c r="AZ8" s="22">
        <v>0</v>
      </c>
      <c r="BA8" s="22">
        <v>39200</v>
      </c>
      <c r="BB8" s="30">
        <v>42736</v>
      </c>
      <c r="BC8" s="30"/>
      <c r="BD8" s="70" t="s">
        <v>439</v>
      </c>
      <c r="BE8" s="70"/>
      <c r="BQ8" s="14"/>
      <c r="BR8" s="14"/>
      <c r="BS8" s="14"/>
      <c r="BT8" s="14"/>
      <c r="BU8" s="14"/>
      <c r="BV8" s="14"/>
      <c r="BW8" s="14"/>
      <c r="BX8" s="14"/>
      <c r="BY8" s="14"/>
      <c r="BZ8" s="14"/>
      <c r="CA8" s="14"/>
      <c r="CB8" s="14"/>
      <c r="CC8" s="14"/>
      <c r="CD8" s="14"/>
      <c r="CE8" s="14"/>
      <c r="CF8" s="14"/>
      <c r="CG8" s="14"/>
      <c r="CH8" s="14"/>
      <c r="CI8" s="14"/>
      <c r="CJ8" s="14"/>
      <c r="CK8" s="14"/>
      <c r="CL8" s="14"/>
    </row>
    <row r="9" spans="1:90" ht="60" x14ac:dyDescent="0.25">
      <c r="A9" s="28" t="s">
        <v>6</v>
      </c>
      <c r="B9" s="29" t="s">
        <v>366</v>
      </c>
      <c r="C9" s="29" t="s">
        <v>360</v>
      </c>
      <c r="D9" s="30" t="s">
        <v>388</v>
      </c>
      <c r="E9" s="31" t="s">
        <v>365</v>
      </c>
      <c r="F9" s="31" t="s">
        <v>361</v>
      </c>
      <c r="G9" s="22">
        <v>110069.77</v>
      </c>
      <c r="H9" s="22">
        <f>Tableau_Lancer_la_requête_à_partir_de_Excel_Files[[#This Row],[Coût total déposé]]*Tableau_Lancer_la_requête_à_partir_de_Excel_Files[[#This Row],[Taux Aide publique]]</f>
        <v>77048.838999999993</v>
      </c>
      <c r="I9" s="23">
        <v>0.7</v>
      </c>
      <c r="J9" s="29"/>
      <c r="K9" s="32" t="s">
        <v>211</v>
      </c>
      <c r="L9" s="29" t="s">
        <v>204</v>
      </c>
      <c r="M9" s="29" t="s">
        <v>426</v>
      </c>
      <c r="N9" s="29"/>
      <c r="O9" s="32">
        <v>42753</v>
      </c>
      <c r="P9" s="22">
        <f>Tableau_Lancer_la_requête_à_partir_de_Excel_Files[[#This Row],[Aide Massif Obtenue]]+Tableau_Lancer_la_requête_à_partir_de_Excel_Files[[#This Row],[Autre Public2]]</f>
        <v>64175.19</v>
      </c>
      <c r="Q9" s="33">
        <f>(Tableau_Lancer_la_requête_à_partir_de_Excel_Files[[#This Row],[Autre Public2]]+Tableau_Lancer_la_requête_à_partir_de_Excel_Files[[#This Row],[Aide Massif Obtenue]])/Tableau_Lancer_la_requête_à_partir_de_Excel_Files[[#This Row],[Coût total déposé]]</f>
        <v>0.58304101116955187</v>
      </c>
      <c r="R9" s="22">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64175.19</v>
      </c>
      <c r="S9" s="34">
        <f>Tableau_Lancer_la_requête_à_partir_de_Excel_Files[[#This Row],[Aide Massif Obtenue]]/Tableau_Lancer_la_requête_à_partir_de_Excel_Files[[#This Row],[Coût total déposé]]</f>
        <v>0.58304101116955187</v>
      </c>
      <c r="T9" s="22">
        <f>Tableau_Lancer_la_requête_à_partir_de_Excel_Files[[#This Row],[Aide Publique Obtenue]]-Tableau_Lancer_la_requête_à_partir_de_Excel_Files[[#This Row],[Aide Publique demandée]]</f>
        <v>-12873.64899999999</v>
      </c>
      <c r="U9" s="22">
        <f>Tableau_Lancer_la_requête_à_partir_de_Excel_Files[[#This Row],[FNADT_FN2]]+Tableau_Lancer_la_requête_à_partir_de_Excel_Files[[#This Row],[AgricultureFN2]]</f>
        <v>10075.19</v>
      </c>
      <c r="V9" s="22">
        <v>10075.19</v>
      </c>
      <c r="W9" s="22"/>
      <c r="X9" s="22">
        <f>Tableau_Lancer_la_requête_à_partir_de_Excel_Files[[#This Row],[ALPC_FN2]]+Tableau_Lancer_la_requête_à_partir_de_Excel_Files[[#This Row],[AURA_FN2]]+Tableau_Lancer_la_requête_à_partir_de_Excel_Files[[#This Row],[BFC_FN2]]+Tableau_Lancer_la_requête_à_partir_de_Excel_Files[[#This Row],[LRMP_FN2]]</f>
        <v>19300</v>
      </c>
      <c r="Y9" s="22">
        <v>19300</v>
      </c>
      <c r="Z9" s="22"/>
      <c r="AA9" s="22"/>
      <c r="AB9" s="22"/>
      <c r="AC9" s="22">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9" s="22"/>
      <c r="AE9" s="22"/>
      <c r="AF9" s="22"/>
      <c r="AG9" s="22"/>
      <c r="AH9" s="22"/>
      <c r="AI9" s="22"/>
      <c r="AJ9" s="22"/>
      <c r="AK9" s="22"/>
      <c r="AL9" s="22"/>
      <c r="AM9" s="22"/>
      <c r="AN9" s="22"/>
      <c r="AO9" s="22"/>
      <c r="AP9" s="22"/>
      <c r="AQ9" s="22"/>
      <c r="AR9" s="22"/>
      <c r="AS9" s="22"/>
      <c r="AT9" s="22"/>
      <c r="AU9" s="22"/>
      <c r="AV9" s="22"/>
      <c r="AW9" s="22"/>
      <c r="AX9" s="22"/>
      <c r="AY9" s="22"/>
      <c r="AZ9" s="22">
        <v>0</v>
      </c>
      <c r="BA9" s="22">
        <v>34800</v>
      </c>
      <c r="BB9" s="30">
        <v>42736</v>
      </c>
      <c r="BC9" s="30"/>
      <c r="BD9" s="70" t="s">
        <v>439</v>
      </c>
      <c r="BE9" s="70"/>
      <c r="BQ9" s="14"/>
      <c r="BR9" s="14"/>
      <c r="BS9" s="14"/>
      <c r="BT9" s="14"/>
      <c r="BU9" s="14"/>
      <c r="BV9" s="14"/>
      <c r="BW9" s="14"/>
      <c r="BX9" s="14"/>
      <c r="BY9" s="14"/>
      <c r="BZ9" s="14"/>
      <c r="CA9" s="14"/>
      <c r="CB9" s="14"/>
      <c r="CC9" s="14"/>
      <c r="CD9" s="14"/>
      <c r="CE9" s="14"/>
      <c r="CF9" s="14"/>
      <c r="CG9" s="14"/>
      <c r="CH9" s="14"/>
      <c r="CI9" s="14"/>
      <c r="CJ9" s="14"/>
      <c r="CK9" s="14"/>
      <c r="CL9" s="14"/>
    </row>
    <row r="10" spans="1:90" ht="60" x14ac:dyDescent="0.25">
      <c r="A10" s="28" t="s">
        <v>6</v>
      </c>
      <c r="B10" s="29" t="s">
        <v>368</v>
      </c>
      <c r="C10" s="29" t="s">
        <v>360</v>
      </c>
      <c r="D10" s="30" t="s">
        <v>388</v>
      </c>
      <c r="E10" s="31" t="s">
        <v>367</v>
      </c>
      <c r="F10" s="31" t="s">
        <v>361</v>
      </c>
      <c r="G10" s="22">
        <v>127185.89</v>
      </c>
      <c r="H10" s="22">
        <f>Tableau_Lancer_la_requête_à_partir_de_Excel_Files[[#This Row],[Coût total déposé]]*Tableau_Lancer_la_requête_à_partir_de_Excel_Files[[#This Row],[Taux Aide publique]]</f>
        <v>89030.122999999992</v>
      </c>
      <c r="I10" s="23">
        <v>0.7</v>
      </c>
      <c r="J10" s="29"/>
      <c r="K10" s="32" t="s">
        <v>211</v>
      </c>
      <c r="L10" s="29" t="s">
        <v>204</v>
      </c>
      <c r="M10" s="29" t="s">
        <v>338</v>
      </c>
      <c r="N10" s="29"/>
      <c r="O10" s="32">
        <v>42753</v>
      </c>
      <c r="P10" s="22">
        <f>Tableau_Lancer_la_requête_à_partir_de_Excel_Files[[#This Row],[Aide Massif Obtenue]]+Tableau_Lancer_la_requête_à_partir_de_Excel_Files[[#This Row],[Autre Public2]]</f>
        <v>81616.12</v>
      </c>
      <c r="Q10" s="33">
        <f>(Tableau_Lancer_la_requête_à_partir_de_Excel_Files[[#This Row],[Autre Public2]]+Tableau_Lancer_la_requête_à_partir_de_Excel_Files[[#This Row],[Aide Massif Obtenue]])/Tableau_Lancer_la_requête_à_partir_de_Excel_Files[[#This Row],[Coût total déposé]]</f>
        <v>0.64170734662469242</v>
      </c>
      <c r="R10" s="22">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81616.12</v>
      </c>
      <c r="S10" s="34">
        <f>Tableau_Lancer_la_requête_à_partir_de_Excel_Files[[#This Row],[Aide Massif Obtenue]]/Tableau_Lancer_la_requête_à_partir_de_Excel_Files[[#This Row],[Coût total déposé]]</f>
        <v>0.64170734662469242</v>
      </c>
      <c r="T10" s="22">
        <f>Tableau_Lancer_la_requête_à_partir_de_Excel_Files[[#This Row],[Aide Publique Obtenue]]-Tableau_Lancer_la_requête_à_partir_de_Excel_Files[[#This Row],[Aide Publique demandée]]</f>
        <v>-7414.002999999997</v>
      </c>
      <c r="U10" s="22">
        <f>Tableau_Lancer_la_requête_à_partir_de_Excel_Files[[#This Row],[FNADT_FN2]]+Tableau_Lancer_la_requête_à_partir_de_Excel_Files[[#This Row],[AgricultureFN2]]</f>
        <v>24516.12</v>
      </c>
      <c r="V10" s="9">
        <v>24516.12</v>
      </c>
      <c r="W10" s="22"/>
      <c r="X10" s="9">
        <v>11200</v>
      </c>
      <c r="Y10" s="22"/>
      <c r="Z10" s="22"/>
      <c r="AA10" s="22"/>
      <c r="AB10" s="22">
        <v>12000</v>
      </c>
      <c r="AC10" s="22">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0" s="22"/>
      <c r="AE10" s="22"/>
      <c r="AF10" s="22"/>
      <c r="AG10" s="22"/>
      <c r="AH10" s="22"/>
      <c r="AI10" s="22"/>
      <c r="AJ10" s="22"/>
      <c r="AK10" s="22"/>
      <c r="AL10" s="22"/>
      <c r="AM10" s="22"/>
      <c r="AN10" s="22"/>
      <c r="AO10" s="22"/>
      <c r="AP10" s="22"/>
      <c r="AQ10" s="22"/>
      <c r="AR10" s="22"/>
      <c r="AS10" s="22"/>
      <c r="AT10" s="22"/>
      <c r="AU10" s="22"/>
      <c r="AV10" s="22"/>
      <c r="AW10" s="22"/>
      <c r="AX10" s="22"/>
      <c r="AY10" s="22"/>
      <c r="AZ10" s="22">
        <v>0</v>
      </c>
      <c r="BA10" s="22">
        <v>45900</v>
      </c>
      <c r="BB10" s="30">
        <v>42736</v>
      </c>
      <c r="BC10" s="30"/>
      <c r="BD10" s="70" t="s">
        <v>439</v>
      </c>
      <c r="BE10" s="70"/>
      <c r="BQ10" s="14"/>
      <c r="BR10" s="14"/>
      <c r="BS10" s="14"/>
      <c r="BT10" s="14"/>
      <c r="BU10" s="14"/>
      <c r="BV10" s="14"/>
      <c r="BW10" s="14"/>
      <c r="BX10" s="14"/>
      <c r="BY10" s="14"/>
      <c r="BZ10" s="14"/>
      <c r="CA10" s="14"/>
      <c r="CB10" s="14"/>
      <c r="CC10" s="14"/>
      <c r="CD10" s="14"/>
      <c r="CE10" s="14"/>
      <c r="CF10" s="14"/>
      <c r="CG10" s="14"/>
      <c r="CH10" s="14"/>
      <c r="CI10" s="14"/>
      <c r="CJ10" s="14"/>
      <c r="CK10" s="14"/>
      <c r="CL10" s="14"/>
    </row>
    <row r="11" spans="1:90" ht="45" x14ac:dyDescent="0.25">
      <c r="A11" s="12" t="s">
        <v>5</v>
      </c>
      <c r="B11" s="15" t="s">
        <v>369</v>
      </c>
      <c r="C11" s="15" t="s">
        <v>369</v>
      </c>
      <c r="D11" s="18" t="s">
        <v>392</v>
      </c>
      <c r="E11" s="11" t="s">
        <v>370</v>
      </c>
      <c r="F11" s="11" t="s">
        <v>371</v>
      </c>
      <c r="G11" s="9">
        <v>449318.33</v>
      </c>
      <c r="H11" s="9">
        <v>224659.16</v>
      </c>
      <c r="I11" s="37">
        <v>0.5</v>
      </c>
      <c r="J11" s="15"/>
      <c r="K11" s="17" t="s">
        <v>211</v>
      </c>
      <c r="L11" s="15" t="s">
        <v>204</v>
      </c>
      <c r="M11" s="15" t="s">
        <v>372</v>
      </c>
      <c r="N11" s="15"/>
      <c r="O11" s="17">
        <v>42747</v>
      </c>
      <c r="P11" s="9">
        <f>Tableau_Lancer_la_requête_à_partir_de_Excel_Files[[#This Row],[Aide Massif Obtenue]]+Tableau_Lancer_la_requête_à_partir_de_Excel_Files[[#This Row],[Autre Public2]]</f>
        <v>224637.07</v>
      </c>
      <c r="Q11" s="13">
        <f>(Tableau_Lancer_la_requête_à_partir_de_Excel_Files[[#This Row],[Autre Public2]]+Tableau_Lancer_la_requête_à_partir_de_Excel_Files[[#This Row],[Aide Massif Obtenue]])/Tableau_Lancer_la_requête_à_partir_de_Excel_Files[[#This Row],[Coût total déposé]]</f>
        <v>0.49995082550938885</v>
      </c>
      <c r="R11"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224637.07</v>
      </c>
      <c r="S11" s="16">
        <f>Tableau_Lancer_la_requête_à_partir_de_Excel_Files[[#This Row],[Aide Massif Obtenue]]/Tableau_Lancer_la_requête_à_partir_de_Excel_Files[[#This Row],[Coût total déposé]]</f>
        <v>0.49995082550938885</v>
      </c>
      <c r="T11" s="9">
        <f>Tableau_Lancer_la_requête_à_partir_de_Excel_Files[[#This Row],[Aide Publique Obtenue]]-Tableau_Lancer_la_requête_à_partir_de_Excel_Files[[#This Row],[Aide Publique demandée]]</f>
        <v>-22.089999999996508</v>
      </c>
      <c r="U11" s="9">
        <f>Tableau_Lancer_la_requête_à_partir_de_Excel_Files[[#This Row],[FNADT_FN2]]+Tableau_Lancer_la_requête_à_partir_de_Excel_Files[[#This Row],[AgricultureFN2]]</f>
        <v>149690</v>
      </c>
      <c r="V11" s="9">
        <v>149690</v>
      </c>
      <c r="W11" s="9"/>
      <c r="X11" s="9">
        <f>Tableau_Lancer_la_requête_à_partir_de_Excel_Files[[#This Row],[ALPC_FN2]]+Tableau_Lancer_la_requête_à_partir_de_Excel_Files[[#This Row],[AURA_FN2]]+Tableau_Lancer_la_requête_à_partir_de_Excel_Files[[#This Row],[BFC_FN2]]+Tableau_Lancer_la_requête_à_partir_de_Excel_Files[[#This Row],[LRMP_FN2]]</f>
        <v>74947.070000000007</v>
      </c>
      <c r="Y11" s="70">
        <v>45000</v>
      </c>
      <c r="Z11" s="70"/>
      <c r="AA11" s="70"/>
      <c r="AB11" s="70">
        <v>29947.07</v>
      </c>
      <c r="AC11"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1" s="36"/>
      <c r="AE11" s="36"/>
      <c r="AF11" s="36"/>
      <c r="AG11" s="36"/>
      <c r="AH11" s="36"/>
      <c r="AI11" s="36"/>
      <c r="AJ11" s="36"/>
      <c r="AK11" s="36"/>
      <c r="AL11" s="36"/>
      <c r="AM11" s="36"/>
      <c r="AN11" s="36"/>
      <c r="AO11" s="36"/>
      <c r="AP11" s="36"/>
      <c r="AQ11" s="36"/>
      <c r="AR11" s="36"/>
      <c r="AS11" s="36"/>
      <c r="AT11" s="36"/>
      <c r="AU11" s="36"/>
      <c r="AV11" s="36"/>
      <c r="AW11" s="36"/>
      <c r="AX11" s="36"/>
      <c r="AY11" s="36"/>
      <c r="AZ11" s="9">
        <v>0</v>
      </c>
      <c r="BA11" s="9">
        <v>0</v>
      </c>
      <c r="BB11" s="18">
        <v>42795</v>
      </c>
      <c r="BC11" s="18"/>
      <c r="BD11" s="22"/>
      <c r="BE11" s="70"/>
      <c r="BQ11" s="14"/>
      <c r="BR11" s="14"/>
      <c r="BS11" s="14"/>
      <c r="BT11" s="14"/>
      <c r="BU11" s="14"/>
      <c r="BV11" s="14"/>
      <c r="BW11" s="14"/>
      <c r="BX11" s="14"/>
      <c r="BY11" s="14"/>
      <c r="BZ11" s="14"/>
      <c r="CA11" s="14"/>
      <c r="CB11" s="14"/>
      <c r="CC11" s="14"/>
      <c r="CD11" s="14"/>
      <c r="CE11" s="14"/>
      <c r="CF11" s="14"/>
      <c r="CG11" s="14"/>
      <c r="CH11" s="14"/>
      <c r="CI11" s="14"/>
      <c r="CJ11" s="14"/>
      <c r="CK11" s="14"/>
      <c r="CL11" s="14"/>
    </row>
    <row r="12" spans="1:90" ht="30" x14ac:dyDescent="0.25">
      <c r="A12" s="12" t="s">
        <v>6</v>
      </c>
      <c r="B12" s="15" t="s">
        <v>409</v>
      </c>
      <c r="C12" s="15" t="s">
        <v>225</v>
      </c>
      <c r="D12" s="18" t="s">
        <v>391</v>
      </c>
      <c r="E12" s="11" t="s">
        <v>226</v>
      </c>
      <c r="F12" s="11" t="s">
        <v>229</v>
      </c>
      <c r="G12" s="9">
        <v>903796.15</v>
      </c>
      <c r="H12" s="9">
        <v>633357.31000000006</v>
      </c>
      <c r="I12" s="17" t="s">
        <v>410</v>
      </c>
      <c r="J12" s="15">
        <v>361518.46</v>
      </c>
      <c r="K12" s="17" t="s">
        <v>210</v>
      </c>
      <c r="L12" s="15" t="s">
        <v>204</v>
      </c>
      <c r="M12" s="15" t="s">
        <v>224</v>
      </c>
      <c r="N12" s="15" t="s">
        <v>227</v>
      </c>
      <c r="O12" s="17">
        <v>42850</v>
      </c>
      <c r="P12" s="9">
        <f>Tableau_Lancer_la_requête_à_partir_de_Excel_Files[[#This Row],[Aide Massif Obtenue]]+Tableau_Lancer_la_requête_à_partir_de_Excel_Files[[#This Row],[Autre Public2]]</f>
        <v>383582.71999999997</v>
      </c>
      <c r="Q12" s="13">
        <f>(Tableau_Lancer_la_requête_à_partir_de_Excel_Files[[#This Row],[Autre Public2]]+Tableau_Lancer_la_requête_à_partir_de_Excel_Files[[#This Row],[Aide Massif Obtenue]])/Tableau_Lancer_la_requête_à_partir_de_Excel_Files[[#This Row],[Coût total déposé]]</f>
        <v>0.4244128723053312</v>
      </c>
      <c r="R12"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383582.71999999997</v>
      </c>
      <c r="S12" s="16">
        <f>Tableau_Lancer_la_requête_à_partir_de_Excel_Files[[#This Row],[Aide Massif Obtenue]]/Tableau_Lancer_la_requête_à_partir_de_Excel_Files[[#This Row],[Coût total déposé]]</f>
        <v>0.4244128723053312</v>
      </c>
      <c r="T12" s="9">
        <f>Tableau_Lancer_la_requête_à_partir_de_Excel_Files[[#This Row],[Aide Publique Obtenue]]-Tableau_Lancer_la_requête_à_partir_de_Excel_Files[[#This Row],[Aide Publique demandée]]</f>
        <v>-249774.59000000008</v>
      </c>
      <c r="U12" s="9">
        <f>Tableau_Lancer_la_requête_à_partir_de_Excel_Files[[#This Row],[FNADT_FN2]]+Tableau_Lancer_la_requête_à_partir_de_Excel_Files[[#This Row],[AgricultureFN2]]</f>
        <v>7379.72</v>
      </c>
      <c r="V12" s="70">
        <v>7379.72</v>
      </c>
      <c r="W12" s="9"/>
      <c r="X12"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2" s="70"/>
      <c r="Z12" s="70"/>
      <c r="AA12" s="70"/>
      <c r="AB12" s="70"/>
      <c r="AC12"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2" s="27"/>
      <c r="AE12" s="27"/>
      <c r="AF12" s="27"/>
      <c r="AG12" s="27"/>
      <c r="AH12" s="27"/>
      <c r="AI12" s="27"/>
      <c r="AJ12" s="27"/>
      <c r="AK12" s="27"/>
      <c r="AL12" s="27"/>
      <c r="AM12" s="27"/>
      <c r="AN12" s="27"/>
      <c r="AO12" s="27"/>
      <c r="AP12" s="27"/>
      <c r="AQ12" s="27"/>
      <c r="AR12" s="27"/>
      <c r="AS12" s="27"/>
      <c r="AT12" s="27"/>
      <c r="AU12" s="27"/>
      <c r="AV12" s="27"/>
      <c r="AW12" s="27"/>
      <c r="AX12" s="27"/>
      <c r="AY12" s="27"/>
      <c r="AZ12" s="9">
        <v>0</v>
      </c>
      <c r="BA12" s="9">
        <v>376203</v>
      </c>
      <c r="BB12" s="18">
        <v>42736</v>
      </c>
      <c r="BC12" s="18"/>
      <c r="BD12" s="9" t="s">
        <v>439</v>
      </c>
      <c r="BE12" s="70"/>
      <c r="BQ12" s="14"/>
      <c r="BR12" s="14"/>
      <c r="BS12" s="14"/>
      <c r="BT12" s="14"/>
      <c r="BU12" s="14"/>
      <c r="BV12" s="14"/>
      <c r="BW12" s="14"/>
      <c r="BX12" s="14"/>
      <c r="BY12" s="14"/>
      <c r="BZ12" s="14"/>
      <c r="CA12" s="14"/>
      <c r="CB12" s="14"/>
      <c r="CC12" s="14"/>
      <c r="CD12" s="14"/>
      <c r="CE12" s="14"/>
      <c r="CF12" s="14"/>
      <c r="CG12" s="14"/>
      <c r="CH12" s="14"/>
      <c r="CI12" s="14"/>
      <c r="CJ12" s="14"/>
      <c r="CK12" s="14"/>
      <c r="CL12" s="14"/>
    </row>
    <row r="13" spans="1:90" ht="31.5" customHeight="1" x14ac:dyDescent="0.25">
      <c r="A13" s="12" t="s">
        <v>6</v>
      </c>
      <c r="B13" s="15" t="s">
        <v>278</v>
      </c>
      <c r="C13" s="15"/>
      <c r="D13" s="18" t="s">
        <v>394</v>
      </c>
      <c r="E13" s="11" t="s">
        <v>276</v>
      </c>
      <c r="F13" s="11" t="s">
        <v>277</v>
      </c>
      <c r="G13" s="9">
        <v>57656.07</v>
      </c>
      <c r="H13" s="9">
        <v>49960.11</v>
      </c>
      <c r="I13" s="17" t="s">
        <v>280</v>
      </c>
      <c r="J13" s="15">
        <v>22565.88</v>
      </c>
      <c r="K13" s="17" t="s">
        <v>281</v>
      </c>
      <c r="L13" s="15" t="s">
        <v>279</v>
      </c>
      <c r="M13" s="15" t="s">
        <v>205</v>
      </c>
      <c r="N13" s="15"/>
      <c r="O13" s="17">
        <v>42882</v>
      </c>
      <c r="P13" s="9">
        <f>Tableau_Lancer_la_requête_à_partir_de_Excel_Files[[#This Row],[Aide Massif Obtenue]]+Tableau_Lancer_la_requête_à_partir_de_Excel_Files[[#This Row],[Autre Public2]]</f>
        <v>49959.229999999996</v>
      </c>
      <c r="Q13" s="13">
        <f>(Tableau_Lancer_la_requête_à_partir_de_Excel_Files[[#This Row],[Autre Public2]]+Tableau_Lancer_la_requête_à_partir_de_Excel_Files[[#This Row],[Aide Massif Obtenue]])/Tableau_Lancer_la_requête_à_partir_de_Excel_Files[[#This Row],[Coût total déposé]]</f>
        <v>0.86650425531951791</v>
      </c>
      <c r="R13"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34959.229999999996</v>
      </c>
      <c r="S13" s="16">
        <f>Tableau_Lancer_la_requête_à_partir_de_Excel_Files[[#This Row],[Aide Massif Obtenue]]/Tableau_Lancer_la_requête_à_partir_de_Excel_Files[[#This Row],[Coût total déposé]]</f>
        <v>0.60634084147601452</v>
      </c>
      <c r="T13" s="9">
        <f>Tableau_Lancer_la_requête_à_partir_de_Excel_Files[[#This Row],[Aide Publique Obtenue]]-Tableau_Lancer_la_requête_à_partir_de_Excel_Files[[#This Row],[Aide Publique demandée]]</f>
        <v>-0.88000000000465661</v>
      </c>
      <c r="U13" s="9">
        <f>Tableau_Lancer_la_requête_à_partir_de_Excel_Files[[#This Row],[FNADT_FN2]]+Tableau_Lancer_la_requête_à_partir_de_Excel_Files[[#This Row],[AgricultureFN2]]</f>
        <v>0</v>
      </c>
      <c r="V13" s="9"/>
      <c r="W13" s="9"/>
      <c r="X13" s="9">
        <f>Tableau_Lancer_la_requête_à_partir_de_Excel_Files[[#This Row],[ALPC_FN2]]+Tableau_Lancer_la_requête_à_partir_de_Excel_Files[[#This Row],[AURA_FN2]]+Tableau_Lancer_la_requête_à_partir_de_Excel_Files[[#This Row],[BFC_FN2]]+Tableau_Lancer_la_requête_à_partir_de_Excel_Files[[#This Row],[LRMP_FN2]]</f>
        <v>12394.23</v>
      </c>
      <c r="Y13" s="70"/>
      <c r="Z13" s="70">
        <v>12394.23</v>
      </c>
      <c r="AA13" s="70"/>
      <c r="AB13" s="70"/>
      <c r="AC13"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3" s="21"/>
      <c r="AE13" s="21"/>
      <c r="AF13" s="21"/>
      <c r="AG13" s="21"/>
      <c r="AH13" s="21"/>
      <c r="AI13" s="21"/>
      <c r="AJ13" s="21"/>
      <c r="AK13" s="21"/>
      <c r="AL13" s="21"/>
      <c r="AM13" s="21"/>
      <c r="AN13" s="21"/>
      <c r="AO13" s="21"/>
      <c r="AP13" s="21"/>
      <c r="AQ13" s="21"/>
      <c r="AR13" s="21"/>
      <c r="AS13" s="21"/>
      <c r="AT13" s="21"/>
      <c r="AU13" s="21"/>
      <c r="AV13" s="21"/>
      <c r="AW13" s="21"/>
      <c r="AX13" s="21"/>
      <c r="AY13" s="21"/>
      <c r="AZ13" s="9">
        <v>15000</v>
      </c>
      <c r="BA13" s="9">
        <v>22565</v>
      </c>
      <c r="BB13" s="18">
        <v>42917</v>
      </c>
      <c r="BC13" s="18"/>
      <c r="BD13" s="70"/>
      <c r="BE13" s="70"/>
      <c r="BQ13" s="14"/>
      <c r="BR13" s="14"/>
      <c r="BS13" s="14"/>
      <c r="BT13" s="14"/>
      <c r="BU13" s="14"/>
      <c r="BV13" s="14"/>
      <c r="BW13" s="14"/>
      <c r="BX13" s="14"/>
      <c r="BY13" s="14"/>
      <c r="BZ13" s="14"/>
      <c r="CA13" s="14"/>
      <c r="CB13" s="14"/>
      <c r="CC13" s="14"/>
      <c r="CD13" s="14"/>
      <c r="CE13" s="14"/>
      <c r="CF13" s="14"/>
      <c r="CG13" s="14"/>
      <c r="CH13" s="14"/>
      <c r="CI13" s="14"/>
      <c r="CJ13" s="14"/>
      <c r="CK13" s="14"/>
      <c r="CL13" s="14"/>
    </row>
    <row r="14" spans="1:90" ht="45" x14ac:dyDescent="0.25">
      <c r="A14" s="74" t="s">
        <v>6</v>
      </c>
      <c r="B14" s="47" t="s">
        <v>375</v>
      </c>
      <c r="C14" s="47" t="s">
        <v>373</v>
      </c>
      <c r="D14" s="48" t="s">
        <v>391</v>
      </c>
      <c r="E14" s="49" t="s">
        <v>351</v>
      </c>
      <c r="F14" s="49" t="s">
        <v>374</v>
      </c>
      <c r="G14" s="50">
        <v>265000</v>
      </c>
      <c r="H14" s="50">
        <v>185500</v>
      </c>
      <c r="I14" s="51" t="s">
        <v>209</v>
      </c>
      <c r="J14" s="47">
        <v>79500</v>
      </c>
      <c r="K14" s="51" t="s">
        <v>230</v>
      </c>
      <c r="L14" s="47"/>
      <c r="M14" s="47" t="s">
        <v>219</v>
      </c>
      <c r="N14" s="47" t="s">
        <v>354</v>
      </c>
      <c r="O14" s="51">
        <v>42760</v>
      </c>
      <c r="P14" s="50">
        <f>Tableau_Lancer_la_requête_à_partir_de_Excel_Files[[#This Row],[Aide Massif Obtenue]]+Tableau_Lancer_la_requête_à_partir_de_Excel_Files[[#This Row],[Autre Public2]]</f>
        <v>185500</v>
      </c>
      <c r="Q14" s="52">
        <f>(Tableau_Lancer_la_requête_à_partir_de_Excel_Files[[#This Row],[Autre Public2]]+Tableau_Lancer_la_requête_à_partir_de_Excel_Files[[#This Row],[Aide Massif Obtenue]])/Tableau_Lancer_la_requête_à_partir_de_Excel_Files[[#This Row],[Coût total déposé]]</f>
        <v>0.7</v>
      </c>
      <c r="R14" s="50">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185500</v>
      </c>
      <c r="S14" s="53">
        <f>Tableau_Lancer_la_requête_à_partir_de_Excel_Files[[#This Row],[Aide Massif Obtenue]]/Tableau_Lancer_la_requête_à_partir_de_Excel_Files[[#This Row],[Coût total déposé]]</f>
        <v>0.7</v>
      </c>
      <c r="T14" s="50">
        <f>Tableau_Lancer_la_requête_à_partir_de_Excel_Files[[#This Row],[Aide Publique Obtenue]]-Tableau_Lancer_la_requête_à_partir_de_Excel_Files[[#This Row],[Aide Publique demandée]]</f>
        <v>0</v>
      </c>
      <c r="U14" s="50">
        <f>Tableau_Lancer_la_requête_à_partir_de_Excel_Files[[#This Row],[FNADT_FN2]]+Tableau_Lancer_la_requête_à_partir_de_Excel_Files[[#This Row],[AgricultureFN2]]</f>
        <v>0</v>
      </c>
      <c r="V14" s="50"/>
      <c r="W14" s="50"/>
      <c r="X14" s="50">
        <f>Tableau_Lancer_la_requête_à_partir_de_Excel_Files[[#This Row],[ALPC_FN2]]+Tableau_Lancer_la_requête_à_partir_de_Excel_Files[[#This Row],[AURA_FN2]]+Tableau_Lancer_la_requête_à_partir_de_Excel_Files[[#This Row],[BFC_FN2]]+Tableau_Lancer_la_requête_à_partir_de_Excel_Files[[#This Row],[LRMP_FN2]]</f>
        <v>50880</v>
      </c>
      <c r="Y14" s="50"/>
      <c r="Z14" s="50"/>
      <c r="AA14" s="50"/>
      <c r="AB14" s="50">
        <v>50880</v>
      </c>
      <c r="AC14" s="50">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55120</v>
      </c>
      <c r="AD14" s="50"/>
      <c r="AE14" s="50"/>
      <c r="AF14" s="50"/>
      <c r="AG14" s="50"/>
      <c r="AH14" s="50"/>
      <c r="AI14" s="50"/>
      <c r="AJ14" s="50"/>
      <c r="AK14" s="50"/>
      <c r="AL14" s="50">
        <v>55120</v>
      </c>
      <c r="AM14" s="50"/>
      <c r="AN14" s="50"/>
      <c r="AO14" s="50"/>
      <c r="AP14" s="50"/>
      <c r="AQ14" s="50"/>
      <c r="AR14" s="50"/>
      <c r="AS14" s="50"/>
      <c r="AT14" s="50"/>
      <c r="AU14" s="50"/>
      <c r="AV14" s="50"/>
      <c r="AW14" s="50"/>
      <c r="AX14" s="50"/>
      <c r="AY14" s="50"/>
      <c r="AZ14" s="50">
        <v>0</v>
      </c>
      <c r="BA14" s="50">
        <v>79500</v>
      </c>
      <c r="BB14" s="48">
        <v>42767</v>
      </c>
      <c r="BC14" s="48"/>
      <c r="BD14" s="50"/>
      <c r="BE14" s="70"/>
      <c r="BQ14" s="14"/>
      <c r="BR14" s="14"/>
      <c r="BS14" s="14"/>
      <c r="BT14" s="14"/>
      <c r="BU14" s="14"/>
      <c r="BV14" s="14"/>
      <c r="BW14" s="14"/>
      <c r="BX14" s="14"/>
      <c r="BY14" s="14"/>
      <c r="BZ14" s="14"/>
      <c r="CA14" s="14"/>
      <c r="CB14" s="14"/>
      <c r="CC14" s="14"/>
      <c r="CD14" s="14"/>
      <c r="CE14" s="14"/>
      <c r="CF14" s="14"/>
      <c r="CG14" s="14"/>
      <c r="CH14" s="14"/>
      <c r="CI14" s="14"/>
      <c r="CJ14" s="14"/>
      <c r="CK14" s="14"/>
      <c r="CL14" s="14"/>
    </row>
    <row r="15" spans="1:90" ht="60" x14ac:dyDescent="0.25">
      <c r="A15" s="12" t="s">
        <v>6</v>
      </c>
      <c r="B15" s="15" t="s">
        <v>231</v>
      </c>
      <c r="C15" s="15" t="s">
        <v>234</v>
      </c>
      <c r="D15" s="18" t="s">
        <v>391</v>
      </c>
      <c r="E15" s="11" t="s">
        <v>232</v>
      </c>
      <c r="F15" s="11" t="s">
        <v>233</v>
      </c>
      <c r="G15" s="9">
        <v>130650</v>
      </c>
      <c r="H15" s="9">
        <v>70000</v>
      </c>
      <c r="I15" s="17" t="s">
        <v>238</v>
      </c>
      <c r="J15" s="15">
        <v>45000</v>
      </c>
      <c r="K15" s="17" t="s">
        <v>239</v>
      </c>
      <c r="L15" s="15"/>
      <c r="M15" s="15" t="s">
        <v>219</v>
      </c>
      <c r="N15" s="15"/>
      <c r="O15" s="17">
        <v>42779</v>
      </c>
      <c r="P15" s="9">
        <f>Tableau_Lancer_la_requête_à_partir_de_Excel_Files[[#This Row],[Aide Massif Obtenue]]+Tableau_Lancer_la_requête_à_partir_de_Excel_Files[[#This Row],[Autre Public2]]</f>
        <v>70000</v>
      </c>
      <c r="Q15" s="13">
        <f>(Tableau_Lancer_la_requête_à_partir_de_Excel_Files[[#This Row],[Autre Public2]]+Tableau_Lancer_la_requête_à_partir_de_Excel_Files[[#This Row],[Aide Massif Obtenue]])/Tableau_Lancer_la_requête_à_partir_de_Excel_Files[[#This Row],[Coût total déposé]]</f>
        <v>0.53578262533486409</v>
      </c>
      <c r="R15"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70000</v>
      </c>
      <c r="S15" s="16">
        <f>Tableau_Lancer_la_requête_à_partir_de_Excel_Files[[#This Row],[Aide Massif Obtenue]]/Tableau_Lancer_la_requête_à_partir_de_Excel_Files[[#This Row],[Coût total déposé]]</f>
        <v>0.53578262533486409</v>
      </c>
      <c r="T15" s="9">
        <f>Tableau_Lancer_la_requête_à_partir_de_Excel_Files[[#This Row],[Aide Publique Obtenue]]-Tableau_Lancer_la_requête_à_partir_de_Excel_Files[[#This Row],[Aide Publique demandée]]</f>
        <v>0</v>
      </c>
      <c r="U15" s="9">
        <f>Tableau_Lancer_la_requête_à_partir_de_Excel_Files[[#This Row],[FNADT_FN2]]+Tableau_Lancer_la_requête_à_partir_de_Excel_Files[[#This Row],[AgricultureFN2]]</f>
        <v>0</v>
      </c>
      <c r="V15" s="9"/>
      <c r="W15" s="9"/>
      <c r="X15" s="9">
        <f>Tableau_Lancer_la_requête_à_partir_de_Excel_Files[[#This Row],[ALPC_FN2]]+Tableau_Lancer_la_requête_à_partir_de_Excel_Files[[#This Row],[AURA_FN2]]+Tableau_Lancer_la_requête_à_partir_de_Excel_Files[[#This Row],[BFC_FN2]]+Tableau_Lancer_la_requête_à_partir_de_Excel_Files[[#This Row],[LRMP_FN2]]</f>
        <v>25000</v>
      </c>
      <c r="Y15" s="70"/>
      <c r="Z15" s="70"/>
      <c r="AA15" s="70"/>
      <c r="AB15" s="70">
        <v>25000</v>
      </c>
      <c r="AC15"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5" s="9"/>
      <c r="AE15" s="9"/>
      <c r="AF15" s="9"/>
      <c r="AG15" s="9"/>
      <c r="AH15" s="9"/>
      <c r="AI15" s="9"/>
      <c r="AJ15" s="9"/>
      <c r="AK15" s="9"/>
      <c r="AL15" s="9"/>
      <c r="AM15" s="9"/>
      <c r="AN15" s="9"/>
      <c r="AO15" s="9"/>
      <c r="AP15" s="9"/>
      <c r="AQ15" s="9"/>
      <c r="AR15" s="9"/>
      <c r="AS15" s="9"/>
      <c r="AT15" s="9"/>
      <c r="AU15" s="9"/>
      <c r="AV15" s="9"/>
      <c r="AW15" s="9"/>
      <c r="AX15" s="9"/>
      <c r="AY15" s="9"/>
      <c r="AZ15" s="9">
        <v>0</v>
      </c>
      <c r="BA15" s="9">
        <v>45000</v>
      </c>
      <c r="BB15" s="18">
        <v>42856</v>
      </c>
      <c r="BC15" s="18"/>
      <c r="BD15" s="9"/>
      <c r="BE15" s="70"/>
      <c r="BQ15" s="14"/>
      <c r="BR15" s="14"/>
      <c r="BS15" s="14"/>
      <c r="BT15" s="14"/>
      <c r="BU15" s="14"/>
      <c r="BV15" s="14"/>
      <c r="BW15" s="14"/>
      <c r="BX15" s="14"/>
      <c r="BY15" s="14"/>
      <c r="BZ15" s="14"/>
      <c r="CA15" s="14"/>
      <c r="CB15" s="14"/>
      <c r="CC15" s="14"/>
      <c r="CD15" s="14"/>
      <c r="CE15" s="14"/>
      <c r="CF15" s="14"/>
      <c r="CG15" s="14"/>
      <c r="CH15" s="14"/>
      <c r="CI15" s="14"/>
      <c r="CJ15" s="14"/>
      <c r="CK15" s="14"/>
      <c r="CL15" s="14"/>
    </row>
    <row r="16" spans="1:90" ht="60" x14ac:dyDescent="0.25">
      <c r="A16" s="12" t="s">
        <v>6</v>
      </c>
      <c r="B16" s="15" t="s">
        <v>235</v>
      </c>
      <c r="C16" s="15"/>
      <c r="D16" s="18" t="s">
        <v>391</v>
      </c>
      <c r="E16" s="71" t="s">
        <v>236</v>
      </c>
      <c r="F16" s="71" t="s">
        <v>237</v>
      </c>
      <c r="G16" s="70">
        <v>163050</v>
      </c>
      <c r="H16" s="70">
        <v>114135</v>
      </c>
      <c r="I16" s="17" t="s">
        <v>209</v>
      </c>
      <c r="J16" s="15">
        <v>65220</v>
      </c>
      <c r="K16" s="17" t="s">
        <v>210</v>
      </c>
      <c r="L16" s="15"/>
      <c r="M16" s="15" t="s">
        <v>219</v>
      </c>
      <c r="N16" s="15" t="s">
        <v>240</v>
      </c>
      <c r="O16" s="17">
        <v>42807</v>
      </c>
      <c r="P16" s="70">
        <f>Tableau_Lancer_la_requête_à_partir_de_Excel_Files[[#This Row],[Aide Massif Obtenue]]+Tableau_Lancer_la_requête_à_partir_de_Excel_Files[[#This Row],[Autre Public2]]</f>
        <v>107695</v>
      </c>
      <c r="Q16" s="13">
        <f>(Tableau_Lancer_la_requête_à_partir_de_Excel_Files[[#This Row],[Autre Public2]]+Tableau_Lancer_la_requête_à_partir_de_Excel_Files[[#This Row],[Aide Massif Obtenue]])/Tableau_Lancer_la_requête_à_partir_de_Excel_Files[[#This Row],[Coût total déposé]]</f>
        <v>0.66050291321680465</v>
      </c>
      <c r="R16" s="70">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107695</v>
      </c>
      <c r="S16" s="16">
        <f>Tableau_Lancer_la_requête_à_partir_de_Excel_Files[[#This Row],[Aide Massif Obtenue]]/Tableau_Lancer_la_requête_à_partir_de_Excel_Files[[#This Row],[Coût total déposé]]</f>
        <v>0.66050291321680465</v>
      </c>
      <c r="T16" s="70">
        <f>Tableau_Lancer_la_requête_à_partir_de_Excel_Files[[#This Row],[Aide Publique Obtenue]]-Tableau_Lancer_la_requête_à_partir_de_Excel_Files[[#This Row],[Aide Publique demandée]]</f>
        <v>-6440</v>
      </c>
      <c r="U16" s="70">
        <f>Tableau_Lancer_la_requête_à_partir_de_Excel_Files[[#This Row],[FNADT_FN2]]+Tableau_Lancer_la_requête_à_partir_de_Excel_Files[[#This Row],[AgricultureFN2]]</f>
        <v>0</v>
      </c>
      <c r="V16" s="70"/>
      <c r="W16" s="70"/>
      <c r="X16" s="70">
        <f>Tableau_Lancer_la_requête_à_partir_de_Excel_Files[[#This Row],[ALPC_FN2]]+Tableau_Lancer_la_requête_à_partir_de_Excel_Files[[#This Row],[AURA_FN2]]+Tableau_Lancer_la_requête_à_partir_de_Excel_Files[[#This Row],[BFC_FN2]]+Tableau_Lancer_la_requête_à_partir_de_Excel_Files[[#This Row],[LRMP_FN2]]</f>
        <v>24457</v>
      </c>
      <c r="Y16" s="70"/>
      <c r="Z16" s="70"/>
      <c r="AA16" s="70"/>
      <c r="AB16" s="70">
        <v>24457</v>
      </c>
      <c r="AC16" s="70">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23078</v>
      </c>
      <c r="AD16" s="21"/>
      <c r="AE16" s="21"/>
      <c r="AF16" s="21"/>
      <c r="AG16" s="21"/>
      <c r="AH16" s="21"/>
      <c r="AI16" s="21"/>
      <c r="AJ16" s="21"/>
      <c r="AK16" s="21"/>
      <c r="AL16" s="21"/>
      <c r="AM16" s="21"/>
      <c r="AN16" s="21"/>
      <c r="AO16" s="21"/>
      <c r="AP16" s="21"/>
      <c r="AQ16" s="21"/>
      <c r="AR16" s="21"/>
      <c r="AS16" s="21"/>
      <c r="AT16" s="21"/>
      <c r="AU16" s="21"/>
      <c r="AV16" s="21"/>
      <c r="AW16" s="21">
        <v>23078</v>
      </c>
      <c r="AX16" s="21"/>
      <c r="AY16" s="21"/>
      <c r="AZ16" s="70">
        <v>0</v>
      </c>
      <c r="BA16" s="70">
        <v>60160</v>
      </c>
      <c r="BB16" s="18">
        <v>42736</v>
      </c>
      <c r="BC16" s="18"/>
      <c r="BD16" s="70"/>
      <c r="BE16" s="70"/>
      <c r="BQ16" s="14"/>
      <c r="BR16" s="14"/>
      <c r="BS16" s="14"/>
      <c r="BT16" s="14"/>
      <c r="BU16" s="14"/>
      <c r="BV16" s="14"/>
      <c r="BW16" s="14"/>
      <c r="BX16" s="14"/>
      <c r="BY16" s="14"/>
      <c r="BZ16" s="14"/>
      <c r="CA16" s="14"/>
      <c r="CB16" s="14"/>
      <c r="CC16" s="14"/>
      <c r="CD16" s="14"/>
      <c r="CE16" s="14"/>
      <c r="CF16" s="14"/>
      <c r="CG16" s="14"/>
      <c r="CH16" s="14"/>
      <c r="CI16" s="14"/>
      <c r="CJ16" s="14"/>
      <c r="CK16" s="14"/>
      <c r="CL16" s="14"/>
    </row>
    <row r="17" spans="1:90" ht="30" x14ac:dyDescent="0.25">
      <c r="A17" s="38" t="s">
        <v>5</v>
      </c>
      <c r="B17" s="39" t="s">
        <v>251</v>
      </c>
      <c r="C17" s="39" t="s">
        <v>251</v>
      </c>
      <c r="D17" s="40" t="s">
        <v>389</v>
      </c>
      <c r="E17" s="41" t="s">
        <v>252</v>
      </c>
      <c r="F17" s="41" t="s">
        <v>253</v>
      </c>
      <c r="G17" s="42">
        <v>132915.35</v>
      </c>
      <c r="H17" s="42">
        <v>93040.74</v>
      </c>
      <c r="I17" s="43" t="s">
        <v>209</v>
      </c>
      <c r="J17" s="39"/>
      <c r="K17" s="43" t="s">
        <v>211</v>
      </c>
      <c r="L17" s="39" t="s">
        <v>204</v>
      </c>
      <c r="M17" s="39" t="s">
        <v>254</v>
      </c>
      <c r="N17" s="39"/>
      <c r="O17" s="43">
        <v>42793</v>
      </c>
      <c r="P17" s="42">
        <f>Tableau_Lancer_la_requête_à_partir_de_Excel_Files[[#This Row],[Aide Massif Obtenue]]+Tableau_Lancer_la_requête_à_partir_de_Excel_Files[[#This Row],[Autre Public2]]</f>
        <v>46520.37</v>
      </c>
      <c r="Q17" s="44">
        <f>(Tableau_Lancer_la_requête_à_partir_de_Excel_Files[[#This Row],[Autre Public2]]+Tableau_Lancer_la_requête_à_partir_de_Excel_Files[[#This Row],[Aide Massif Obtenue]])/Tableau_Lancer_la_requête_à_partir_de_Excel_Files[[#This Row],[Coût total déposé]]</f>
        <v>0.34999998119103626</v>
      </c>
      <c r="R17" s="42">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46520.37</v>
      </c>
      <c r="S17" s="45">
        <f>Tableau_Lancer_la_requête_à_partir_de_Excel_Files[[#This Row],[Aide Massif Obtenue]]/Tableau_Lancer_la_requête_à_partir_de_Excel_Files[[#This Row],[Coût total déposé]]</f>
        <v>0.34999998119103626</v>
      </c>
      <c r="T17" s="42">
        <f>Tableau_Lancer_la_requête_à_partir_de_Excel_Files[[#This Row],[Aide Publique Obtenue]]-Tableau_Lancer_la_requête_à_partir_de_Excel_Files[[#This Row],[Aide Publique demandée]]</f>
        <v>-46520.37</v>
      </c>
      <c r="U17" s="42">
        <f>Tableau_Lancer_la_requête_à_partir_de_Excel_Files[[#This Row],[FNADT_FN2]]+Tableau_Lancer_la_requête_à_partir_de_Excel_Files[[#This Row],[AgricultureFN2]]</f>
        <v>46520.37</v>
      </c>
      <c r="V17" s="42">
        <v>46520.37</v>
      </c>
      <c r="X17" s="42">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7" s="42"/>
      <c r="Z17" s="42"/>
      <c r="AA17" s="42"/>
      <c r="AB17" s="42"/>
      <c r="AC17" s="42">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7" s="24"/>
      <c r="AE17" s="24"/>
      <c r="AF17" s="24"/>
      <c r="AG17" s="24"/>
      <c r="AH17" s="24"/>
      <c r="AI17" s="24"/>
      <c r="AJ17" s="24"/>
      <c r="AK17" s="24"/>
      <c r="AL17" s="24"/>
      <c r="AM17" s="24"/>
      <c r="AN17" s="24"/>
      <c r="AO17" s="24"/>
      <c r="AP17" s="24"/>
      <c r="AQ17" s="24"/>
      <c r="AR17" s="24"/>
      <c r="AS17" s="24"/>
      <c r="AT17" s="24"/>
      <c r="AU17" s="24"/>
      <c r="AV17" s="24"/>
      <c r="AW17" s="24"/>
      <c r="AX17" s="24"/>
      <c r="AY17" s="24"/>
      <c r="AZ17" s="42">
        <v>0</v>
      </c>
      <c r="BA17" s="42">
        <v>0</v>
      </c>
      <c r="BB17" s="40"/>
      <c r="BC17" s="40"/>
      <c r="BD17" s="62"/>
      <c r="BE17" s="70"/>
      <c r="BQ17" s="14"/>
      <c r="BR17" s="14"/>
      <c r="BS17" s="14"/>
      <c r="BT17" s="14"/>
      <c r="BU17" s="14"/>
      <c r="BV17" s="14"/>
      <c r="BW17" s="14"/>
      <c r="BX17" s="14"/>
      <c r="BY17" s="14"/>
      <c r="BZ17" s="14"/>
      <c r="CA17" s="14"/>
      <c r="CB17" s="14"/>
      <c r="CC17" s="14"/>
      <c r="CD17" s="14"/>
      <c r="CE17" s="14"/>
      <c r="CF17" s="14"/>
      <c r="CG17" s="14"/>
      <c r="CH17" s="14"/>
      <c r="CI17" s="14"/>
      <c r="CJ17" s="14"/>
      <c r="CK17" s="14"/>
      <c r="CL17" s="14"/>
    </row>
    <row r="18" spans="1:90" ht="30" x14ac:dyDescent="0.25">
      <c r="A18" s="46" t="s">
        <v>5</v>
      </c>
      <c r="B18" s="47" t="s">
        <v>255</v>
      </c>
      <c r="C18" s="47" t="s">
        <v>255</v>
      </c>
      <c r="D18" s="48" t="s">
        <v>389</v>
      </c>
      <c r="E18" s="49" t="s">
        <v>256</v>
      </c>
      <c r="F18" s="49" t="s">
        <v>253</v>
      </c>
      <c r="G18" s="50">
        <v>130927.72</v>
      </c>
      <c r="H18" s="50">
        <v>98195.79</v>
      </c>
      <c r="I18" s="51" t="s">
        <v>257</v>
      </c>
      <c r="J18" s="47"/>
      <c r="K18" s="51" t="s">
        <v>211</v>
      </c>
      <c r="L18" s="47" t="s">
        <v>204</v>
      </c>
      <c r="M18" s="47" t="s">
        <v>205</v>
      </c>
      <c r="N18" s="47"/>
      <c r="O18" s="43">
        <v>42793</v>
      </c>
      <c r="P18" s="50">
        <f>Tableau_Lancer_la_requête_à_partir_de_Excel_Files[[#This Row],[Aide Massif Obtenue]]+Tableau_Lancer_la_requête_à_partir_de_Excel_Files[[#This Row],[Autre Public2]]</f>
        <v>91645.19</v>
      </c>
      <c r="Q18" s="52">
        <f>(Tableau_Lancer_la_requête_à_partir_de_Excel_Files[[#This Row],[Autre Public2]]+Tableau_Lancer_la_requête_à_partir_de_Excel_Files[[#This Row],[Aide Massif Obtenue]])/Tableau_Lancer_la_requête_à_partir_de_Excel_Files[[#This Row],[Coût total déposé]]</f>
        <v>0.69996781430242583</v>
      </c>
      <c r="R18" s="50">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91645.19</v>
      </c>
      <c r="S18" s="53">
        <f>Tableau_Lancer_la_requête_à_partir_de_Excel_Files[[#This Row],[Aide Massif Obtenue]]/Tableau_Lancer_la_requête_à_partir_de_Excel_Files[[#This Row],[Coût total déposé]]</f>
        <v>0.69996781430242583</v>
      </c>
      <c r="T18" s="50">
        <f>Tableau_Lancer_la_requête_à_partir_de_Excel_Files[[#This Row],[Aide Publique Obtenue]]-Tableau_Lancer_la_requête_à_partir_de_Excel_Files[[#This Row],[Aide Publique demandée]]</f>
        <v>-6550.5999999999913</v>
      </c>
      <c r="U18" s="50">
        <f>Tableau_Lancer_la_requête_à_partir_de_Excel_Files[[#This Row],[FNADT_FN2]]+Tableau_Lancer_la_requête_à_partir_de_Excel_Files[[#This Row],[AgricultureFN2]]</f>
        <v>91645.19</v>
      </c>
      <c r="V18" s="50">
        <v>91645.19</v>
      </c>
      <c r="W18" s="50"/>
      <c r="X18" s="50">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8" s="50"/>
      <c r="Z18" s="50"/>
      <c r="AA18" s="50"/>
      <c r="AB18" s="50"/>
      <c r="AC18" s="50">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8" s="25"/>
      <c r="AE18" s="25"/>
      <c r="AF18" s="25"/>
      <c r="AG18" s="25"/>
      <c r="AH18" s="25"/>
      <c r="AI18" s="25"/>
      <c r="AJ18" s="25"/>
      <c r="AK18" s="25"/>
      <c r="AL18" s="25"/>
      <c r="AM18" s="25"/>
      <c r="AN18" s="25"/>
      <c r="AO18" s="25"/>
      <c r="AP18" s="25"/>
      <c r="AQ18" s="25"/>
      <c r="AR18" s="25"/>
      <c r="AS18" s="25"/>
      <c r="AT18" s="25"/>
      <c r="AU18" s="25"/>
      <c r="AV18" s="25"/>
      <c r="AW18" s="25"/>
      <c r="AX18" s="25"/>
      <c r="AY18" s="25"/>
      <c r="AZ18" s="50">
        <v>0</v>
      </c>
      <c r="BA18" s="50">
        <v>0</v>
      </c>
      <c r="BB18" s="48"/>
      <c r="BC18" s="48"/>
      <c r="BD18" s="63"/>
      <c r="BE18" s="70"/>
      <c r="BQ18" s="14"/>
      <c r="BR18" s="14"/>
      <c r="BS18" s="14"/>
      <c r="BT18" s="14"/>
      <c r="BU18" s="14"/>
      <c r="BV18" s="14"/>
      <c r="BW18" s="14"/>
      <c r="BX18" s="14"/>
      <c r="BY18" s="14"/>
      <c r="BZ18" s="14"/>
      <c r="CA18" s="14"/>
      <c r="CB18" s="14"/>
      <c r="CC18" s="14"/>
      <c r="CD18" s="14"/>
      <c r="CE18" s="14"/>
      <c r="CF18" s="14"/>
      <c r="CG18" s="14"/>
      <c r="CH18" s="14"/>
      <c r="CI18" s="14"/>
      <c r="CJ18" s="14"/>
      <c r="CK18" s="14"/>
      <c r="CL18" s="14"/>
    </row>
    <row r="19" spans="1:90" ht="30" x14ac:dyDescent="0.25">
      <c r="A19" s="46" t="s">
        <v>5</v>
      </c>
      <c r="B19" s="47" t="s">
        <v>258</v>
      </c>
      <c r="C19" s="47" t="s">
        <v>258</v>
      </c>
      <c r="D19" s="48" t="s">
        <v>389</v>
      </c>
      <c r="E19" s="49" t="s">
        <v>259</v>
      </c>
      <c r="F19" s="49" t="s">
        <v>253</v>
      </c>
      <c r="G19" s="50">
        <v>132138.28</v>
      </c>
      <c r="H19" s="50">
        <v>92496</v>
      </c>
      <c r="I19" s="51" t="s">
        <v>209</v>
      </c>
      <c r="J19" s="47"/>
      <c r="K19" s="51" t="s">
        <v>211</v>
      </c>
      <c r="L19" s="47" t="s">
        <v>204</v>
      </c>
      <c r="M19" s="47" t="s">
        <v>219</v>
      </c>
      <c r="N19" s="47"/>
      <c r="O19" s="43">
        <v>42793</v>
      </c>
      <c r="P19" s="50">
        <f>Tableau_Lancer_la_requête_à_partir_de_Excel_Files[[#This Row],[Aide Massif Obtenue]]+Tableau_Lancer_la_requête_à_partir_de_Excel_Files[[#This Row],[Autre Public2]]</f>
        <v>92451.24</v>
      </c>
      <c r="Q19" s="52">
        <f>(Tableau_Lancer_la_requête_à_partir_de_Excel_Files[[#This Row],[Autre Public2]]+Tableau_Lancer_la_requête_à_partir_de_Excel_Files[[#This Row],[Aide Massif Obtenue]])/Tableau_Lancer_la_requête_à_partir_de_Excel_Files[[#This Row],[Coût total déposé]]</f>
        <v>0.69965523995014922</v>
      </c>
      <c r="R19" s="50">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92451.24</v>
      </c>
      <c r="S19" s="53">
        <f>Tableau_Lancer_la_requête_à_partir_de_Excel_Files[[#This Row],[Aide Massif Obtenue]]/Tableau_Lancer_la_requête_à_partir_de_Excel_Files[[#This Row],[Coût total déposé]]</f>
        <v>0.69965523995014922</v>
      </c>
      <c r="T19" s="50">
        <f>Tableau_Lancer_la_requête_à_partir_de_Excel_Files[[#This Row],[Aide Publique Obtenue]]-Tableau_Lancer_la_requête_à_partir_de_Excel_Files[[#This Row],[Aide Publique demandée]]</f>
        <v>-44.759999999994761</v>
      </c>
      <c r="U19" s="50">
        <f>Tableau_Lancer_la_requête_à_partir_de_Excel_Files[[#This Row],[FNADT_FN2]]+Tableau_Lancer_la_requête_à_partir_de_Excel_Files[[#This Row],[AgricultureFN2]]</f>
        <v>92451.24</v>
      </c>
      <c r="V19" s="50">
        <v>92451.24</v>
      </c>
      <c r="W19" s="50"/>
      <c r="X19" s="50">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9" s="50"/>
      <c r="Z19" s="50"/>
      <c r="AA19" s="50"/>
      <c r="AB19" s="50"/>
      <c r="AC19" s="50">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9" s="25"/>
      <c r="AE19" s="25"/>
      <c r="AF19" s="25"/>
      <c r="AG19" s="25"/>
      <c r="AH19" s="25"/>
      <c r="AI19" s="25"/>
      <c r="AJ19" s="25"/>
      <c r="AK19" s="25"/>
      <c r="AL19" s="25"/>
      <c r="AM19" s="25"/>
      <c r="AN19" s="25"/>
      <c r="AO19" s="25"/>
      <c r="AP19" s="25"/>
      <c r="AQ19" s="25"/>
      <c r="AR19" s="25"/>
      <c r="AS19" s="25"/>
      <c r="AT19" s="25"/>
      <c r="AU19" s="25"/>
      <c r="AV19" s="25"/>
      <c r="AW19" s="25"/>
      <c r="AX19" s="25"/>
      <c r="AY19" s="25"/>
      <c r="AZ19" s="50">
        <v>0</v>
      </c>
      <c r="BA19" s="50">
        <v>0</v>
      </c>
      <c r="BB19" s="48"/>
      <c r="BC19" s="48"/>
      <c r="BD19" s="63"/>
      <c r="BE19" s="70"/>
      <c r="BQ19" s="14"/>
      <c r="BR19" s="14"/>
      <c r="BS19" s="14"/>
      <c r="BT19" s="14"/>
      <c r="BU19" s="14"/>
      <c r="BV19" s="14"/>
      <c r="BW19" s="14"/>
      <c r="BX19" s="14"/>
      <c r="BY19" s="14"/>
      <c r="BZ19" s="14"/>
      <c r="CA19" s="14"/>
      <c r="CB19" s="14"/>
      <c r="CC19" s="14"/>
      <c r="CD19" s="14"/>
      <c r="CE19" s="14"/>
      <c r="CF19" s="14"/>
      <c r="CG19" s="14"/>
      <c r="CH19" s="14"/>
      <c r="CI19" s="14"/>
      <c r="CJ19" s="14"/>
      <c r="CK19" s="14"/>
      <c r="CL19" s="14"/>
    </row>
    <row r="20" spans="1:90" ht="30" x14ac:dyDescent="0.25">
      <c r="A20" s="46" t="s">
        <v>5</v>
      </c>
      <c r="B20" s="47" t="s">
        <v>260</v>
      </c>
      <c r="C20" s="47" t="s">
        <v>260</v>
      </c>
      <c r="D20" s="48" t="s">
        <v>389</v>
      </c>
      <c r="E20" s="49" t="s">
        <v>261</v>
      </c>
      <c r="F20" s="49" t="s">
        <v>253</v>
      </c>
      <c r="G20" s="50">
        <v>122780</v>
      </c>
      <c r="H20" s="50">
        <v>97946</v>
      </c>
      <c r="I20" s="51" t="s">
        <v>262</v>
      </c>
      <c r="J20" s="47"/>
      <c r="K20" s="51" t="s">
        <v>211</v>
      </c>
      <c r="L20" s="47" t="s">
        <v>204</v>
      </c>
      <c r="M20" s="47" t="s">
        <v>205</v>
      </c>
      <c r="N20" s="47"/>
      <c r="O20" s="43">
        <v>42793</v>
      </c>
      <c r="P20" s="50">
        <f>Tableau_Lancer_la_requête_à_partir_de_Excel_Files[[#This Row],[Aide Massif Obtenue]]+Tableau_Lancer_la_requête_à_partir_de_Excel_Files[[#This Row],[Autre Public2]]</f>
        <v>85787.23</v>
      </c>
      <c r="Q20" s="52">
        <f>(Tableau_Lancer_la_requête_à_partir_de_Excel_Files[[#This Row],[Autre Public2]]+Tableau_Lancer_la_requête_à_partir_de_Excel_Files[[#This Row],[Aide Massif Obtenue]])/Tableau_Lancer_la_requête_à_partir_de_Excel_Files[[#This Row],[Coût total déposé]]</f>
        <v>0.698706874083727</v>
      </c>
      <c r="R20" s="50">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85787.23</v>
      </c>
      <c r="S20" s="53">
        <f>Tableau_Lancer_la_requête_à_partir_de_Excel_Files[[#This Row],[Aide Massif Obtenue]]/Tableau_Lancer_la_requête_à_partir_de_Excel_Files[[#This Row],[Coût total déposé]]</f>
        <v>0.698706874083727</v>
      </c>
      <c r="T20" s="50">
        <f>Tableau_Lancer_la_requête_à_partir_de_Excel_Files[[#This Row],[Aide Publique Obtenue]]-Tableau_Lancer_la_requête_à_partir_de_Excel_Files[[#This Row],[Aide Publique demandée]]</f>
        <v>-12158.770000000004</v>
      </c>
      <c r="U20" s="50">
        <f>Tableau_Lancer_la_requête_à_partir_de_Excel_Files[[#This Row],[FNADT_FN2]]+Tableau_Lancer_la_requête_à_partir_de_Excel_Files[[#This Row],[AgricultureFN2]]</f>
        <v>85787.23</v>
      </c>
      <c r="V20" s="50">
        <v>85787.23</v>
      </c>
      <c r="W20" s="50"/>
      <c r="X20" s="50">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20" s="50"/>
      <c r="Z20" s="50"/>
      <c r="AA20" s="50"/>
      <c r="AB20" s="50"/>
      <c r="AC20" s="50">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20" s="25"/>
      <c r="AE20" s="25"/>
      <c r="AF20" s="25"/>
      <c r="AG20" s="25"/>
      <c r="AH20" s="25"/>
      <c r="AI20" s="25"/>
      <c r="AJ20" s="25"/>
      <c r="AK20" s="25"/>
      <c r="AL20" s="25"/>
      <c r="AM20" s="25"/>
      <c r="AN20" s="25"/>
      <c r="AO20" s="25"/>
      <c r="AP20" s="25"/>
      <c r="AQ20" s="25"/>
      <c r="AR20" s="25"/>
      <c r="AS20" s="25"/>
      <c r="AT20" s="25"/>
      <c r="AU20" s="25"/>
      <c r="AV20" s="25"/>
      <c r="AW20" s="25"/>
      <c r="AX20" s="25"/>
      <c r="AY20" s="25"/>
      <c r="AZ20" s="50">
        <v>0</v>
      </c>
      <c r="BA20" s="50">
        <v>0</v>
      </c>
      <c r="BB20" s="48"/>
      <c r="BC20" s="48"/>
      <c r="BD20" s="63"/>
      <c r="BE20" s="70"/>
      <c r="BQ20" s="14"/>
      <c r="BR20" s="14"/>
      <c r="BS20" s="14"/>
      <c r="BT20" s="14"/>
      <c r="BU20" s="14"/>
      <c r="BV20" s="14"/>
      <c r="BW20" s="14"/>
      <c r="BX20" s="14"/>
      <c r="BY20" s="14"/>
      <c r="BZ20" s="14"/>
      <c r="CA20" s="14"/>
      <c r="CB20" s="14"/>
      <c r="CC20" s="14"/>
      <c r="CD20" s="14"/>
      <c r="CE20" s="14"/>
      <c r="CF20" s="14"/>
      <c r="CG20" s="14"/>
      <c r="CH20" s="14"/>
      <c r="CI20" s="14"/>
      <c r="CJ20" s="14"/>
      <c r="CK20" s="14"/>
      <c r="CL20" s="14"/>
    </row>
    <row r="21" spans="1:90" ht="30" x14ac:dyDescent="0.25">
      <c r="A21" s="46" t="s">
        <v>5</v>
      </c>
      <c r="B21" s="47" t="s">
        <v>263</v>
      </c>
      <c r="C21" s="47" t="s">
        <v>263</v>
      </c>
      <c r="D21" s="48" t="s">
        <v>389</v>
      </c>
      <c r="E21" s="49" t="s">
        <v>264</v>
      </c>
      <c r="F21" s="49" t="s">
        <v>253</v>
      </c>
      <c r="G21" s="50">
        <v>77470.8</v>
      </c>
      <c r="H21" s="50">
        <v>54229.56</v>
      </c>
      <c r="I21" s="51" t="s">
        <v>209</v>
      </c>
      <c r="J21" s="47"/>
      <c r="K21" s="51" t="s">
        <v>211</v>
      </c>
      <c r="L21" s="47" t="s">
        <v>204</v>
      </c>
      <c r="M21" s="47" t="s">
        <v>205</v>
      </c>
      <c r="N21" s="47"/>
      <c r="O21" s="43">
        <v>42793</v>
      </c>
      <c r="P21" s="50">
        <f>Tableau_Lancer_la_requête_à_partir_de_Excel_Files[[#This Row],[Aide Massif Obtenue]]+Tableau_Lancer_la_requête_à_partir_de_Excel_Files[[#This Row],[Autre Public2]]</f>
        <v>54225.15</v>
      </c>
      <c r="Q21" s="52">
        <f>(Tableau_Lancer_la_requête_à_partir_de_Excel_Files[[#This Row],[Autre Public2]]+Tableau_Lancer_la_requête_à_partir_de_Excel_Files[[#This Row],[Aide Massif Obtenue]])/Tableau_Lancer_la_requête_à_partir_de_Excel_Files[[#This Row],[Coût total déposé]]</f>
        <v>0.69994307532644562</v>
      </c>
      <c r="R21" s="50">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54225.15</v>
      </c>
      <c r="S21" s="53">
        <f>Tableau_Lancer_la_requête_à_partir_de_Excel_Files[[#This Row],[Aide Massif Obtenue]]/Tableau_Lancer_la_requête_à_partir_de_Excel_Files[[#This Row],[Coût total déposé]]</f>
        <v>0.69994307532644562</v>
      </c>
      <c r="T21" s="50">
        <f>Tableau_Lancer_la_requête_à_partir_de_Excel_Files[[#This Row],[Aide Publique Obtenue]]-Tableau_Lancer_la_requête_à_partir_de_Excel_Files[[#This Row],[Aide Publique demandée]]</f>
        <v>-4.4099999999962165</v>
      </c>
      <c r="U21" s="50">
        <f>Tableau_Lancer_la_requête_à_partir_de_Excel_Files[[#This Row],[FNADT_FN2]]+Tableau_Lancer_la_requête_à_partir_de_Excel_Files[[#This Row],[AgricultureFN2]]</f>
        <v>54225.15</v>
      </c>
      <c r="V21" s="50">
        <v>54225.15</v>
      </c>
      <c r="W21" s="50"/>
      <c r="X21" s="50">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21" s="50"/>
      <c r="Z21" s="50"/>
      <c r="AA21" s="50"/>
      <c r="AB21" s="50"/>
      <c r="AC21" s="50">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21" s="25"/>
      <c r="AE21" s="25"/>
      <c r="AF21" s="25"/>
      <c r="AG21" s="25"/>
      <c r="AH21" s="25"/>
      <c r="AI21" s="25"/>
      <c r="AJ21" s="25"/>
      <c r="AK21" s="25"/>
      <c r="AL21" s="25"/>
      <c r="AM21" s="25"/>
      <c r="AN21" s="25"/>
      <c r="AO21" s="25"/>
      <c r="AP21" s="25"/>
      <c r="AQ21" s="25"/>
      <c r="AR21" s="25"/>
      <c r="AS21" s="25"/>
      <c r="AT21" s="25"/>
      <c r="AU21" s="25"/>
      <c r="AV21" s="25"/>
      <c r="AW21" s="25"/>
      <c r="AX21" s="25"/>
      <c r="AY21" s="25"/>
      <c r="AZ21" s="50">
        <v>0</v>
      </c>
      <c r="BA21" s="50">
        <v>0</v>
      </c>
      <c r="BB21" s="48"/>
      <c r="BC21" s="48"/>
      <c r="BD21" s="63"/>
      <c r="BE21" s="70"/>
      <c r="BQ21" s="14"/>
      <c r="BR21" s="14"/>
      <c r="BS21" s="14"/>
      <c r="BT21" s="14"/>
      <c r="BU21" s="14"/>
      <c r="BV21" s="14"/>
      <c r="BW21" s="14"/>
      <c r="BX21" s="14"/>
      <c r="BY21" s="14"/>
      <c r="BZ21" s="14"/>
      <c r="CA21" s="14"/>
      <c r="CB21" s="14"/>
      <c r="CC21" s="14"/>
      <c r="CD21" s="14"/>
      <c r="CE21" s="14"/>
      <c r="CF21" s="14"/>
      <c r="CG21" s="14"/>
      <c r="CH21" s="14"/>
      <c r="CI21" s="14"/>
      <c r="CJ21" s="14"/>
      <c r="CK21" s="14"/>
      <c r="CL21" s="14"/>
    </row>
    <row r="22" spans="1:90" ht="30" x14ac:dyDescent="0.25">
      <c r="A22" s="46" t="s">
        <v>5</v>
      </c>
      <c r="B22" s="47" t="s">
        <v>265</v>
      </c>
      <c r="C22" s="47" t="s">
        <v>265</v>
      </c>
      <c r="D22" s="48" t="s">
        <v>389</v>
      </c>
      <c r="E22" s="49" t="s">
        <v>266</v>
      </c>
      <c r="F22" s="49" t="s">
        <v>253</v>
      </c>
      <c r="G22" s="50">
        <v>155962.69</v>
      </c>
      <c r="H22" s="50">
        <v>109173.88</v>
      </c>
      <c r="I22" s="51" t="s">
        <v>209</v>
      </c>
      <c r="J22" s="47"/>
      <c r="K22" s="51" t="s">
        <v>211</v>
      </c>
      <c r="L22" s="47" t="s">
        <v>204</v>
      </c>
      <c r="M22" s="47" t="s">
        <v>205</v>
      </c>
      <c r="N22" s="47"/>
      <c r="O22" s="43">
        <v>42793</v>
      </c>
      <c r="P22" s="50">
        <f>Tableau_Lancer_la_requête_à_partir_de_Excel_Files[[#This Row],[Aide Massif Obtenue]]+Tableau_Lancer_la_requête_à_partir_de_Excel_Files[[#This Row],[Autre Public2]]</f>
        <v>109171.74</v>
      </c>
      <c r="Q22" s="52">
        <f>(Tableau_Lancer_la_requête_à_partir_de_Excel_Files[[#This Row],[Autre Public2]]+Tableau_Lancer_la_requête_à_partir_de_Excel_Files[[#This Row],[Aide Massif Obtenue]])/Tableau_Lancer_la_requête_à_partir_de_Excel_Files[[#This Row],[Coût total déposé]]</f>
        <v>0.69998625953425142</v>
      </c>
      <c r="R22" s="50">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109171.74</v>
      </c>
      <c r="S22" s="53">
        <f>Tableau_Lancer_la_requête_à_partir_de_Excel_Files[[#This Row],[Aide Massif Obtenue]]/Tableau_Lancer_la_requête_à_partir_de_Excel_Files[[#This Row],[Coût total déposé]]</f>
        <v>0.69998625953425142</v>
      </c>
      <c r="T22" s="50">
        <f>Tableau_Lancer_la_requête_à_partir_de_Excel_Files[[#This Row],[Aide Publique Obtenue]]-Tableau_Lancer_la_requête_à_partir_de_Excel_Files[[#This Row],[Aide Publique demandée]]</f>
        <v>-2.1399999999994179</v>
      </c>
      <c r="U22" s="50">
        <f>Tableau_Lancer_la_requête_à_partir_de_Excel_Files[[#This Row],[FNADT_FN2]]+Tableau_Lancer_la_requête_à_partir_de_Excel_Files[[#This Row],[AgricultureFN2]]</f>
        <v>109171.74</v>
      </c>
      <c r="V22" s="50">
        <v>109171.74</v>
      </c>
      <c r="W22" s="50"/>
      <c r="X22" s="50">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22" s="50"/>
      <c r="Z22" s="50"/>
      <c r="AA22" s="50"/>
      <c r="AB22" s="50"/>
      <c r="AC22" s="50">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22" s="25"/>
      <c r="AE22" s="25"/>
      <c r="AF22" s="25"/>
      <c r="AG22" s="25"/>
      <c r="AH22" s="25"/>
      <c r="AI22" s="25"/>
      <c r="AJ22" s="25"/>
      <c r="AK22" s="25"/>
      <c r="AL22" s="25"/>
      <c r="AM22" s="25"/>
      <c r="AN22" s="25"/>
      <c r="AO22" s="25"/>
      <c r="AP22" s="25"/>
      <c r="AQ22" s="25"/>
      <c r="AR22" s="25"/>
      <c r="AS22" s="25"/>
      <c r="AT22" s="25"/>
      <c r="AU22" s="25"/>
      <c r="AV22" s="25"/>
      <c r="AW22" s="25"/>
      <c r="AX22" s="25"/>
      <c r="AY22" s="25"/>
      <c r="AZ22" s="50">
        <v>0</v>
      </c>
      <c r="BA22" s="50">
        <v>0</v>
      </c>
      <c r="BB22" s="48"/>
      <c r="BC22" s="48"/>
      <c r="BD22" s="63"/>
      <c r="BE22" s="70"/>
      <c r="BQ22" s="14"/>
      <c r="BR22" s="14"/>
      <c r="BS22" s="14"/>
      <c r="BT22" s="14"/>
      <c r="BU22" s="14"/>
      <c r="BV22" s="14"/>
      <c r="BW22" s="14"/>
      <c r="BX22" s="14"/>
      <c r="BY22" s="14"/>
      <c r="BZ22" s="14"/>
      <c r="CA22" s="14"/>
      <c r="CB22" s="14"/>
      <c r="CC22" s="14"/>
      <c r="CD22" s="14"/>
      <c r="CE22" s="14"/>
      <c r="CF22" s="14"/>
      <c r="CG22" s="14"/>
      <c r="CH22" s="14"/>
      <c r="CI22" s="14"/>
      <c r="CJ22" s="14"/>
      <c r="CK22" s="14"/>
      <c r="CL22" s="14"/>
    </row>
    <row r="23" spans="1:90" ht="30" x14ac:dyDescent="0.25">
      <c r="A23" s="46" t="s">
        <v>5</v>
      </c>
      <c r="B23" s="47" t="s">
        <v>267</v>
      </c>
      <c r="C23" s="47" t="s">
        <v>267</v>
      </c>
      <c r="D23" s="48" t="s">
        <v>389</v>
      </c>
      <c r="E23" s="49" t="s">
        <v>268</v>
      </c>
      <c r="F23" s="49" t="s">
        <v>253</v>
      </c>
      <c r="G23" s="50">
        <v>148125.09</v>
      </c>
      <c r="H23" s="50">
        <v>118500.07</v>
      </c>
      <c r="I23" s="51" t="s">
        <v>212</v>
      </c>
      <c r="J23" s="47"/>
      <c r="K23" s="51" t="s">
        <v>211</v>
      </c>
      <c r="L23" s="47" t="s">
        <v>204</v>
      </c>
      <c r="M23" s="47" t="s">
        <v>228</v>
      </c>
      <c r="N23" s="47"/>
      <c r="O23" s="43">
        <v>42793</v>
      </c>
      <c r="P23" s="50">
        <f>Tableau_Lancer_la_requête_à_partir_de_Excel_Files[[#This Row],[Aide Massif Obtenue]]+Tableau_Lancer_la_requête_à_partir_de_Excel_Files[[#This Row],[Autre Public2]]</f>
        <v>101369.7</v>
      </c>
      <c r="Q23" s="52">
        <f>(Tableau_Lancer_la_requête_à_partir_de_Excel_Files[[#This Row],[Autre Public2]]+Tableau_Lancer_la_requête_à_partir_de_Excel_Files[[#This Row],[Aide Massif Obtenue]])/Tableau_Lancer_la_requête_à_partir_de_Excel_Files[[#This Row],[Coût total déposé]]</f>
        <v>0.68435198925448759</v>
      </c>
      <c r="R23" s="50">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101369.7</v>
      </c>
      <c r="S23" s="53">
        <f>Tableau_Lancer_la_requête_à_partir_de_Excel_Files[[#This Row],[Aide Massif Obtenue]]/Tableau_Lancer_la_requête_à_partir_de_Excel_Files[[#This Row],[Coût total déposé]]</f>
        <v>0.68435198925448759</v>
      </c>
      <c r="T23" s="50">
        <f>Tableau_Lancer_la_requête_à_partir_de_Excel_Files[[#This Row],[Aide Publique Obtenue]]-Tableau_Lancer_la_requête_à_partir_de_Excel_Files[[#This Row],[Aide Publique demandée]]</f>
        <v>-17130.37000000001</v>
      </c>
      <c r="U23" s="50">
        <f>Tableau_Lancer_la_requête_à_partir_de_Excel_Files[[#This Row],[FNADT_FN2]]+Tableau_Lancer_la_requête_à_partir_de_Excel_Files[[#This Row],[AgricultureFN2]]</f>
        <v>81369.7</v>
      </c>
      <c r="V23" s="50">
        <v>81369.7</v>
      </c>
      <c r="W23" s="50"/>
      <c r="X23" s="50">
        <f>Tableau_Lancer_la_requête_à_partir_de_Excel_Files[[#This Row],[ALPC_FN2]]+Tableau_Lancer_la_requête_à_partir_de_Excel_Files[[#This Row],[AURA_FN2]]+Tableau_Lancer_la_requête_à_partir_de_Excel_Files[[#This Row],[BFC_FN2]]+Tableau_Lancer_la_requête_à_partir_de_Excel_Files[[#This Row],[LRMP_FN2]]</f>
        <v>20000</v>
      </c>
      <c r="Y23" s="50">
        <v>20000</v>
      </c>
      <c r="Z23" s="50"/>
      <c r="AA23" s="50"/>
      <c r="AB23" s="50"/>
      <c r="AC23" s="50">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23" s="25"/>
      <c r="AE23" s="25"/>
      <c r="AF23" s="25"/>
      <c r="AG23" s="25"/>
      <c r="AH23" s="25"/>
      <c r="AI23" s="25"/>
      <c r="AJ23" s="25"/>
      <c r="AK23" s="25"/>
      <c r="AL23" s="25"/>
      <c r="AM23" s="25"/>
      <c r="AN23" s="25"/>
      <c r="AO23" s="25"/>
      <c r="AP23" s="25"/>
      <c r="AQ23" s="25"/>
      <c r="AR23" s="25"/>
      <c r="AS23" s="25"/>
      <c r="AT23" s="25"/>
      <c r="AU23" s="25"/>
      <c r="AV23" s="25"/>
      <c r="AW23" s="25"/>
      <c r="AX23" s="25"/>
      <c r="AY23" s="25"/>
      <c r="AZ23" s="50">
        <v>0</v>
      </c>
      <c r="BA23" s="50">
        <v>0</v>
      </c>
      <c r="BB23" s="48"/>
      <c r="BC23" s="48"/>
      <c r="BD23" s="63"/>
      <c r="BE23" s="70"/>
      <c r="BQ23" s="14"/>
      <c r="BR23" s="14"/>
      <c r="BS23" s="14"/>
      <c r="BT23" s="14"/>
      <c r="BU23" s="14"/>
      <c r="BV23" s="14"/>
      <c r="BW23" s="14"/>
      <c r="BX23" s="14"/>
      <c r="BY23" s="14"/>
      <c r="BZ23" s="14"/>
      <c r="CA23" s="14"/>
      <c r="CB23" s="14"/>
      <c r="CC23" s="14"/>
      <c r="CD23" s="14"/>
      <c r="CE23" s="14"/>
      <c r="CF23" s="14"/>
      <c r="CG23" s="14"/>
      <c r="CH23" s="14"/>
      <c r="CI23" s="14"/>
      <c r="CJ23" s="14"/>
      <c r="CK23" s="14"/>
      <c r="CL23" s="14"/>
    </row>
    <row r="24" spans="1:90" ht="30" x14ac:dyDescent="0.25">
      <c r="A24" s="46" t="s">
        <v>5</v>
      </c>
      <c r="B24" s="47" t="s">
        <v>269</v>
      </c>
      <c r="C24" s="47" t="s">
        <v>269</v>
      </c>
      <c r="D24" s="48" t="s">
        <v>389</v>
      </c>
      <c r="E24" s="49" t="s">
        <v>270</v>
      </c>
      <c r="F24" s="49" t="s">
        <v>253</v>
      </c>
      <c r="G24" s="50">
        <v>155603.75</v>
      </c>
      <c r="H24" s="50">
        <v>124482.9</v>
      </c>
      <c r="I24" s="51" t="s">
        <v>212</v>
      </c>
      <c r="J24" s="47"/>
      <c r="K24" s="51" t="s">
        <v>211</v>
      </c>
      <c r="L24" s="47" t="s">
        <v>204</v>
      </c>
      <c r="M24" s="47" t="s">
        <v>219</v>
      </c>
      <c r="N24" s="47"/>
      <c r="O24" s="43">
        <v>42793</v>
      </c>
      <c r="P24" s="50">
        <f>Tableau_Lancer_la_requête_à_partir_de_Excel_Files[[#This Row],[Aide Massif Obtenue]]+Tableau_Lancer_la_requête_à_partir_de_Excel_Files[[#This Row],[Autre Public2]]</f>
        <v>108920.39</v>
      </c>
      <c r="Q24" s="52">
        <f>(Tableau_Lancer_la_requête_à_partir_de_Excel_Files[[#This Row],[Autre Public2]]+Tableau_Lancer_la_requête_à_partir_de_Excel_Files[[#This Row],[Aide Massif Obtenue]])/Tableau_Lancer_la_requête_à_partir_de_Excel_Files[[#This Row],[Coût total déposé]]</f>
        <v>0.69998563659294843</v>
      </c>
      <c r="R24" s="50">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108920.39</v>
      </c>
      <c r="S24" s="53">
        <f>Tableau_Lancer_la_requête_à_partir_de_Excel_Files[[#This Row],[Aide Massif Obtenue]]/Tableau_Lancer_la_requête_à_partir_de_Excel_Files[[#This Row],[Coût total déposé]]</f>
        <v>0.69998563659294843</v>
      </c>
      <c r="T24" s="50">
        <f>Tableau_Lancer_la_requête_à_partir_de_Excel_Files[[#This Row],[Aide Publique Obtenue]]-Tableau_Lancer_la_requête_à_partir_de_Excel_Files[[#This Row],[Aide Publique demandée]]</f>
        <v>-15562.509999999995</v>
      </c>
      <c r="U24" s="50">
        <f>Tableau_Lancer_la_requête_à_partir_de_Excel_Files[[#This Row],[FNADT_FN2]]+Tableau_Lancer_la_requête_à_partir_de_Excel_Files[[#This Row],[AgricultureFN2]]</f>
        <v>108920.39</v>
      </c>
      <c r="V24" s="50">
        <v>108920.39</v>
      </c>
      <c r="W24" s="50"/>
      <c r="X24" s="50">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24" s="50"/>
      <c r="Z24" s="50"/>
      <c r="AA24" s="50"/>
      <c r="AB24" s="50"/>
      <c r="AC24" s="50">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24" s="25"/>
      <c r="AE24" s="25"/>
      <c r="AF24" s="25"/>
      <c r="AG24" s="25"/>
      <c r="AH24" s="25"/>
      <c r="AI24" s="25"/>
      <c r="AJ24" s="25"/>
      <c r="AK24" s="25"/>
      <c r="AL24" s="25"/>
      <c r="AM24" s="25"/>
      <c r="AN24" s="25"/>
      <c r="AO24" s="25"/>
      <c r="AP24" s="25"/>
      <c r="AQ24" s="25"/>
      <c r="AR24" s="25"/>
      <c r="AS24" s="25"/>
      <c r="AT24" s="25"/>
      <c r="AU24" s="25"/>
      <c r="AV24" s="25"/>
      <c r="AW24" s="25"/>
      <c r="AX24" s="25"/>
      <c r="AY24" s="25"/>
      <c r="AZ24" s="50">
        <v>0</v>
      </c>
      <c r="BA24" s="50">
        <v>0</v>
      </c>
      <c r="BB24" s="48"/>
      <c r="BC24" s="48"/>
      <c r="BD24" s="63"/>
      <c r="BE24" s="70"/>
      <c r="BQ24" s="14"/>
      <c r="BR24" s="14"/>
      <c r="BS24" s="14"/>
      <c r="BT24" s="14"/>
      <c r="BU24" s="14"/>
      <c r="BV24" s="14"/>
      <c r="BW24" s="14"/>
      <c r="BX24" s="14"/>
      <c r="BY24" s="14"/>
      <c r="BZ24" s="14"/>
      <c r="CA24" s="14"/>
      <c r="CB24" s="14"/>
      <c r="CC24" s="14"/>
      <c r="CD24" s="14"/>
      <c r="CE24" s="14"/>
      <c r="CF24" s="14"/>
      <c r="CG24" s="14"/>
      <c r="CH24" s="14"/>
      <c r="CI24" s="14"/>
      <c r="CJ24" s="14"/>
      <c r="CK24" s="14"/>
      <c r="CL24" s="14"/>
    </row>
    <row r="25" spans="1:90" ht="30" x14ac:dyDescent="0.25">
      <c r="A25" s="54" t="s">
        <v>5</v>
      </c>
      <c r="B25" s="55" t="s">
        <v>271</v>
      </c>
      <c r="C25" s="55" t="s">
        <v>271</v>
      </c>
      <c r="D25" s="56" t="s">
        <v>389</v>
      </c>
      <c r="E25" s="57" t="s">
        <v>272</v>
      </c>
      <c r="F25" s="57" t="s">
        <v>253</v>
      </c>
      <c r="G25" s="58">
        <v>56246.47</v>
      </c>
      <c r="H25" s="58">
        <v>39372.53</v>
      </c>
      <c r="I25" s="59" t="s">
        <v>209</v>
      </c>
      <c r="J25" s="55"/>
      <c r="K25" s="59" t="s">
        <v>211</v>
      </c>
      <c r="L25" s="55" t="s">
        <v>204</v>
      </c>
      <c r="M25" s="55" t="s">
        <v>219</v>
      </c>
      <c r="N25" s="55"/>
      <c r="O25" s="43">
        <v>42793</v>
      </c>
      <c r="P25" s="58">
        <f>Tableau_Lancer_la_requête_à_partir_de_Excel_Files[[#This Row],[Aide Massif Obtenue]]+Tableau_Lancer_la_requête_à_partir_de_Excel_Files[[#This Row],[Autre Public2]]</f>
        <v>39369.47</v>
      </c>
      <c r="Q25" s="60">
        <f>(Tableau_Lancer_la_requête_à_partir_de_Excel_Files[[#This Row],[Autre Public2]]+Tableau_Lancer_la_requête_à_partir_de_Excel_Files[[#This Row],[Aide Massif Obtenue]])/Tableau_Lancer_la_requête_à_partir_de_Excel_Files[[#This Row],[Coût total déposé]]</f>
        <v>0.69994561436477698</v>
      </c>
      <c r="R25" s="58">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39369.47</v>
      </c>
      <c r="S25" s="61">
        <f>Tableau_Lancer_la_requête_à_partir_de_Excel_Files[[#This Row],[Aide Massif Obtenue]]/Tableau_Lancer_la_requête_à_partir_de_Excel_Files[[#This Row],[Coût total déposé]]</f>
        <v>0.69994561436477698</v>
      </c>
      <c r="T25" s="58">
        <f>Tableau_Lancer_la_requête_à_partir_de_Excel_Files[[#This Row],[Aide Publique Obtenue]]-Tableau_Lancer_la_requête_à_partir_de_Excel_Files[[#This Row],[Aide Publique demandée]]</f>
        <v>-3.0599999999976717</v>
      </c>
      <c r="U25" s="58">
        <f>Tableau_Lancer_la_requête_à_partir_de_Excel_Files[[#This Row],[FNADT_FN2]]+Tableau_Lancer_la_requête_à_partir_de_Excel_Files[[#This Row],[AgricultureFN2]]</f>
        <v>39369.47</v>
      </c>
      <c r="V25" s="58">
        <v>39369.47</v>
      </c>
      <c r="W25" s="58"/>
      <c r="X25" s="58">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25" s="58"/>
      <c r="Z25" s="58"/>
      <c r="AA25" s="58"/>
      <c r="AB25" s="58"/>
      <c r="AC25" s="58">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25" s="26"/>
      <c r="AE25" s="26"/>
      <c r="AF25" s="26"/>
      <c r="AG25" s="26"/>
      <c r="AH25" s="26"/>
      <c r="AI25" s="26"/>
      <c r="AJ25" s="26"/>
      <c r="AK25" s="26"/>
      <c r="AL25" s="26"/>
      <c r="AM25" s="26"/>
      <c r="AN25" s="26"/>
      <c r="AO25" s="26"/>
      <c r="AP25" s="26"/>
      <c r="AQ25" s="26"/>
      <c r="AR25" s="26"/>
      <c r="AS25" s="26"/>
      <c r="AT25" s="26"/>
      <c r="AU25" s="26"/>
      <c r="AV25" s="26"/>
      <c r="AW25" s="26"/>
      <c r="AX25" s="26"/>
      <c r="AY25" s="26"/>
      <c r="AZ25" s="58">
        <v>0</v>
      </c>
      <c r="BA25" s="58">
        <v>0</v>
      </c>
      <c r="BB25" s="56"/>
      <c r="BC25" s="56"/>
      <c r="BD25" s="64"/>
      <c r="BE25" s="70"/>
      <c r="BQ25" s="14"/>
      <c r="BR25" s="14"/>
      <c r="BS25" s="14"/>
      <c r="BT25" s="14"/>
      <c r="BU25" s="14"/>
      <c r="BV25" s="14"/>
      <c r="BW25" s="14"/>
      <c r="BX25" s="14"/>
      <c r="BY25" s="14"/>
      <c r="BZ25" s="14"/>
      <c r="CA25" s="14"/>
      <c r="CB25" s="14"/>
      <c r="CC25" s="14"/>
      <c r="CD25" s="14"/>
      <c r="CE25" s="14"/>
      <c r="CF25" s="14"/>
      <c r="CG25" s="14"/>
      <c r="CH25" s="14"/>
      <c r="CI25" s="14"/>
      <c r="CJ25" s="14"/>
      <c r="CK25" s="14"/>
      <c r="CL25" s="14"/>
    </row>
    <row r="26" spans="1:90" ht="22.5" customHeight="1" x14ac:dyDescent="0.25">
      <c r="A26" s="12" t="s">
        <v>6</v>
      </c>
      <c r="B26" s="15" t="s">
        <v>275</v>
      </c>
      <c r="C26" s="15" t="s">
        <v>282</v>
      </c>
      <c r="D26" s="18" t="s">
        <v>391</v>
      </c>
      <c r="E26" s="71" t="s">
        <v>273</v>
      </c>
      <c r="F26" s="71" t="s">
        <v>274</v>
      </c>
      <c r="G26" s="70">
        <v>140000</v>
      </c>
      <c r="H26" s="70">
        <v>98000</v>
      </c>
      <c r="I26" s="17" t="s">
        <v>209</v>
      </c>
      <c r="J26" s="15">
        <v>56000</v>
      </c>
      <c r="K26" s="17" t="s">
        <v>210</v>
      </c>
      <c r="L26" s="15" t="s">
        <v>204</v>
      </c>
      <c r="M26" s="15"/>
      <c r="N26" s="15" t="s">
        <v>241</v>
      </c>
      <c r="O26" s="17">
        <v>42856</v>
      </c>
      <c r="P26" s="70">
        <f>Tableau_Lancer_la_requête_à_partir_de_Excel_Files[[#This Row],[Aide Massif Obtenue]]+Tableau_Lancer_la_requête_à_partir_de_Excel_Files[[#This Row],[Autre Public2]]</f>
        <v>95000</v>
      </c>
      <c r="Q26" s="13">
        <f>(Tableau_Lancer_la_requête_à_partir_de_Excel_Files[[#This Row],[Autre Public2]]+Tableau_Lancer_la_requête_à_partir_de_Excel_Files[[#This Row],[Aide Massif Obtenue]])/Tableau_Lancer_la_requête_à_partir_de_Excel_Files[[#This Row],[Coût total déposé]]</f>
        <v>0.6785714285714286</v>
      </c>
      <c r="R26" s="70">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65000</v>
      </c>
      <c r="S26" s="16">
        <f>Tableau_Lancer_la_requête_à_partir_de_Excel_Files[[#This Row],[Aide Massif Obtenue]]/Tableau_Lancer_la_requête_à_partir_de_Excel_Files[[#This Row],[Coût total déposé]]</f>
        <v>0.4642857142857143</v>
      </c>
      <c r="T26" s="70">
        <f>Tableau_Lancer_la_requête_à_partir_de_Excel_Files[[#This Row],[Aide Publique Obtenue]]-Tableau_Lancer_la_requête_à_partir_de_Excel_Files[[#This Row],[Aide Publique demandée]]</f>
        <v>-3000</v>
      </c>
      <c r="U26" s="70">
        <f>Tableau_Lancer_la_requête_à_partir_de_Excel_Files[[#This Row],[FNADT_FN2]]+Tableau_Lancer_la_requête_à_partir_de_Excel_Files[[#This Row],[AgricultureFN2]]</f>
        <v>0</v>
      </c>
      <c r="V26" s="70"/>
      <c r="W26" s="70"/>
      <c r="X26" s="70">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26" s="70"/>
      <c r="Z26" s="70"/>
      <c r="AA26" s="70"/>
      <c r="AB26" s="70"/>
      <c r="AC26" s="70">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9000</v>
      </c>
      <c r="AD26" s="21"/>
      <c r="AE26" s="21"/>
      <c r="AF26" s="21"/>
      <c r="AG26" s="21"/>
      <c r="AH26" s="21"/>
      <c r="AI26" s="21"/>
      <c r="AJ26" s="21"/>
      <c r="AK26" s="21"/>
      <c r="AL26" s="21"/>
      <c r="AM26" s="21">
        <v>9000</v>
      </c>
      <c r="AN26" s="21"/>
      <c r="AO26" s="21"/>
      <c r="AP26" s="21"/>
      <c r="AQ26" s="21"/>
      <c r="AR26" s="21"/>
      <c r="AS26" s="21"/>
      <c r="AT26" s="21"/>
      <c r="AU26" s="21"/>
      <c r="AV26" s="21"/>
      <c r="AW26" s="21"/>
      <c r="AX26" s="21"/>
      <c r="AY26" s="21"/>
      <c r="AZ26" s="70">
        <v>30000</v>
      </c>
      <c r="BA26" s="70">
        <v>56000</v>
      </c>
      <c r="BB26" s="18"/>
      <c r="BC26" s="18"/>
      <c r="BD26" s="70" t="s">
        <v>425</v>
      </c>
      <c r="BE26" s="70"/>
      <c r="BQ26" s="14"/>
      <c r="BR26" s="14"/>
      <c r="BS26" s="14"/>
      <c r="BT26" s="14"/>
      <c r="BU26" s="14"/>
      <c r="BV26" s="14"/>
      <c r="BW26" s="14"/>
      <c r="BX26" s="14"/>
      <c r="BY26" s="14"/>
      <c r="BZ26" s="14"/>
      <c r="CA26" s="14"/>
      <c r="CB26" s="14"/>
      <c r="CC26" s="14"/>
      <c r="CD26" s="14"/>
      <c r="CE26" s="14"/>
      <c r="CF26" s="14"/>
      <c r="CG26" s="14"/>
      <c r="CH26" s="14"/>
      <c r="CI26" s="14"/>
      <c r="CJ26" s="14"/>
      <c r="CK26" s="14"/>
      <c r="CL26" s="14"/>
    </row>
    <row r="27" spans="1:90" ht="30" x14ac:dyDescent="0.25">
      <c r="A27" s="28" t="s">
        <v>6</v>
      </c>
      <c r="B27" s="29" t="s">
        <v>285</v>
      </c>
      <c r="C27" s="29"/>
      <c r="D27" s="30" t="s">
        <v>391</v>
      </c>
      <c r="E27" s="31" t="s">
        <v>283</v>
      </c>
      <c r="F27" s="31" t="s">
        <v>284</v>
      </c>
      <c r="G27" s="22">
        <v>69700</v>
      </c>
      <c r="H27" s="22">
        <v>43613</v>
      </c>
      <c r="I27" s="32" t="s">
        <v>286</v>
      </c>
      <c r="J27" s="29">
        <v>20275</v>
      </c>
      <c r="K27" s="32" t="s">
        <v>287</v>
      </c>
      <c r="L27" s="29"/>
      <c r="M27" s="29" t="s">
        <v>219</v>
      </c>
      <c r="N27" s="29"/>
      <c r="O27" s="32">
        <v>42849</v>
      </c>
      <c r="P27" s="22">
        <f>Tableau_Lancer_la_requête_à_partir_de_Excel_Files[[#This Row],[Aide Massif Obtenue]]+Tableau_Lancer_la_requête_à_partir_de_Excel_Files[[#This Row],[Autre Public2]]</f>
        <v>43613</v>
      </c>
      <c r="Q27" s="33">
        <f>(Tableau_Lancer_la_requête_à_partir_de_Excel_Files[[#This Row],[Autre Public2]]+Tableau_Lancer_la_requête_à_partir_de_Excel_Files[[#This Row],[Aide Massif Obtenue]])/Tableau_Lancer_la_requête_à_partir_de_Excel_Files[[#This Row],[Coût total déposé]]</f>
        <v>0.6257245337159254</v>
      </c>
      <c r="R27" s="22">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35275</v>
      </c>
      <c r="S27" s="34">
        <f>Tableau_Lancer_la_requête_à_partir_de_Excel_Files[[#This Row],[Aide Massif Obtenue]]/Tableau_Lancer_la_requête_à_partir_de_Excel_Files[[#This Row],[Coût total déposé]]</f>
        <v>0.50609756097560976</v>
      </c>
      <c r="T27" s="22">
        <f>Tableau_Lancer_la_requête_à_partir_de_Excel_Files[[#This Row],[Aide Publique Obtenue]]-Tableau_Lancer_la_requête_à_partir_de_Excel_Files[[#This Row],[Aide Publique demandée]]</f>
        <v>0</v>
      </c>
      <c r="U27" s="22">
        <f>Tableau_Lancer_la_requête_à_partir_de_Excel_Files[[#This Row],[FNADT_FN2]]+Tableau_Lancer_la_requête_à_partir_de_Excel_Files[[#This Row],[AgricultureFN2]]</f>
        <v>0</v>
      </c>
      <c r="V27" s="22"/>
      <c r="W27" s="22"/>
      <c r="X27" s="22">
        <f>Tableau_Lancer_la_requête_à_partir_de_Excel_Files[[#This Row],[ALPC_FN2]]+Tableau_Lancer_la_requête_à_partir_de_Excel_Files[[#This Row],[AURA_FN2]]+Tableau_Lancer_la_requête_à_partir_de_Excel_Files[[#This Row],[BFC_FN2]]+Tableau_Lancer_la_requête_à_partir_de_Excel_Files[[#This Row],[LRMP_FN2]]</f>
        <v>15000</v>
      </c>
      <c r="Y27" s="22"/>
      <c r="Z27" s="22"/>
      <c r="AA27" s="22"/>
      <c r="AB27" s="22">
        <v>15000</v>
      </c>
      <c r="AC27" s="22">
        <v>0</v>
      </c>
      <c r="AD27" s="22"/>
      <c r="AE27" s="22"/>
      <c r="AF27" s="22"/>
      <c r="AG27" s="22"/>
      <c r="AH27" s="22"/>
      <c r="AI27" s="22"/>
      <c r="AJ27" s="22"/>
      <c r="AK27" s="22"/>
      <c r="AL27" s="22"/>
      <c r="AM27" s="22"/>
      <c r="AN27" s="22"/>
      <c r="AO27" s="22"/>
      <c r="AP27" s="22"/>
      <c r="AQ27" s="22"/>
      <c r="AR27" s="22"/>
      <c r="AS27" s="22"/>
      <c r="AT27" s="22"/>
      <c r="AU27" s="22"/>
      <c r="AV27" s="22"/>
      <c r="AW27" s="22"/>
      <c r="AX27" s="22"/>
      <c r="AY27" s="22"/>
      <c r="AZ27" s="22">
        <v>8338</v>
      </c>
      <c r="BA27" s="22">
        <v>20275</v>
      </c>
      <c r="BB27" s="30">
        <v>42736</v>
      </c>
      <c r="BC27" s="30"/>
      <c r="BD27" s="22"/>
      <c r="BE27" s="70"/>
      <c r="BQ27" s="14"/>
      <c r="BR27" s="14"/>
      <c r="BS27" s="14"/>
      <c r="BT27" s="14"/>
      <c r="BU27" s="14"/>
      <c r="BV27" s="14"/>
      <c r="BW27" s="14"/>
      <c r="BX27" s="14"/>
      <c r="BY27" s="14"/>
      <c r="BZ27" s="14"/>
      <c r="CA27" s="14"/>
      <c r="CB27" s="14"/>
      <c r="CC27" s="14"/>
      <c r="CD27" s="14"/>
      <c r="CE27" s="14"/>
      <c r="CF27" s="14"/>
      <c r="CG27" s="14"/>
      <c r="CH27" s="14"/>
      <c r="CI27" s="14"/>
      <c r="CJ27" s="14"/>
      <c r="CK27" s="14"/>
      <c r="CL27" s="14"/>
    </row>
    <row r="28" spans="1:90" ht="30" x14ac:dyDescent="0.25">
      <c r="A28" s="28" t="s">
        <v>6</v>
      </c>
      <c r="B28" s="29" t="s">
        <v>290</v>
      </c>
      <c r="C28" s="29"/>
      <c r="D28" s="30" t="s">
        <v>391</v>
      </c>
      <c r="E28" s="31" t="s">
        <v>288</v>
      </c>
      <c r="F28" s="31" t="s">
        <v>289</v>
      </c>
      <c r="G28" s="22">
        <v>45000</v>
      </c>
      <c r="H28" s="22">
        <v>31500</v>
      </c>
      <c r="I28" s="32" t="s">
        <v>209</v>
      </c>
      <c r="J28" s="29">
        <v>13500</v>
      </c>
      <c r="K28" s="32" t="s">
        <v>230</v>
      </c>
      <c r="L28" s="29"/>
      <c r="M28" s="29" t="s">
        <v>219</v>
      </c>
      <c r="N28" s="29" t="s">
        <v>291</v>
      </c>
      <c r="O28" s="32">
        <v>42873</v>
      </c>
      <c r="P28" s="22">
        <f>Tableau_Lancer_la_requête_à_partir_de_Excel_Files[[#This Row],[Aide Massif Obtenue]]+Tableau_Lancer_la_requête_à_partir_de_Excel_Files[[#This Row],[Autre Public2]]</f>
        <v>30290</v>
      </c>
      <c r="Q28" s="33">
        <f>(Tableau_Lancer_la_requête_à_partir_de_Excel_Files[[#This Row],[Autre Public2]]+Tableau_Lancer_la_requête_à_partir_de_Excel_Files[[#This Row],[Aide Massif Obtenue]])/Tableau_Lancer_la_requête_à_partir_de_Excel_Files[[#This Row],[Coût total déposé]]</f>
        <v>0.6731111111111111</v>
      </c>
      <c r="R28" s="22">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30290</v>
      </c>
      <c r="S28" s="34">
        <f>Tableau_Lancer_la_requête_à_partir_de_Excel_Files[[#This Row],[Aide Massif Obtenue]]/Tableau_Lancer_la_requête_à_partir_de_Excel_Files[[#This Row],[Coût total déposé]]</f>
        <v>0.6731111111111111</v>
      </c>
      <c r="T28" s="22">
        <f>Tableau_Lancer_la_requête_à_partir_de_Excel_Files[[#This Row],[Aide Publique Obtenue]]-Tableau_Lancer_la_requête_à_partir_de_Excel_Files[[#This Row],[Aide Publique demandée]]</f>
        <v>-1210</v>
      </c>
      <c r="U28" s="22">
        <f>Tableau_Lancer_la_requête_à_partir_de_Excel_Files[[#This Row],[FNADT_FN2]]+Tableau_Lancer_la_requête_à_partir_de_Excel_Files[[#This Row],[AgricultureFN2]]</f>
        <v>0</v>
      </c>
      <c r="V28" s="22"/>
      <c r="W28" s="22"/>
      <c r="X28" s="22">
        <f>Tableau_Lancer_la_requête_à_partir_de_Excel_Files[[#This Row],[ALPC_FN2]]+Tableau_Lancer_la_requête_à_partir_de_Excel_Files[[#This Row],[AURA_FN2]]+Tableau_Lancer_la_requête_à_partir_de_Excel_Files[[#This Row],[BFC_FN2]]+Tableau_Lancer_la_requête_à_partir_de_Excel_Files[[#This Row],[LRMP_FN2]]</f>
        <v>7790</v>
      </c>
      <c r="Y28" s="22"/>
      <c r="Z28" s="22"/>
      <c r="AA28" s="22"/>
      <c r="AB28" s="22">
        <v>7790</v>
      </c>
      <c r="AC28" s="22">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9000</v>
      </c>
      <c r="AD28" s="22"/>
      <c r="AE28" s="22"/>
      <c r="AF28" s="22"/>
      <c r="AG28" s="22">
        <v>9000</v>
      </c>
      <c r="AH28" s="22"/>
      <c r="AI28" s="22"/>
      <c r="AJ28" s="22"/>
      <c r="AK28" s="22"/>
      <c r="AL28" s="22"/>
      <c r="AM28" s="22"/>
      <c r="AN28" s="22"/>
      <c r="AO28" s="22"/>
      <c r="AP28" s="22"/>
      <c r="AQ28" s="22"/>
      <c r="AR28" s="22"/>
      <c r="AS28" s="22"/>
      <c r="AT28" s="22"/>
      <c r="AU28" s="22"/>
      <c r="AV28" s="22"/>
      <c r="AW28" s="22"/>
      <c r="AX28" s="22"/>
      <c r="AY28" s="22"/>
      <c r="AZ28" s="22">
        <v>0</v>
      </c>
      <c r="BA28" s="22">
        <v>13500</v>
      </c>
      <c r="BB28" s="30">
        <v>42736</v>
      </c>
      <c r="BC28" s="30"/>
      <c r="BD28" s="22"/>
      <c r="BE28" s="70"/>
      <c r="BQ28" s="14"/>
      <c r="BR28" s="14"/>
      <c r="BS28" s="14"/>
      <c r="BT28" s="14"/>
      <c r="BU28" s="14"/>
      <c r="BV28" s="14"/>
      <c r="BW28" s="14"/>
      <c r="BX28" s="14"/>
      <c r="BY28" s="14"/>
      <c r="BZ28" s="14"/>
      <c r="CA28" s="14"/>
      <c r="CB28" s="14"/>
      <c r="CC28" s="14"/>
      <c r="CD28" s="14"/>
      <c r="CE28" s="14"/>
      <c r="CF28" s="14"/>
      <c r="CG28" s="14"/>
      <c r="CH28" s="14"/>
      <c r="CI28" s="14"/>
      <c r="CJ28" s="14"/>
      <c r="CK28" s="14"/>
      <c r="CL28" s="14"/>
    </row>
    <row r="29" spans="1:90" ht="30" x14ac:dyDescent="0.25">
      <c r="A29" s="28" t="s">
        <v>6</v>
      </c>
      <c r="B29" s="29" t="s">
        <v>293</v>
      </c>
      <c r="C29" s="29"/>
      <c r="D29" s="30" t="s">
        <v>391</v>
      </c>
      <c r="E29" s="31" t="s">
        <v>232</v>
      </c>
      <c r="F29" s="31" t="s">
        <v>292</v>
      </c>
      <c r="G29" s="22">
        <v>29100</v>
      </c>
      <c r="H29" s="22">
        <v>11600</v>
      </c>
      <c r="I29" s="32" t="s">
        <v>294</v>
      </c>
      <c r="J29" s="29">
        <v>5800</v>
      </c>
      <c r="K29" s="32" t="s">
        <v>295</v>
      </c>
      <c r="L29" s="29"/>
      <c r="M29" s="29" t="s">
        <v>219</v>
      </c>
      <c r="N29" s="29"/>
      <c r="O29" s="32">
        <v>42810</v>
      </c>
      <c r="P29" s="22">
        <f>Tableau_Lancer_la_requête_à_partir_de_Excel_Files[[#This Row],[Aide Massif Obtenue]]+Tableau_Lancer_la_requête_à_partir_de_Excel_Files[[#This Row],[Autre Public2]]</f>
        <v>8280</v>
      </c>
      <c r="Q29" s="33">
        <f>(Tableau_Lancer_la_requête_à_partir_de_Excel_Files[[#This Row],[Autre Public2]]+Tableau_Lancer_la_requête_à_partir_de_Excel_Files[[#This Row],[Aide Massif Obtenue]])/Tableau_Lancer_la_requête_à_partir_de_Excel_Files[[#This Row],[Coût total déposé]]</f>
        <v>0.28453608247422679</v>
      </c>
      <c r="R29" s="22">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8280</v>
      </c>
      <c r="S29" s="34">
        <f>Tableau_Lancer_la_requête_à_partir_de_Excel_Files[[#This Row],[Aide Massif Obtenue]]/Tableau_Lancer_la_requête_à_partir_de_Excel_Files[[#This Row],[Coût total déposé]]</f>
        <v>0.28453608247422679</v>
      </c>
      <c r="T29" s="22">
        <f>Tableau_Lancer_la_requête_à_partir_de_Excel_Files[[#This Row],[Aide Publique Obtenue]]-Tableau_Lancer_la_requête_à_partir_de_Excel_Files[[#This Row],[Aide Publique demandée]]</f>
        <v>-3320</v>
      </c>
      <c r="U29" s="22">
        <f>Tableau_Lancer_la_requête_à_partir_de_Excel_Files[[#This Row],[FNADT_FN2]]+Tableau_Lancer_la_requête_à_partir_de_Excel_Files[[#This Row],[AgricultureFN2]]</f>
        <v>0</v>
      </c>
      <c r="V29" s="22"/>
      <c r="W29" s="22"/>
      <c r="X29" s="22">
        <f>Tableau_Lancer_la_requête_à_partir_de_Excel_Files[[#This Row],[ALPC_FN2]]+Tableau_Lancer_la_requête_à_partir_de_Excel_Files[[#This Row],[AURA_FN2]]+Tableau_Lancer_la_requête_à_partir_de_Excel_Files[[#This Row],[BFC_FN2]]+Tableau_Lancer_la_requête_à_partir_de_Excel_Files[[#This Row],[LRMP_FN2]]</f>
        <v>2480</v>
      </c>
      <c r="Y29" s="22"/>
      <c r="Z29" s="22"/>
      <c r="AA29" s="22"/>
      <c r="AB29" s="22">
        <v>2480</v>
      </c>
      <c r="AC29" s="22">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29" s="22"/>
      <c r="AE29" s="22"/>
      <c r="AF29" s="22"/>
      <c r="AG29" s="22"/>
      <c r="AH29" s="22"/>
      <c r="AI29" s="22"/>
      <c r="AJ29" s="22"/>
      <c r="AK29" s="22"/>
      <c r="AL29" s="22"/>
      <c r="AM29" s="22"/>
      <c r="AN29" s="22"/>
      <c r="AO29" s="22"/>
      <c r="AP29" s="22"/>
      <c r="AQ29" s="22"/>
      <c r="AR29" s="22"/>
      <c r="AS29" s="22"/>
      <c r="AT29" s="22"/>
      <c r="AU29" s="22"/>
      <c r="AV29" s="22"/>
      <c r="AW29" s="22"/>
      <c r="AX29" s="22"/>
      <c r="AY29" s="22"/>
      <c r="AZ29" s="22">
        <v>0</v>
      </c>
      <c r="BA29" s="22">
        <v>5800</v>
      </c>
      <c r="BB29" s="30">
        <v>42736</v>
      </c>
      <c r="BC29" s="30"/>
      <c r="BD29" s="22"/>
      <c r="BE29" s="70"/>
      <c r="BQ29" s="14"/>
      <c r="BR29" s="14"/>
      <c r="BS29" s="14"/>
      <c r="BT29" s="14"/>
      <c r="BU29" s="14"/>
      <c r="BV29" s="14"/>
      <c r="BW29" s="14"/>
      <c r="BX29" s="14"/>
      <c r="BY29" s="14"/>
      <c r="BZ29" s="14"/>
      <c r="CA29" s="14"/>
      <c r="CB29" s="14"/>
      <c r="CC29" s="14"/>
      <c r="CD29" s="14"/>
      <c r="CE29" s="14"/>
      <c r="CF29" s="14"/>
      <c r="CG29" s="14"/>
      <c r="CH29" s="14"/>
      <c r="CI29" s="14"/>
      <c r="CJ29" s="14"/>
      <c r="CK29" s="14"/>
      <c r="CL29" s="14"/>
    </row>
    <row r="30" spans="1:90" x14ac:dyDescent="0.25">
      <c r="A30" s="28" t="s">
        <v>6</v>
      </c>
      <c r="B30" s="29" t="s">
        <v>298</v>
      </c>
      <c r="C30" s="29"/>
      <c r="D30" s="30" t="s">
        <v>391</v>
      </c>
      <c r="E30" s="31" t="s">
        <v>296</v>
      </c>
      <c r="F30" s="31" t="s">
        <v>297</v>
      </c>
      <c r="G30" s="22">
        <v>24400</v>
      </c>
      <c r="H30" s="22">
        <v>17320</v>
      </c>
      <c r="I30" s="32" t="s">
        <v>299</v>
      </c>
      <c r="J30" s="29">
        <v>7320</v>
      </c>
      <c r="K30" s="32" t="s">
        <v>230</v>
      </c>
      <c r="L30" s="29"/>
      <c r="M30" s="29" t="s">
        <v>219</v>
      </c>
      <c r="N30" s="29" t="s">
        <v>291</v>
      </c>
      <c r="O30" s="32">
        <v>42864</v>
      </c>
      <c r="P30" s="22">
        <f>Tableau_Lancer_la_requête_à_partir_de_Excel_Files[[#This Row],[Aide Massif Obtenue]]+Tableau_Lancer_la_requête_à_partir_de_Excel_Files[[#This Row],[Autre Public2]]</f>
        <v>17320</v>
      </c>
      <c r="Q30" s="33">
        <f>(Tableau_Lancer_la_requête_à_partir_de_Excel_Files[[#This Row],[Autre Public2]]+Tableau_Lancer_la_requête_à_partir_de_Excel_Files[[#This Row],[Aide Massif Obtenue]])/Tableau_Lancer_la_requête_à_partir_de_Excel_Files[[#This Row],[Coût total déposé]]</f>
        <v>0.70983606557377055</v>
      </c>
      <c r="R30" s="22">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17320</v>
      </c>
      <c r="S30" s="34">
        <f>Tableau_Lancer_la_requête_à_partir_de_Excel_Files[[#This Row],[Aide Massif Obtenue]]/Tableau_Lancer_la_requête_à_partir_de_Excel_Files[[#This Row],[Coût total déposé]]</f>
        <v>0.70983606557377055</v>
      </c>
      <c r="T30" s="22">
        <f>Tableau_Lancer_la_requête_à_partir_de_Excel_Files[[#This Row],[Aide Publique Obtenue]]-Tableau_Lancer_la_requête_à_partir_de_Excel_Files[[#This Row],[Aide Publique demandée]]</f>
        <v>0</v>
      </c>
      <c r="U30" s="22">
        <f>Tableau_Lancer_la_requête_à_partir_de_Excel_Files[[#This Row],[FNADT_FN2]]+Tableau_Lancer_la_requête_à_partir_de_Excel_Files[[#This Row],[AgricultureFN2]]</f>
        <v>0</v>
      </c>
      <c r="V30" s="22"/>
      <c r="W30" s="22"/>
      <c r="X30" s="22">
        <f>Tableau_Lancer_la_requête_à_partir_de_Excel_Files[[#This Row],[ALPC_FN2]]+Tableau_Lancer_la_requête_à_partir_de_Excel_Files[[#This Row],[AURA_FN2]]+Tableau_Lancer_la_requête_à_partir_de_Excel_Files[[#This Row],[BFC_FN2]]+Tableau_Lancer_la_requête_à_partir_de_Excel_Files[[#This Row],[LRMP_FN2]]</f>
        <v>5000</v>
      </c>
      <c r="Y30" s="22"/>
      <c r="Z30" s="22"/>
      <c r="AA30" s="22"/>
      <c r="AB30" s="22">
        <v>5000</v>
      </c>
      <c r="AC30" s="22">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5000</v>
      </c>
      <c r="AD30" s="22"/>
      <c r="AE30" s="22"/>
      <c r="AF30" s="22"/>
      <c r="AG30" s="22">
        <v>5000</v>
      </c>
      <c r="AH30" s="22"/>
      <c r="AI30" s="22"/>
      <c r="AJ30" s="22"/>
      <c r="AK30" s="22"/>
      <c r="AL30" s="22"/>
      <c r="AM30" s="22"/>
      <c r="AN30" s="22"/>
      <c r="AO30" s="22"/>
      <c r="AP30" s="22"/>
      <c r="AQ30" s="22"/>
      <c r="AR30" s="22"/>
      <c r="AS30" s="22"/>
      <c r="AT30" s="22"/>
      <c r="AU30" s="22"/>
      <c r="AV30" s="22"/>
      <c r="AW30" s="22"/>
      <c r="AX30" s="22"/>
      <c r="AY30" s="22"/>
      <c r="AZ30" s="22">
        <v>0</v>
      </c>
      <c r="BA30" s="22">
        <v>7320</v>
      </c>
      <c r="BB30" s="30">
        <v>42736</v>
      </c>
      <c r="BC30" s="30"/>
      <c r="BD30" s="22"/>
      <c r="BE30" s="70"/>
      <c r="BQ30" s="14"/>
      <c r="BR30" s="14"/>
      <c r="BS30" s="14"/>
      <c r="BT30" s="14"/>
      <c r="BU30" s="14"/>
      <c r="BV30" s="14"/>
      <c r="BW30" s="14"/>
      <c r="BX30" s="14"/>
      <c r="BY30" s="14"/>
      <c r="BZ30" s="14"/>
      <c r="CA30" s="14"/>
      <c r="CB30" s="14"/>
      <c r="CC30" s="14"/>
      <c r="CD30" s="14"/>
      <c r="CE30" s="14"/>
      <c r="CF30" s="14"/>
      <c r="CG30" s="14"/>
      <c r="CH30" s="14"/>
      <c r="CI30" s="14"/>
      <c r="CJ30" s="14"/>
      <c r="CK30" s="14"/>
      <c r="CL30" s="14"/>
    </row>
    <row r="31" spans="1:90" x14ac:dyDescent="0.25">
      <c r="A31" s="28" t="s">
        <v>6</v>
      </c>
      <c r="B31" s="29" t="s">
        <v>306</v>
      </c>
      <c r="C31" s="29"/>
      <c r="D31" s="30" t="s">
        <v>391</v>
      </c>
      <c r="E31" s="31" t="s">
        <v>300</v>
      </c>
      <c r="F31" s="31" t="s">
        <v>301</v>
      </c>
      <c r="G31" s="22">
        <v>11250</v>
      </c>
      <c r="H31" s="22">
        <v>2250</v>
      </c>
      <c r="I31" s="32" t="s">
        <v>303</v>
      </c>
      <c r="J31" s="29">
        <v>2250</v>
      </c>
      <c r="K31" s="32" t="s">
        <v>303</v>
      </c>
      <c r="L31" s="29"/>
      <c r="M31" s="29"/>
      <c r="N31" s="29"/>
      <c r="O31" s="32">
        <v>42885</v>
      </c>
      <c r="P31" s="22">
        <f>Tableau_Lancer_la_requête_à_partir_de_Excel_Files[[#This Row],[Aide Massif Obtenue]]+Tableau_Lancer_la_requête_à_partir_de_Excel_Files[[#This Row],[Autre Public2]]</f>
        <v>2250</v>
      </c>
      <c r="Q31" s="33">
        <f>(Tableau_Lancer_la_requête_à_partir_de_Excel_Files[[#This Row],[Autre Public2]]+Tableau_Lancer_la_requête_à_partir_de_Excel_Files[[#This Row],[Aide Massif Obtenue]])/Tableau_Lancer_la_requête_à_partir_de_Excel_Files[[#This Row],[Coût total déposé]]</f>
        <v>0.2</v>
      </c>
      <c r="R31" s="22">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2250</v>
      </c>
      <c r="S31" s="34">
        <f>Tableau_Lancer_la_requête_à_partir_de_Excel_Files[[#This Row],[Aide Massif Obtenue]]/Tableau_Lancer_la_requête_à_partir_de_Excel_Files[[#This Row],[Coût total déposé]]</f>
        <v>0.2</v>
      </c>
      <c r="T31" s="22">
        <f>Tableau_Lancer_la_requête_à_partir_de_Excel_Files[[#This Row],[Aide Publique Obtenue]]-Tableau_Lancer_la_requête_à_partir_de_Excel_Files[[#This Row],[Aide Publique demandée]]</f>
        <v>0</v>
      </c>
      <c r="U31" s="22">
        <f>Tableau_Lancer_la_requête_à_partir_de_Excel_Files[[#This Row],[FNADT_FN2]]+Tableau_Lancer_la_requête_à_partir_de_Excel_Files[[#This Row],[AgricultureFN2]]</f>
        <v>0</v>
      </c>
      <c r="V31" s="22"/>
      <c r="W31" s="22"/>
      <c r="X31" s="22">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31" s="22"/>
      <c r="Z31" s="22"/>
      <c r="AA31" s="22"/>
      <c r="AB31" s="22"/>
      <c r="AC31" s="22">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31" s="22"/>
      <c r="AE31" s="22"/>
      <c r="AF31" s="22"/>
      <c r="AG31" s="22"/>
      <c r="AH31" s="22"/>
      <c r="AI31" s="22"/>
      <c r="AJ31" s="22"/>
      <c r="AK31" s="22"/>
      <c r="AL31" s="22"/>
      <c r="AM31" s="22"/>
      <c r="AN31" s="22"/>
      <c r="AO31" s="22"/>
      <c r="AP31" s="22"/>
      <c r="AQ31" s="22"/>
      <c r="AR31" s="22"/>
      <c r="AS31" s="22"/>
      <c r="AT31" s="22"/>
      <c r="AU31" s="22"/>
      <c r="AV31" s="22"/>
      <c r="AW31" s="22"/>
      <c r="AX31" s="22"/>
      <c r="AY31" s="22"/>
      <c r="AZ31" s="22">
        <v>0</v>
      </c>
      <c r="BA31" s="22">
        <v>2250</v>
      </c>
      <c r="BB31" s="30">
        <v>42736</v>
      </c>
      <c r="BC31" s="30"/>
      <c r="BD31" s="22"/>
      <c r="BE31" s="70"/>
      <c r="BQ31" s="14"/>
      <c r="BR31" s="14"/>
      <c r="BS31" s="14"/>
      <c r="BT31" s="14"/>
      <c r="BU31" s="14"/>
      <c r="BV31" s="14"/>
      <c r="BW31" s="14"/>
      <c r="BX31" s="14"/>
      <c r="BY31" s="14"/>
      <c r="BZ31" s="14"/>
      <c r="CA31" s="14"/>
      <c r="CB31" s="14"/>
      <c r="CC31" s="14"/>
      <c r="CD31" s="14"/>
      <c r="CE31" s="14"/>
      <c r="CF31" s="14"/>
      <c r="CG31" s="14"/>
      <c r="CH31" s="14"/>
      <c r="CI31" s="14"/>
      <c r="CJ31" s="14"/>
      <c r="CK31" s="14"/>
      <c r="CL31" s="14"/>
    </row>
    <row r="32" spans="1:90" ht="30" x14ac:dyDescent="0.25">
      <c r="A32" s="28" t="s">
        <v>6</v>
      </c>
      <c r="B32" s="29" t="s">
        <v>302</v>
      </c>
      <c r="C32" s="29"/>
      <c r="D32" s="30" t="s">
        <v>391</v>
      </c>
      <c r="E32" s="31" t="s">
        <v>304</v>
      </c>
      <c r="F32" s="31" t="s">
        <v>305</v>
      </c>
      <c r="G32" s="22">
        <v>57500</v>
      </c>
      <c r="H32" s="22">
        <v>11500</v>
      </c>
      <c r="I32" s="32" t="s">
        <v>303</v>
      </c>
      <c r="J32" s="29">
        <v>11500</v>
      </c>
      <c r="K32" s="32" t="s">
        <v>303</v>
      </c>
      <c r="L32" s="29"/>
      <c r="M32" s="29"/>
      <c r="N32" s="29"/>
      <c r="O32" s="32">
        <v>42885</v>
      </c>
      <c r="P32" s="22">
        <f>Tableau_Lancer_la_requête_à_partir_de_Excel_Files[[#This Row],[Aide Massif Obtenue]]+Tableau_Lancer_la_requête_à_partir_de_Excel_Files[[#This Row],[Autre Public2]]</f>
        <v>11500</v>
      </c>
      <c r="Q32" s="33">
        <f>(Tableau_Lancer_la_requête_à_partir_de_Excel_Files[[#This Row],[Autre Public2]]+Tableau_Lancer_la_requête_à_partir_de_Excel_Files[[#This Row],[Aide Massif Obtenue]])/Tableau_Lancer_la_requête_à_partir_de_Excel_Files[[#This Row],[Coût total déposé]]</f>
        <v>0.2</v>
      </c>
      <c r="R32" s="22">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11500</v>
      </c>
      <c r="S32" s="34">
        <f>Tableau_Lancer_la_requête_à_partir_de_Excel_Files[[#This Row],[Aide Massif Obtenue]]/Tableau_Lancer_la_requête_à_partir_de_Excel_Files[[#This Row],[Coût total déposé]]</f>
        <v>0.2</v>
      </c>
      <c r="T32" s="22">
        <f>Tableau_Lancer_la_requête_à_partir_de_Excel_Files[[#This Row],[Aide Publique Obtenue]]-Tableau_Lancer_la_requête_à_partir_de_Excel_Files[[#This Row],[Aide Publique demandée]]</f>
        <v>0</v>
      </c>
      <c r="U32" s="22">
        <f>Tableau_Lancer_la_requête_à_partir_de_Excel_Files[[#This Row],[FNADT_FN2]]+Tableau_Lancer_la_requête_à_partir_de_Excel_Files[[#This Row],[AgricultureFN2]]</f>
        <v>0</v>
      </c>
      <c r="V32" s="22"/>
      <c r="W32" s="22"/>
      <c r="X32" s="22">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32" s="22"/>
      <c r="Z32" s="22"/>
      <c r="AA32" s="22"/>
      <c r="AB32" s="22"/>
      <c r="AC32" s="22">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32" s="22"/>
      <c r="AE32" s="22"/>
      <c r="AF32" s="22"/>
      <c r="AG32" s="22"/>
      <c r="AH32" s="22"/>
      <c r="AI32" s="22"/>
      <c r="AJ32" s="22"/>
      <c r="AK32" s="22"/>
      <c r="AL32" s="22"/>
      <c r="AM32" s="22"/>
      <c r="AN32" s="22"/>
      <c r="AO32" s="22"/>
      <c r="AP32" s="22"/>
      <c r="AQ32" s="22"/>
      <c r="AR32" s="22"/>
      <c r="AS32" s="22"/>
      <c r="AT32" s="22"/>
      <c r="AU32" s="22"/>
      <c r="AV32" s="22"/>
      <c r="AW32" s="22"/>
      <c r="AX32" s="22"/>
      <c r="AY32" s="22"/>
      <c r="AZ32" s="22">
        <v>0</v>
      </c>
      <c r="BA32" s="22">
        <v>11500</v>
      </c>
      <c r="BB32" s="30">
        <v>42736</v>
      </c>
      <c r="BC32" s="30"/>
      <c r="BD32" s="22"/>
      <c r="BE32" s="70"/>
      <c r="BQ32" s="14"/>
      <c r="BR32" s="14"/>
      <c r="BS32" s="14"/>
      <c r="BT32" s="14"/>
      <c r="BU32" s="14"/>
      <c r="BV32" s="14"/>
      <c r="BW32" s="14"/>
      <c r="BX32" s="14"/>
      <c r="BY32" s="14"/>
      <c r="BZ32" s="14"/>
      <c r="CA32" s="14"/>
      <c r="CB32" s="14"/>
      <c r="CC32" s="14"/>
      <c r="CD32" s="14"/>
      <c r="CE32" s="14"/>
      <c r="CF32" s="14"/>
      <c r="CG32" s="14"/>
      <c r="CH32" s="14"/>
      <c r="CI32" s="14"/>
      <c r="CJ32" s="14"/>
      <c r="CK32" s="14"/>
      <c r="CL32" s="14"/>
    </row>
    <row r="33" spans="1:90" ht="30" x14ac:dyDescent="0.25">
      <c r="A33" s="74" t="s">
        <v>6</v>
      </c>
      <c r="B33" s="47" t="s">
        <v>310</v>
      </c>
      <c r="C33" s="47" t="s">
        <v>307</v>
      </c>
      <c r="D33" s="48" t="s">
        <v>391</v>
      </c>
      <c r="E33" s="49" t="s">
        <v>308</v>
      </c>
      <c r="F33" s="49" t="s">
        <v>309</v>
      </c>
      <c r="G33" s="50">
        <v>86180.54</v>
      </c>
      <c r="H33" s="50">
        <v>60326.377999999997</v>
      </c>
      <c r="I33" s="51" t="s">
        <v>209</v>
      </c>
      <c r="J33" s="47">
        <v>34472.216</v>
      </c>
      <c r="K33" s="51" t="s">
        <v>210</v>
      </c>
      <c r="L33" s="47" t="s">
        <v>204</v>
      </c>
      <c r="M33" s="47"/>
      <c r="N33" s="47"/>
      <c r="O33" s="51">
        <v>42824</v>
      </c>
      <c r="P33" s="50">
        <f>Tableau_Lancer_la_requête_à_partir_de_Excel_Files[[#This Row],[Aide Massif Obtenue]]+Tableau_Lancer_la_requête_à_partir_de_Excel_Files[[#This Row],[Autre Public2]]</f>
        <v>34472</v>
      </c>
      <c r="Q33" s="52">
        <f>(Tableau_Lancer_la_requête_à_partir_de_Excel_Files[[#This Row],[Autre Public2]]+Tableau_Lancer_la_requête_à_partir_de_Excel_Files[[#This Row],[Aide Massif Obtenue]])/Tableau_Lancer_la_requête_à_partir_de_Excel_Files[[#This Row],[Coût total déposé]]</f>
        <v>0.39999749363371362</v>
      </c>
      <c r="R33" s="50">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34472</v>
      </c>
      <c r="S33" s="67">
        <f>Tableau_Lancer_la_requête_à_partir_de_Excel_Files[[#This Row],[Aide Massif Obtenue]]/Tableau_Lancer_la_requête_à_partir_de_Excel_Files[[#This Row],[Coût total déposé]]</f>
        <v>0.39999749363371362</v>
      </c>
      <c r="T33" s="50">
        <f>Tableau_Lancer_la_requête_à_partir_de_Excel_Files[[#This Row],[Aide Publique Obtenue]]-Tableau_Lancer_la_requête_à_partir_de_Excel_Files[[#This Row],[Aide Publique demandée]]</f>
        <v>-25854.377999999997</v>
      </c>
      <c r="U33" s="50">
        <f>Tableau_Lancer_la_requête_à_partir_de_Excel_Files[[#This Row],[FNADT_FN2]]+Tableau_Lancer_la_requête_à_partir_de_Excel_Files[[#This Row],[AgricultureFN2]]</f>
        <v>0</v>
      </c>
      <c r="V33" s="22"/>
      <c r="W33" s="22"/>
      <c r="X33" s="50">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33" s="50"/>
      <c r="Z33" s="50"/>
      <c r="AA33" s="50"/>
      <c r="AB33" s="50"/>
      <c r="AC33" s="50">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33" s="35"/>
      <c r="AE33" s="35"/>
      <c r="AF33" s="35"/>
      <c r="AG33" s="35"/>
      <c r="AH33" s="35"/>
      <c r="AI33" s="35"/>
      <c r="AJ33" s="35"/>
      <c r="AK33" s="35"/>
      <c r="AL33" s="35"/>
      <c r="AM33" s="35"/>
      <c r="AN33" s="35"/>
      <c r="AO33" s="35"/>
      <c r="AP33" s="35"/>
      <c r="AQ33" s="35"/>
      <c r="AR33" s="35"/>
      <c r="AS33" s="35"/>
      <c r="AT33" s="35"/>
      <c r="AU33" s="35"/>
      <c r="AV33" s="35"/>
      <c r="AW33" s="35"/>
      <c r="AX33" s="35"/>
      <c r="AY33" s="35"/>
      <c r="AZ33" s="50">
        <v>0</v>
      </c>
      <c r="BA33" s="50">
        <v>34472</v>
      </c>
      <c r="BB33" s="48">
        <v>42736</v>
      </c>
      <c r="BC33" s="48"/>
      <c r="BD33" s="50"/>
      <c r="BE33" s="70"/>
      <c r="BQ33" s="14"/>
      <c r="BR33" s="14"/>
      <c r="BS33" s="14"/>
      <c r="BT33" s="14"/>
      <c r="BU33" s="14"/>
      <c r="BV33" s="14"/>
      <c r="BW33" s="14"/>
      <c r="BX33" s="14"/>
      <c r="BY33" s="14"/>
      <c r="BZ33" s="14"/>
      <c r="CA33" s="14"/>
      <c r="CB33" s="14"/>
      <c r="CC33" s="14"/>
      <c r="CD33" s="14"/>
      <c r="CE33" s="14"/>
      <c r="CF33" s="14"/>
      <c r="CG33" s="14"/>
      <c r="CH33" s="14"/>
      <c r="CI33" s="14"/>
      <c r="CJ33" s="14"/>
      <c r="CK33" s="14"/>
      <c r="CL33" s="14"/>
    </row>
    <row r="34" spans="1:90" ht="30" x14ac:dyDescent="0.25">
      <c r="A34" s="12" t="s">
        <v>6</v>
      </c>
      <c r="B34" s="15" t="s">
        <v>411</v>
      </c>
      <c r="C34" s="15" t="s">
        <v>411</v>
      </c>
      <c r="D34" s="18" t="s">
        <v>391</v>
      </c>
      <c r="E34" s="71" t="s">
        <v>412</v>
      </c>
      <c r="F34" s="71" t="s">
        <v>413</v>
      </c>
      <c r="G34" s="70">
        <v>53004.061000000002</v>
      </c>
      <c r="H34" s="70">
        <v>39110.411</v>
      </c>
      <c r="I34" s="17" t="s">
        <v>414</v>
      </c>
      <c r="J34" s="15">
        <v>21201.62</v>
      </c>
      <c r="K34" s="17" t="s">
        <v>210</v>
      </c>
      <c r="L34" s="15" t="s">
        <v>204</v>
      </c>
      <c r="M34" s="15"/>
      <c r="N34" s="15" t="s">
        <v>240</v>
      </c>
      <c r="O34" s="17">
        <v>42844</v>
      </c>
      <c r="P34" s="70">
        <f>Tableau_Lancer_la_requête_à_partir_de_Excel_Files[[#This Row],[Aide Massif Obtenue]]+Tableau_Lancer_la_requête_à_partir_de_Excel_Files[[#This Row],[Autre Public2]]</f>
        <v>34611.1</v>
      </c>
      <c r="Q34" s="13">
        <f>(Tableau_Lancer_la_requête_à_partir_de_Excel_Files[[#This Row],[Autre Public2]]+Tableau_Lancer_la_requête_à_partir_de_Excel_Files[[#This Row],[Aide Massif Obtenue]])/Tableau_Lancer_la_requête_à_partir_de_Excel_Files[[#This Row],[Coût total déposé]]</f>
        <v>0.65298958885433322</v>
      </c>
      <c r="R34" s="70">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34611.1</v>
      </c>
      <c r="S34" s="65">
        <f>Tableau_Lancer_la_requête_à_partir_de_Excel_Files[[#This Row],[Aide Massif Obtenue]]/Tableau_Lancer_la_requête_à_partir_de_Excel_Files[[#This Row],[Coût total déposé]]</f>
        <v>0.65298958885433322</v>
      </c>
      <c r="T34" s="70">
        <f>Tableau_Lancer_la_requête_à_partir_de_Excel_Files[[#This Row],[Aide Publique Obtenue]]-Tableau_Lancer_la_requête_à_partir_de_Excel_Files[[#This Row],[Aide Publique demandée]]</f>
        <v>-4499.3110000000015</v>
      </c>
      <c r="U34" s="70">
        <f>Tableau_Lancer_la_requête_à_partir_de_Excel_Files[[#This Row],[FNADT_FN2]]+Tableau_Lancer_la_requête_à_partir_de_Excel_Files[[#This Row],[AgricultureFN2]]</f>
        <v>9719.1</v>
      </c>
      <c r="V34" s="70">
        <v>9719.1</v>
      </c>
      <c r="W34" s="70"/>
      <c r="X34" s="70">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34" s="70"/>
      <c r="Z34" s="70"/>
      <c r="AA34" s="70"/>
      <c r="AB34" s="70"/>
      <c r="AC34" s="70">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5114</v>
      </c>
      <c r="AD34" s="21"/>
      <c r="AE34" s="21"/>
      <c r="AF34" s="21"/>
      <c r="AG34" s="21"/>
      <c r="AH34" s="21"/>
      <c r="AI34" s="21"/>
      <c r="AJ34" s="21"/>
      <c r="AK34" s="21"/>
      <c r="AL34" s="21"/>
      <c r="AM34" s="21"/>
      <c r="AN34" s="21"/>
      <c r="AO34" s="21"/>
      <c r="AP34" s="21"/>
      <c r="AQ34" s="21"/>
      <c r="AR34" s="21"/>
      <c r="AS34" s="21"/>
      <c r="AT34" s="21"/>
      <c r="AU34" s="21"/>
      <c r="AV34" s="21"/>
      <c r="AW34" s="21">
        <v>5114</v>
      </c>
      <c r="AX34" s="21"/>
      <c r="AY34" s="21"/>
      <c r="AZ34" s="70">
        <v>0</v>
      </c>
      <c r="BA34" s="70">
        <v>19778</v>
      </c>
      <c r="BB34" s="18">
        <v>42826</v>
      </c>
      <c r="BC34" s="18"/>
      <c r="BD34" s="70"/>
      <c r="BE34" s="70"/>
      <c r="BQ34" s="14"/>
      <c r="BR34" s="14"/>
      <c r="BS34" s="14"/>
      <c r="BT34" s="14"/>
      <c r="BU34" s="14"/>
      <c r="BV34" s="14"/>
      <c r="BW34" s="14"/>
      <c r="BX34" s="14"/>
      <c r="BY34" s="14"/>
      <c r="BZ34" s="14"/>
      <c r="CA34" s="14"/>
      <c r="CB34" s="14"/>
      <c r="CC34" s="14"/>
      <c r="CD34" s="14"/>
      <c r="CE34" s="14"/>
      <c r="CF34" s="14"/>
      <c r="CG34" s="14"/>
      <c r="CH34" s="14"/>
      <c r="CI34" s="14"/>
      <c r="CJ34" s="14"/>
      <c r="CK34" s="14"/>
      <c r="CL34" s="14"/>
    </row>
    <row r="35" spans="1:90" ht="45" x14ac:dyDescent="0.25">
      <c r="A35" s="12" t="s">
        <v>6</v>
      </c>
      <c r="B35" s="15" t="s">
        <v>312</v>
      </c>
      <c r="C35" s="15" t="s">
        <v>408</v>
      </c>
      <c r="D35" s="18" t="s">
        <v>389</v>
      </c>
      <c r="E35" s="11" t="s">
        <v>311</v>
      </c>
      <c r="F35" s="11" t="s">
        <v>313</v>
      </c>
      <c r="G35" s="9">
        <v>117976.71</v>
      </c>
      <c r="H35" s="9">
        <v>92654.18</v>
      </c>
      <c r="I35" s="73">
        <v>0.78539999999999999</v>
      </c>
      <c r="J35" s="15">
        <v>56028.629303836744</v>
      </c>
      <c r="K35" s="17" t="s">
        <v>213</v>
      </c>
      <c r="L35" s="15" t="s">
        <v>223</v>
      </c>
      <c r="M35" s="15"/>
      <c r="N35" s="15"/>
      <c r="O35" s="17">
        <v>42843</v>
      </c>
      <c r="P35" s="9">
        <f>Tableau_Lancer_la_requête_à_partir_de_Excel_Files[[#This Row],[Aide Massif Obtenue]]+Tableau_Lancer_la_requête_à_partir_de_Excel_Files[[#This Row],[Autre Public2]]</f>
        <v>92654.18</v>
      </c>
      <c r="Q35" s="13">
        <f>(Tableau_Lancer_la_requête_à_partir_de_Excel_Files[[#This Row],[Autre Public2]]+Tableau_Lancer_la_requête_à_partir_de_Excel_Files[[#This Row],[Aide Massif Obtenue]])/Tableau_Lancer_la_requête_à_partir_de_Excel_Files[[#This Row],[Coût total déposé]]</f>
        <v>0.7853599240053396</v>
      </c>
      <c r="R35"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92654.18</v>
      </c>
      <c r="S35" s="65">
        <f>Tableau_Lancer_la_requête_à_partir_de_Excel_Files[[#This Row],[Aide Massif Obtenue]]/Tableau_Lancer_la_requête_à_partir_de_Excel_Files[[#This Row],[Coût total déposé]]</f>
        <v>0.7853599240053396</v>
      </c>
      <c r="T35" s="9">
        <f>Tableau_Lancer_la_requête_à_partir_de_Excel_Files[[#This Row],[Aide Publique Obtenue]]-Tableau_Lancer_la_requête_à_partir_de_Excel_Files[[#This Row],[Aide Publique demandée]]</f>
        <v>0</v>
      </c>
      <c r="U35" s="9">
        <f>Tableau_Lancer_la_requête_à_partir_de_Excel_Files[[#This Row],[FNADT_FN2]]+Tableau_Lancer_la_requête_à_partir_de_Excel_Files[[#This Row],[AgricultureFN2]]</f>
        <v>33617.18</v>
      </c>
      <c r="V35" s="9"/>
      <c r="W35" s="9">
        <v>33617.18</v>
      </c>
      <c r="X35"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35" s="70"/>
      <c r="Z35" s="70"/>
      <c r="AA35" s="70"/>
      <c r="AB35" s="70"/>
      <c r="AC35"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35" s="21"/>
      <c r="AE35" s="21"/>
      <c r="AF35" s="21"/>
      <c r="AG35" s="21"/>
      <c r="AH35" s="21"/>
      <c r="AI35" s="21"/>
      <c r="AJ35" s="21"/>
      <c r="AK35" s="21"/>
      <c r="AL35" s="21"/>
      <c r="AM35" s="21"/>
      <c r="AN35" s="21"/>
      <c r="AO35" s="21"/>
      <c r="AP35" s="21"/>
      <c r="AQ35" s="21"/>
      <c r="AR35" s="21"/>
      <c r="AS35" s="21"/>
      <c r="AT35" s="21"/>
      <c r="AU35" s="21"/>
      <c r="AV35" s="21"/>
      <c r="AW35" s="21"/>
      <c r="AX35" s="21"/>
      <c r="AY35" s="21"/>
      <c r="AZ35" s="9">
        <v>0</v>
      </c>
      <c r="BA35" s="9">
        <v>59037</v>
      </c>
      <c r="BB35" s="18">
        <v>42826</v>
      </c>
      <c r="BC35" s="18"/>
      <c r="BD35" s="70"/>
      <c r="BE35" s="70"/>
      <c r="BQ35" s="14"/>
      <c r="BR35" s="14"/>
      <c r="BS35" s="14"/>
      <c r="BT35" s="14"/>
      <c r="BU35" s="14"/>
      <c r="BV35" s="14"/>
      <c r="BW35" s="14"/>
      <c r="BX35" s="14"/>
      <c r="BY35" s="14"/>
      <c r="BZ35" s="14"/>
      <c r="CA35" s="14"/>
      <c r="CB35" s="14"/>
      <c r="CC35" s="14"/>
      <c r="CD35" s="14"/>
      <c r="CE35" s="14"/>
      <c r="CF35" s="14"/>
      <c r="CG35" s="14"/>
      <c r="CH35" s="14"/>
      <c r="CI35" s="14"/>
      <c r="CJ35" s="14"/>
      <c r="CK35" s="14"/>
      <c r="CL35" s="14"/>
    </row>
    <row r="36" spans="1:90" ht="60" x14ac:dyDescent="0.25">
      <c r="A36" s="12" t="s">
        <v>6</v>
      </c>
      <c r="B36" s="15" t="s">
        <v>328</v>
      </c>
      <c r="C36" s="15" t="s">
        <v>418</v>
      </c>
      <c r="D36" s="18" t="s">
        <v>394</v>
      </c>
      <c r="E36" s="71" t="s">
        <v>314</v>
      </c>
      <c r="F36" s="71" t="s">
        <v>315</v>
      </c>
      <c r="G36" s="70">
        <v>61872</v>
      </c>
      <c r="H36" s="70">
        <v>49498</v>
      </c>
      <c r="I36" s="17" t="s">
        <v>212</v>
      </c>
      <c r="J36" s="15">
        <v>29979.441821428569</v>
      </c>
      <c r="K36" s="17" t="s">
        <v>213</v>
      </c>
      <c r="L36" s="15"/>
      <c r="M36" s="15" t="s">
        <v>228</v>
      </c>
      <c r="N36" s="15"/>
      <c r="O36" s="17">
        <v>42847</v>
      </c>
      <c r="P36" s="70">
        <f>Tableau_Lancer_la_requête_à_partir_de_Excel_Files[[#This Row],[Aide Massif Obtenue]]+Tableau_Lancer_la_requête_à_partir_de_Excel_Files[[#This Row],[Autre Public2]]</f>
        <v>49498</v>
      </c>
      <c r="Q36" s="13">
        <f>(Tableau_Lancer_la_requête_à_partir_de_Excel_Files[[#This Row],[Autre Public2]]+Tableau_Lancer_la_requête_à_partir_de_Excel_Files[[#This Row],[Aide Massif Obtenue]])/Tableau_Lancer_la_requête_à_partir_de_Excel_Files[[#This Row],[Coût total déposé]]</f>
        <v>0.80000646495991723</v>
      </c>
      <c r="R36" s="70">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49498</v>
      </c>
      <c r="S36" s="65">
        <f>Tableau_Lancer_la_requête_à_partir_de_Excel_Files[[#This Row],[Aide Massif Obtenue]]/Tableau_Lancer_la_requête_à_partir_de_Excel_Files[[#This Row],[Coût total déposé]]</f>
        <v>0.80000646495991723</v>
      </c>
      <c r="T36" s="70">
        <f>Tableau_Lancer_la_requête_à_partir_de_Excel_Files[[#This Row],[Aide Publique Obtenue]]-Tableau_Lancer_la_requête_à_partir_de_Excel_Files[[#This Row],[Aide Publique demandée]]</f>
        <v>0</v>
      </c>
      <c r="U36" s="70">
        <f>Tableau_Lancer_la_requête_à_partir_de_Excel_Files[[#This Row],[FNADT_FN2]]+Tableau_Lancer_la_requête_à_partir_de_Excel_Files[[#This Row],[AgricultureFN2]]</f>
        <v>0</v>
      </c>
      <c r="V36" s="70"/>
      <c r="W36" s="70"/>
      <c r="X36" s="70">
        <f>Tableau_Lancer_la_requête_à_partir_de_Excel_Files[[#This Row],[ALPC_FN2]]+Tableau_Lancer_la_requête_à_partir_de_Excel_Files[[#This Row],[AURA_FN2]]+Tableau_Lancer_la_requête_à_partir_de_Excel_Files[[#This Row],[BFC_FN2]]+Tableau_Lancer_la_requête_à_partir_de_Excel_Files[[#This Row],[LRMP_FN2]]</f>
        <v>17987</v>
      </c>
      <c r="Y36" s="70">
        <v>17987</v>
      </c>
      <c r="Z36" s="70"/>
      <c r="AA36" s="70"/>
      <c r="AB36" s="70"/>
      <c r="AC36" s="70">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36" s="21"/>
      <c r="AE36" s="21"/>
      <c r="AF36" s="21"/>
      <c r="AG36" s="21"/>
      <c r="AH36" s="21"/>
      <c r="AI36" s="21"/>
      <c r="AJ36" s="21"/>
      <c r="AK36" s="21"/>
      <c r="AL36" s="21"/>
      <c r="AM36" s="21"/>
      <c r="AN36" s="21"/>
      <c r="AO36" s="21"/>
      <c r="AP36" s="21"/>
      <c r="AQ36" s="21"/>
      <c r="AR36" s="21"/>
      <c r="AS36" s="21"/>
      <c r="AT36" s="21"/>
      <c r="AU36" s="21"/>
      <c r="AV36" s="21"/>
      <c r="AW36" s="21"/>
      <c r="AX36" s="21"/>
      <c r="AY36" s="21"/>
      <c r="AZ36" s="70">
        <v>0</v>
      </c>
      <c r="BA36" s="70">
        <v>31511</v>
      </c>
      <c r="BB36" s="18">
        <v>42826</v>
      </c>
      <c r="BC36" s="18"/>
      <c r="BD36" s="70"/>
      <c r="BE36" s="70"/>
      <c r="BQ36" s="14"/>
      <c r="BR36" s="14"/>
      <c r="BS36" s="14"/>
      <c r="BT36" s="14"/>
      <c r="BU36" s="14"/>
      <c r="BV36" s="14"/>
      <c r="BW36" s="14"/>
      <c r="BX36" s="14"/>
      <c r="BY36" s="14"/>
      <c r="BZ36" s="14"/>
      <c r="CA36" s="14"/>
      <c r="CB36" s="14"/>
      <c r="CC36" s="14"/>
      <c r="CD36" s="14"/>
      <c r="CE36" s="14"/>
      <c r="CF36" s="14"/>
      <c r="CG36" s="14"/>
      <c r="CH36" s="14"/>
      <c r="CI36" s="14"/>
      <c r="CJ36" s="14"/>
      <c r="CK36" s="14"/>
      <c r="CL36" s="14"/>
    </row>
    <row r="37" spans="1:90" ht="45" x14ac:dyDescent="0.25">
      <c r="A37" s="12" t="s">
        <v>6</v>
      </c>
      <c r="B37" s="15" t="s">
        <v>329</v>
      </c>
      <c r="C37" s="15"/>
      <c r="D37" s="18" t="s">
        <v>391</v>
      </c>
      <c r="E37" s="11" t="s">
        <v>316</v>
      </c>
      <c r="F37" s="11" t="s">
        <v>317</v>
      </c>
      <c r="G37" s="9">
        <v>131753.19</v>
      </c>
      <c r="H37" s="9">
        <v>30000</v>
      </c>
      <c r="I37" s="17" t="s">
        <v>330</v>
      </c>
      <c r="J37" s="15">
        <v>30000</v>
      </c>
      <c r="K37" s="17" t="s">
        <v>330</v>
      </c>
      <c r="L37" s="15"/>
      <c r="M37" s="15"/>
      <c r="N37" s="15"/>
      <c r="O37" s="17">
        <v>42857</v>
      </c>
      <c r="P37" s="9">
        <f>Tableau_Lancer_la_requête_à_partir_de_Excel_Files[[#This Row],[Aide Massif Obtenue]]+Tableau_Lancer_la_requête_à_partir_de_Excel_Files[[#This Row],[Autre Public2]]</f>
        <v>30000</v>
      </c>
      <c r="Q37" s="13">
        <f>(Tableau_Lancer_la_requête_à_partir_de_Excel_Files[[#This Row],[Autre Public2]]+Tableau_Lancer_la_requête_à_partir_de_Excel_Files[[#This Row],[Aide Massif Obtenue]])/Tableau_Lancer_la_requête_à_partir_de_Excel_Files[[#This Row],[Coût total déposé]]</f>
        <v>0.22769847166508833</v>
      </c>
      <c r="R37"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30000</v>
      </c>
      <c r="S37" s="65">
        <f>Tableau_Lancer_la_requête_à_partir_de_Excel_Files[[#This Row],[Aide Massif Obtenue]]/Tableau_Lancer_la_requête_à_partir_de_Excel_Files[[#This Row],[Coût total déposé]]</f>
        <v>0.22769847166508833</v>
      </c>
      <c r="T37" s="9">
        <f>Tableau_Lancer_la_requête_à_partir_de_Excel_Files[[#This Row],[Aide Publique Obtenue]]-Tableau_Lancer_la_requête_à_partir_de_Excel_Files[[#This Row],[Aide Publique demandée]]</f>
        <v>0</v>
      </c>
      <c r="U37" s="9">
        <f>Tableau_Lancer_la_requête_à_partir_de_Excel_Files[[#This Row],[FNADT_FN2]]+Tableau_Lancer_la_requête_à_partir_de_Excel_Files[[#This Row],[AgricultureFN2]]</f>
        <v>0</v>
      </c>
      <c r="V37" s="9"/>
      <c r="W37" s="9"/>
      <c r="X37"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37" s="70"/>
      <c r="Z37" s="70"/>
      <c r="AA37" s="70"/>
      <c r="AB37" s="70"/>
      <c r="AC37"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37" s="21"/>
      <c r="AE37" s="21"/>
      <c r="AF37" s="21"/>
      <c r="AG37" s="21"/>
      <c r="AH37" s="21"/>
      <c r="AI37" s="21"/>
      <c r="AJ37" s="21"/>
      <c r="AK37" s="21"/>
      <c r="AL37" s="21"/>
      <c r="AM37" s="21"/>
      <c r="AN37" s="21"/>
      <c r="AO37" s="21"/>
      <c r="AP37" s="21"/>
      <c r="AQ37" s="21"/>
      <c r="AR37" s="21"/>
      <c r="AS37" s="21"/>
      <c r="AT37" s="21"/>
      <c r="AU37" s="21"/>
      <c r="AV37" s="21"/>
      <c r="AW37" s="21"/>
      <c r="AX37" s="21"/>
      <c r="AY37" s="21"/>
      <c r="AZ37" s="9">
        <v>0</v>
      </c>
      <c r="BA37" s="9">
        <v>30000</v>
      </c>
      <c r="BB37" s="18">
        <v>42736</v>
      </c>
      <c r="BC37" s="18"/>
      <c r="BD37" s="9"/>
      <c r="BE37" s="70"/>
      <c r="BQ37" s="14"/>
      <c r="BR37" s="14"/>
      <c r="BS37" s="14"/>
      <c r="BT37" s="14"/>
      <c r="BU37" s="14"/>
      <c r="BV37" s="14"/>
      <c r="BW37" s="14"/>
      <c r="BX37" s="14"/>
      <c r="BY37" s="14"/>
      <c r="BZ37" s="14"/>
      <c r="CA37" s="14"/>
      <c r="CB37" s="14"/>
      <c r="CC37" s="14"/>
      <c r="CD37" s="14"/>
      <c r="CE37" s="14"/>
      <c r="CF37" s="14"/>
      <c r="CG37" s="14"/>
      <c r="CH37" s="14"/>
      <c r="CI37" s="14"/>
      <c r="CJ37" s="14"/>
      <c r="CK37" s="14"/>
      <c r="CL37" s="14"/>
    </row>
    <row r="38" spans="1:90" ht="30" x14ac:dyDescent="0.25">
      <c r="A38" s="38" t="s">
        <v>5</v>
      </c>
      <c r="B38" s="39" t="s">
        <v>376</v>
      </c>
      <c r="C38" s="39" t="s">
        <v>376</v>
      </c>
      <c r="D38" s="40" t="s">
        <v>389</v>
      </c>
      <c r="E38" s="41" t="s">
        <v>377</v>
      </c>
      <c r="F38" s="41" t="s">
        <v>319</v>
      </c>
      <c r="G38" s="42">
        <v>40195.14</v>
      </c>
      <c r="H38" s="42">
        <v>28136.59</v>
      </c>
      <c r="I38" s="43" t="s">
        <v>209</v>
      </c>
      <c r="J38" s="39"/>
      <c r="K38" s="43" t="s">
        <v>211</v>
      </c>
      <c r="L38" s="39" t="s">
        <v>223</v>
      </c>
      <c r="M38" s="39" t="s">
        <v>205</v>
      </c>
      <c r="N38" s="39"/>
      <c r="O38" s="43">
        <v>42839</v>
      </c>
      <c r="P38" s="42">
        <f>Tableau_Lancer_la_requête_à_partir_de_Excel_Files[[#This Row],[Aide Massif Obtenue]]+Tableau_Lancer_la_requête_à_partir_de_Excel_Files[[#This Row],[Autre Public2]]</f>
        <v>14068.3</v>
      </c>
      <c r="Q38" s="44">
        <f>(Tableau_Lancer_la_requête_à_partir_de_Excel_Files[[#This Row],[Autre Public2]]+Tableau_Lancer_la_requête_à_partir_de_Excel_Files[[#This Row],[Aide Massif Obtenue]])/Tableau_Lancer_la_requête_à_partir_de_Excel_Files[[#This Row],[Coût total déposé]]</f>
        <v>0.35000002487862958</v>
      </c>
      <c r="R38" s="42">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14068.3</v>
      </c>
      <c r="S38" s="66">
        <f>Tableau_Lancer_la_requête_à_partir_de_Excel_Files[[#This Row],[Aide Massif Obtenue]]/Tableau_Lancer_la_requête_à_partir_de_Excel_Files[[#This Row],[Coût total déposé]]</f>
        <v>0.35000002487862958</v>
      </c>
      <c r="T38" s="42">
        <f>Tableau_Lancer_la_requête_à_partir_de_Excel_Files[[#This Row],[Aide Publique Obtenue]]-Tableau_Lancer_la_requête_à_partir_de_Excel_Files[[#This Row],[Aide Publique demandée]]</f>
        <v>-14068.29</v>
      </c>
      <c r="U38" s="42">
        <f>Tableau_Lancer_la_requête_à_partir_de_Excel_Files[[#This Row],[FNADT_FN2]]+Tableau_Lancer_la_requête_à_partir_de_Excel_Files[[#This Row],[AgricultureFN2]]</f>
        <v>14068.3</v>
      </c>
      <c r="V38" s="42"/>
      <c r="W38" s="42">
        <v>14068.3</v>
      </c>
      <c r="X38" s="42">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38" s="42"/>
      <c r="Z38" s="42"/>
      <c r="AA38" s="42"/>
      <c r="AB38" s="42"/>
      <c r="AC38" s="42">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38" s="24"/>
      <c r="AE38" s="24"/>
      <c r="AF38" s="24"/>
      <c r="AG38" s="24"/>
      <c r="AH38" s="24"/>
      <c r="AI38" s="24"/>
      <c r="AJ38" s="24"/>
      <c r="AK38" s="24"/>
      <c r="AL38" s="24"/>
      <c r="AM38" s="24"/>
      <c r="AN38" s="24"/>
      <c r="AO38" s="24"/>
      <c r="AP38" s="24"/>
      <c r="AQ38" s="24"/>
      <c r="AR38" s="24"/>
      <c r="AS38" s="24"/>
      <c r="AT38" s="24"/>
      <c r="AU38" s="24"/>
      <c r="AV38" s="24"/>
      <c r="AW38" s="24"/>
      <c r="AX38" s="24"/>
      <c r="AY38" s="24"/>
      <c r="AZ38" s="42">
        <v>0</v>
      </c>
      <c r="BA38" s="42">
        <v>0</v>
      </c>
      <c r="BB38" s="40"/>
      <c r="BC38" s="40"/>
      <c r="BD38" s="69"/>
      <c r="BE38" s="70"/>
      <c r="BQ38" s="14"/>
      <c r="BR38" s="14"/>
      <c r="BS38" s="14"/>
      <c r="BT38" s="14"/>
      <c r="BU38" s="14"/>
      <c r="BV38" s="14"/>
      <c r="BW38" s="14"/>
      <c r="BX38" s="14"/>
      <c r="BY38" s="14"/>
      <c r="BZ38" s="14"/>
      <c r="CA38" s="14"/>
      <c r="CB38" s="14"/>
      <c r="CC38" s="14"/>
      <c r="CD38" s="14"/>
      <c r="CE38" s="14"/>
      <c r="CF38" s="14"/>
      <c r="CG38" s="14"/>
      <c r="CH38" s="14"/>
      <c r="CI38" s="14"/>
      <c r="CJ38" s="14"/>
      <c r="CK38" s="14"/>
      <c r="CL38" s="14"/>
    </row>
    <row r="39" spans="1:90" ht="30" x14ac:dyDescent="0.25">
      <c r="A39" s="46" t="s">
        <v>5</v>
      </c>
      <c r="B39" s="47" t="s">
        <v>378</v>
      </c>
      <c r="C39" s="47" t="s">
        <v>378</v>
      </c>
      <c r="D39" s="48" t="s">
        <v>389</v>
      </c>
      <c r="E39" s="49" t="s">
        <v>379</v>
      </c>
      <c r="F39" s="49" t="s">
        <v>319</v>
      </c>
      <c r="G39" s="50">
        <v>34813.949999999997</v>
      </c>
      <c r="H39" s="50">
        <v>24369.759999999998</v>
      </c>
      <c r="I39" s="51" t="s">
        <v>209</v>
      </c>
      <c r="J39" s="47"/>
      <c r="K39" s="51" t="s">
        <v>211</v>
      </c>
      <c r="L39" s="47" t="s">
        <v>223</v>
      </c>
      <c r="M39" s="47" t="s">
        <v>205</v>
      </c>
      <c r="N39" s="47"/>
      <c r="O39" s="43">
        <v>42839</v>
      </c>
      <c r="P39" s="50">
        <f>Tableau_Lancer_la_requête_à_partir_de_Excel_Files[[#This Row],[Aide Massif Obtenue]]+Tableau_Lancer_la_requête_à_partir_de_Excel_Files[[#This Row],[Autre Public2]]</f>
        <v>12184.88</v>
      </c>
      <c r="Q39" s="52">
        <f>(Tableau_Lancer_la_requête_à_partir_de_Excel_Files[[#This Row],[Autre Public2]]+Tableau_Lancer_la_requête_à_partir_de_Excel_Files[[#This Row],[Aide Massif Obtenue]])/Tableau_Lancer_la_requête_à_partir_de_Excel_Files[[#This Row],[Coût total déposé]]</f>
        <v>0.34999992818970554</v>
      </c>
      <c r="R39" s="50">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12184.88</v>
      </c>
      <c r="S39" s="67">
        <f>Tableau_Lancer_la_requête_à_partir_de_Excel_Files[[#This Row],[Aide Massif Obtenue]]/Tableau_Lancer_la_requête_à_partir_de_Excel_Files[[#This Row],[Coût total déposé]]</f>
        <v>0.34999992818970554</v>
      </c>
      <c r="T39" s="50">
        <f>Tableau_Lancer_la_requête_à_partir_de_Excel_Files[[#This Row],[Aide Publique Obtenue]]-Tableau_Lancer_la_requête_à_partir_de_Excel_Files[[#This Row],[Aide Publique demandée]]</f>
        <v>-12184.88</v>
      </c>
      <c r="U39" s="50">
        <f>Tableau_Lancer_la_requête_à_partir_de_Excel_Files[[#This Row],[FNADT_FN2]]+Tableau_Lancer_la_requête_à_partir_de_Excel_Files[[#This Row],[AgricultureFN2]]</f>
        <v>12184.88</v>
      </c>
      <c r="V39" s="50"/>
      <c r="W39" s="50">
        <v>12184.88</v>
      </c>
      <c r="X39" s="50">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39" s="50"/>
      <c r="Z39" s="50"/>
      <c r="AA39" s="50"/>
      <c r="AB39" s="50"/>
      <c r="AC39" s="50">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39" s="25"/>
      <c r="AE39" s="25"/>
      <c r="AF39" s="25"/>
      <c r="AG39" s="25"/>
      <c r="AH39" s="25"/>
      <c r="AI39" s="25"/>
      <c r="AJ39" s="25"/>
      <c r="AK39" s="25"/>
      <c r="AL39" s="25"/>
      <c r="AM39" s="25"/>
      <c r="AN39" s="25"/>
      <c r="AO39" s="25"/>
      <c r="AP39" s="25"/>
      <c r="AQ39" s="25"/>
      <c r="AR39" s="25"/>
      <c r="AS39" s="25"/>
      <c r="AT39" s="25"/>
      <c r="AU39" s="25"/>
      <c r="AV39" s="25"/>
      <c r="AW39" s="25"/>
      <c r="AX39" s="25"/>
      <c r="AY39" s="25"/>
      <c r="AZ39" s="50">
        <v>0</v>
      </c>
      <c r="BA39" s="50">
        <v>0</v>
      </c>
      <c r="BB39" s="48"/>
      <c r="BC39" s="48"/>
      <c r="BD39" s="63"/>
      <c r="BE39" s="70"/>
      <c r="BQ39" s="14"/>
      <c r="BR39" s="14"/>
      <c r="BS39" s="14"/>
      <c r="BT39" s="14"/>
      <c r="BU39" s="14"/>
      <c r="BV39" s="14"/>
      <c r="BW39" s="14"/>
      <c r="BX39" s="14"/>
      <c r="BY39" s="14"/>
      <c r="BZ39" s="14"/>
      <c r="CA39" s="14"/>
      <c r="CB39" s="14"/>
      <c r="CC39" s="14"/>
      <c r="CD39" s="14"/>
      <c r="CE39" s="14"/>
      <c r="CF39" s="14"/>
      <c r="CG39" s="14"/>
      <c r="CH39" s="14"/>
      <c r="CI39" s="14"/>
      <c r="CJ39" s="14"/>
      <c r="CK39" s="14"/>
      <c r="CL39" s="14"/>
    </row>
    <row r="40" spans="1:90" ht="30" x14ac:dyDescent="0.25">
      <c r="A40" s="46" t="s">
        <v>5</v>
      </c>
      <c r="B40" s="47" t="s">
        <v>331</v>
      </c>
      <c r="C40" s="47" t="s">
        <v>331</v>
      </c>
      <c r="D40" s="48" t="s">
        <v>389</v>
      </c>
      <c r="E40" s="49" t="s">
        <v>318</v>
      </c>
      <c r="F40" s="49" t="s">
        <v>319</v>
      </c>
      <c r="G40" s="50">
        <v>32978.851333333332</v>
      </c>
      <c r="H40" s="50">
        <v>23085.195933333333</v>
      </c>
      <c r="I40" s="51" t="s">
        <v>209</v>
      </c>
      <c r="J40" s="47"/>
      <c r="K40" s="51" t="s">
        <v>211</v>
      </c>
      <c r="L40" s="47" t="s">
        <v>223</v>
      </c>
      <c r="M40" s="47" t="s">
        <v>205</v>
      </c>
      <c r="N40" s="47"/>
      <c r="O40" s="43">
        <v>42839</v>
      </c>
      <c r="P40" s="50">
        <f>Tableau_Lancer_la_requête_à_partir_de_Excel_Files[[#This Row],[Aide Massif Obtenue]]+Tableau_Lancer_la_requête_à_partir_de_Excel_Files[[#This Row],[Autre Public2]]</f>
        <v>11542.6</v>
      </c>
      <c r="Q40" s="52">
        <f>(Tableau_Lancer_la_requête_à_partir_de_Excel_Files[[#This Row],[Autre Public2]]+Tableau_Lancer_la_requête_à_partir_de_Excel_Files[[#This Row],[Aide Massif Obtenue]])/Tableau_Lancer_la_requête_à_partir_de_Excel_Files[[#This Row],[Coût total déposé]]</f>
        <v>0.35000006165567482</v>
      </c>
      <c r="R40" s="50">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11542.6</v>
      </c>
      <c r="S40" s="67">
        <f>Tableau_Lancer_la_requête_à_partir_de_Excel_Files[[#This Row],[Aide Massif Obtenue]]/Tableau_Lancer_la_requête_à_partir_de_Excel_Files[[#This Row],[Coût total déposé]]</f>
        <v>0.35000006165567482</v>
      </c>
      <c r="T40" s="50">
        <f>Tableau_Lancer_la_requête_à_partir_de_Excel_Files[[#This Row],[Aide Publique Obtenue]]-Tableau_Lancer_la_requête_à_partir_de_Excel_Files[[#This Row],[Aide Publique demandée]]</f>
        <v>-11542.595933333332</v>
      </c>
      <c r="U40" s="50">
        <f>Tableau_Lancer_la_requête_à_partir_de_Excel_Files[[#This Row],[FNADT_FN2]]+Tableau_Lancer_la_requête_à_partir_de_Excel_Files[[#This Row],[AgricultureFN2]]</f>
        <v>11542.6</v>
      </c>
      <c r="V40" s="50"/>
      <c r="W40" s="50">
        <v>11542.6</v>
      </c>
      <c r="X40" s="50">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40" s="50"/>
      <c r="Z40" s="50"/>
      <c r="AA40" s="50"/>
      <c r="AB40" s="50"/>
      <c r="AC40" s="50">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40" s="25"/>
      <c r="AE40" s="25"/>
      <c r="AF40" s="25"/>
      <c r="AG40" s="25"/>
      <c r="AH40" s="25"/>
      <c r="AI40" s="25"/>
      <c r="AJ40" s="25"/>
      <c r="AK40" s="25"/>
      <c r="AL40" s="25"/>
      <c r="AM40" s="25"/>
      <c r="AN40" s="25"/>
      <c r="AO40" s="25"/>
      <c r="AP40" s="25"/>
      <c r="AQ40" s="25"/>
      <c r="AR40" s="25"/>
      <c r="AS40" s="25"/>
      <c r="AT40" s="25"/>
      <c r="AU40" s="25"/>
      <c r="AV40" s="25"/>
      <c r="AW40" s="25"/>
      <c r="AX40" s="25"/>
      <c r="AY40" s="25"/>
      <c r="AZ40" s="50">
        <v>0</v>
      </c>
      <c r="BA40" s="50">
        <v>0</v>
      </c>
      <c r="BB40" s="48"/>
      <c r="BC40" s="48"/>
      <c r="BD40" s="63"/>
      <c r="BE40" s="70"/>
      <c r="BQ40" s="14"/>
      <c r="BR40" s="14"/>
      <c r="BS40" s="14"/>
      <c r="BT40" s="14"/>
      <c r="BU40" s="14"/>
      <c r="BV40" s="14"/>
      <c r="BW40" s="14"/>
      <c r="BX40" s="14"/>
      <c r="BY40" s="14"/>
      <c r="BZ40" s="14"/>
      <c r="CA40" s="14"/>
      <c r="CB40" s="14"/>
      <c r="CC40" s="14"/>
      <c r="CD40" s="14"/>
      <c r="CE40" s="14"/>
      <c r="CF40" s="14"/>
      <c r="CG40" s="14"/>
      <c r="CH40" s="14"/>
      <c r="CI40" s="14"/>
      <c r="CJ40" s="14"/>
      <c r="CK40" s="14"/>
      <c r="CL40" s="14"/>
    </row>
    <row r="41" spans="1:90" ht="30" x14ac:dyDescent="0.25">
      <c r="A41" s="46" t="s">
        <v>5</v>
      </c>
      <c r="B41" s="47" t="s">
        <v>332</v>
      </c>
      <c r="C41" s="47" t="s">
        <v>332</v>
      </c>
      <c r="D41" s="48" t="s">
        <v>389</v>
      </c>
      <c r="E41" s="49" t="s">
        <v>320</v>
      </c>
      <c r="F41" s="49" t="s">
        <v>319</v>
      </c>
      <c r="G41" s="50">
        <v>29562.379601861423</v>
      </c>
      <c r="H41" s="50">
        <v>20693.665721302998</v>
      </c>
      <c r="I41" s="51" t="s">
        <v>209</v>
      </c>
      <c r="J41" s="47"/>
      <c r="K41" s="51" t="s">
        <v>211</v>
      </c>
      <c r="L41" s="47" t="s">
        <v>223</v>
      </c>
      <c r="M41" s="47" t="s">
        <v>228</v>
      </c>
      <c r="N41" s="47"/>
      <c r="O41" s="43">
        <v>42839</v>
      </c>
      <c r="P41" s="50">
        <f>Tableau_Lancer_la_requête_à_partir_de_Excel_Files[[#This Row],[Aide Massif Obtenue]]+Tableau_Lancer_la_requête_à_partir_de_Excel_Files[[#This Row],[Autre Public2]]</f>
        <v>10346.83</v>
      </c>
      <c r="Q41" s="52">
        <f>(Tableau_Lancer_la_requête_à_partir_de_Excel_Files[[#This Row],[Autre Public2]]+Tableau_Lancer_la_requête_à_partir_de_Excel_Files[[#This Row],[Aide Massif Obtenue]])/Tableau_Lancer_la_requête_à_partir_de_Excel_Files[[#This Row],[Coût total déposé]]</f>
        <v>0.34999990323338187</v>
      </c>
      <c r="R41" s="50">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10346.83</v>
      </c>
      <c r="S41" s="67">
        <f>Tableau_Lancer_la_requête_à_partir_de_Excel_Files[[#This Row],[Aide Massif Obtenue]]/Tableau_Lancer_la_requête_à_partir_de_Excel_Files[[#This Row],[Coût total déposé]]</f>
        <v>0.34999990323338187</v>
      </c>
      <c r="T41" s="50">
        <f>Tableau_Lancer_la_requête_à_partir_de_Excel_Files[[#This Row],[Aide Publique Obtenue]]-Tableau_Lancer_la_requête_à_partir_de_Excel_Files[[#This Row],[Aide Publique demandée]]</f>
        <v>-10346.835721302998</v>
      </c>
      <c r="U41" s="50">
        <f>Tableau_Lancer_la_requête_à_partir_de_Excel_Files[[#This Row],[FNADT_FN2]]+Tableau_Lancer_la_requête_à_partir_de_Excel_Files[[#This Row],[AgricultureFN2]]</f>
        <v>10346.83</v>
      </c>
      <c r="V41" s="50"/>
      <c r="W41" s="50">
        <v>10346.83</v>
      </c>
      <c r="X41" s="50">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41" s="50"/>
      <c r="Z41" s="50"/>
      <c r="AA41" s="50"/>
      <c r="AB41" s="50"/>
      <c r="AC41" s="50">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41" s="25"/>
      <c r="AE41" s="25"/>
      <c r="AF41" s="25"/>
      <c r="AG41" s="25"/>
      <c r="AH41" s="25"/>
      <c r="AI41" s="25"/>
      <c r="AJ41" s="25"/>
      <c r="AK41" s="25"/>
      <c r="AL41" s="25"/>
      <c r="AM41" s="25"/>
      <c r="AN41" s="25"/>
      <c r="AO41" s="25"/>
      <c r="AP41" s="25"/>
      <c r="AQ41" s="25"/>
      <c r="AR41" s="25"/>
      <c r="AS41" s="25"/>
      <c r="AT41" s="25"/>
      <c r="AU41" s="25"/>
      <c r="AV41" s="25"/>
      <c r="AW41" s="25"/>
      <c r="AX41" s="25"/>
      <c r="AY41" s="25"/>
      <c r="AZ41" s="50">
        <v>0</v>
      </c>
      <c r="BA41" s="50">
        <v>0</v>
      </c>
      <c r="BB41" s="48"/>
      <c r="BC41" s="48"/>
      <c r="BD41" s="63"/>
      <c r="BE41" s="70"/>
      <c r="BQ41" s="14"/>
      <c r="BR41" s="14"/>
      <c r="BS41" s="14"/>
      <c r="BT41" s="14"/>
      <c r="BU41" s="14"/>
      <c r="BV41" s="14"/>
      <c r="BW41" s="14"/>
      <c r="BX41" s="14"/>
      <c r="BY41" s="14"/>
      <c r="BZ41" s="14"/>
      <c r="CA41" s="14"/>
      <c r="CB41" s="14"/>
      <c r="CC41" s="14"/>
      <c r="CD41" s="14"/>
      <c r="CE41" s="14"/>
      <c r="CF41" s="14"/>
      <c r="CG41" s="14"/>
      <c r="CH41" s="14"/>
      <c r="CI41" s="14"/>
      <c r="CJ41" s="14"/>
      <c r="CK41" s="14"/>
      <c r="CL41" s="14"/>
    </row>
    <row r="42" spans="1:90" ht="30" x14ac:dyDescent="0.25">
      <c r="A42" s="46" t="s">
        <v>5</v>
      </c>
      <c r="B42" s="47" t="s">
        <v>333</v>
      </c>
      <c r="C42" s="47" t="s">
        <v>333</v>
      </c>
      <c r="D42" s="48" t="s">
        <v>389</v>
      </c>
      <c r="E42" s="49" t="s">
        <v>321</v>
      </c>
      <c r="F42" s="49" t="s">
        <v>319</v>
      </c>
      <c r="G42" s="50">
        <v>147040.22</v>
      </c>
      <c r="H42" s="50">
        <v>114754.66</v>
      </c>
      <c r="I42" s="51" t="s">
        <v>334</v>
      </c>
      <c r="J42" s="47"/>
      <c r="K42" s="51" t="s">
        <v>211</v>
      </c>
      <c r="L42" s="47" t="s">
        <v>223</v>
      </c>
      <c r="M42" s="47" t="s">
        <v>228</v>
      </c>
      <c r="N42" s="47"/>
      <c r="O42" s="43">
        <v>42839</v>
      </c>
      <c r="P42" s="50">
        <f>Tableau_Lancer_la_requête_à_partir_de_Excel_Files[[#This Row],[Aide Massif Obtenue]]+Tableau_Lancer_la_requête_à_partir_de_Excel_Files[[#This Row],[Autre Public2]]</f>
        <v>57377.33</v>
      </c>
      <c r="Q42" s="52">
        <f>(Tableau_Lancer_la_requête_à_partir_de_Excel_Files[[#This Row],[Autre Public2]]+Tableau_Lancer_la_requête_à_partir_de_Excel_Files[[#This Row],[Aide Massif Obtenue]])/Tableau_Lancer_la_requête_à_partir_de_Excel_Files[[#This Row],[Coût total déposé]]</f>
        <v>0.39021520778464558</v>
      </c>
      <c r="R42" s="50">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57377.33</v>
      </c>
      <c r="S42" s="67">
        <f>Tableau_Lancer_la_requête_à_partir_de_Excel_Files[[#This Row],[Aide Massif Obtenue]]/Tableau_Lancer_la_requête_à_partir_de_Excel_Files[[#This Row],[Coût total déposé]]</f>
        <v>0.39021520778464558</v>
      </c>
      <c r="T42" s="50">
        <f>Tableau_Lancer_la_requête_à_partir_de_Excel_Files[[#This Row],[Aide Publique Obtenue]]-Tableau_Lancer_la_requête_à_partir_de_Excel_Files[[#This Row],[Aide Publique demandée]]</f>
        <v>-57377.33</v>
      </c>
      <c r="U42" s="50">
        <f>Tableau_Lancer_la_requête_à_partir_de_Excel_Files[[#This Row],[FNADT_FN2]]+Tableau_Lancer_la_requête_à_partir_de_Excel_Files[[#This Row],[AgricultureFN2]]</f>
        <v>57377.33</v>
      </c>
      <c r="V42" s="50"/>
      <c r="W42" s="50">
        <v>57377.33</v>
      </c>
      <c r="X42" s="50">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42" s="50"/>
      <c r="Z42" s="50"/>
      <c r="AA42" s="50"/>
      <c r="AB42" s="50"/>
      <c r="AC42" s="50">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42" s="25"/>
      <c r="AE42" s="25"/>
      <c r="AF42" s="25"/>
      <c r="AG42" s="25"/>
      <c r="AH42" s="25"/>
      <c r="AI42" s="25"/>
      <c r="AJ42" s="25"/>
      <c r="AK42" s="25"/>
      <c r="AL42" s="25"/>
      <c r="AM42" s="25"/>
      <c r="AN42" s="25"/>
      <c r="AO42" s="25"/>
      <c r="AP42" s="25"/>
      <c r="AQ42" s="25"/>
      <c r="AR42" s="25"/>
      <c r="AS42" s="25"/>
      <c r="AT42" s="25"/>
      <c r="AU42" s="25"/>
      <c r="AV42" s="25"/>
      <c r="AW42" s="25"/>
      <c r="AX42" s="25"/>
      <c r="AY42" s="25"/>
      <c r="AZ42" s="50">
        <v>0</v>
      </c>
      <c r="BA42" s="50">
        <v>0</v>
      </c>
      <c r="BB42" s="48"/>
      <c r="BC42" s="48"/>
      <c r="BD42" s="63"/>
      <c r="BE42" s="70"/>
      <c r="BQ42" s="14"/>
      <c r="BR42" s="14"/>
      <c r="BS42" s="14"/>
      <c r="BT42" s="14"/>
      <c r="BU42" s="14"/>
      <c r="BV42" s="14"/>
      <c r="BW42" s="14"/>
      <c r="BX42" s="14"/>
      <c r="BY42" s="14"/>
      <c r="BZ42" s="14"/>
      <c r="CA42" s="14"/>
      <c r="CB42" s="14"/>
      <c r="CC42" s="14"/>
      <c r="CD42" s="14"/>
      <c r="CE42" s="14"/>
      <c r="CF42" s="14"/>
      <c r="CG42" s="14"/>
      <c r="CH42" s="14"/>
      <c r="CI42" s="14"/>
      <c r="CJ42" s="14"/>
      <c r="CK42" s="14"/>
      <c r="CL42" s="14"/>
    </row>
    <row r="43" spans="1:90" ht="30" x14ac:dyDescent="0.25">
      <c r="A43" s="46" t="s">
        <v>5</v>
      </c>
      <c r="B43" s="47" t="s">
        <v>335</v>
      </c>
      <c r="C43" s="47" t="s">
        <v>335</v>
      </c>
      <c r="D43" s="48" t="s">
        <v>389</v>
      </c>
      <c r="E43" s="49" t="s">
        <v>322</v>
      </c>
      <c r="F43" s="49" t="s">
        <v>319</v>
      </c>
      <c r="G43" s="50">
        <v>29657.646126687956</v>
      </c>
      <c r="H43" s="50">
        <v>20760.35228868157</v>
      </c>
      <c r="I43" s="51" t="s">
        <v>209</v>
      </c>
      <c r="J43" s="47"/>
      <c r="K43" s="51" t="s">
        <v>211</v>
      </c>
      <c r="L43" s="47" t="s">
        <v>223</v>
      </c>
      <c r="M43" s="47" t="s">
        <v>205</v>
      </c>
      <c r="N43" s="47"/>
      <c r="O43" s="43">
        <v>42839</v>
      </c>
      <c r="P43" s="50">
        <f>Tableau_Lancer_la_requête_à_partir_de_Excel_Files[[#This Row],[Aide Massif Obtenue]]+Tableau_Lancer_la_requête_à_partir_de_Excel_Files[[#This Row],[Autre Public2]]</f>
        <v>10380.18</v>
      </c>
      <c r="Q43" s="52">
        <f>(Tableau_Lancer_la_requête_à_partir_de_Excel_Files[[#This Row],[Autre Public2]]+Tableau_Lancer_la_requête_à_partir_de_Excel_Files[[#This Row],[Aide Massif Obtenue]])/Tableau_Lancer_la_requête_à_partir_de_Excel_Files[[#This Row],[Coût total déposé]]</f>
        <v>0.3500001300055709</v>
      </c>
      <c r="R43" s="50">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10380.18</v>
      </c>
      <c r="S43" s="67">
        <f>Tableau_Lancer_la_requête_à_partir_de_Excel_Files[[#This Row],[Aide Massif Obtenue]]/Tableau_Lancer_la_requête_à_partir_de_Excel_Files[[#This Row],[Coût total déposé]]</f>
        <v>0.3500001300055709</v>
      </c>
      <c r="T43" s="50">
        <f>Tableau_Lancer_la_requête_à_partir_de_Excel_Files[[#This Row],[Aide Publique Obtenue]]-Tableau_Lancer_la_requête_à_partir_de_Excel_Files[[#This Row],[Aide Publique demandée]]</f>
        <v>-10380.17228868157</v>
      </c>
      <c r="U43" s="50">
        <f>Tableau_Lancer_la_requête_à_partir_de_Excel_Files[[#This Row],[FNADT_FN2]]+Tableau_Lancer_la_requête_à_partir_de_Excel_Files[[#This Row],[AgricultureFN2]]</f>
        <v>10380.18</v>
      </c>
      <c r="V43" s="50"/>
      <c r="W43" s="50">
        <v>10380.18</v>
      </c>
      <c r="X43" s="50">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43" s="50"/>
      <c r="Z43" s="50"/>
      <c r="AA43" s="50"/>
      <c r="AB43" s="50"/>
      <c r="AC43" s="50">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43" s="25"/>
      <c r="AE43" s="25"/>
      <c r="AF43" s="25"/>
      <c r="AG43" s="25"/>
      <c r="AH43" s="25"/>
      <c r="AI43" s="25"/>
      <c r="AJ43" s="25"/>
      <c r="AK43" s="25"/>
      <c r="AL43" s="25"/>
      <c r="AM43" s="25"/>
      <c r="AN43" s="25"/>
      <c r="AO43" s="25"/>
      <c r="AP43" s="25"/>
      <c r="AQ43" s="25"/>
      <c r="AR43" s="25"/>
      <c r="AS43" s="25"/>
      <c r="AT43" s="25"/>
      <c r="AU43" s="25"/>
      <c r="AV43" s="25"/>
      <c r="AW43" s="25"/>
      <c r="AX43" s="25"/>
      <c r="AY43" s="25"/>
      <c r="AZ43" s="50">
        <v>0</v>
      </c>
      <c r="BA43" s="50">
        <v>0</v>
      </c>
      <c r="BB43" s="48"/>
      <c r="BC43" s="48"/>
      <c r="BD43" s="63"/>
      <c r="BE43" s="70"/>
      <c r="BQ43" s="14"/>
      <c r="BR43" s="14"/>
      <c r="BS43" s="14"/>
      <c r="BT43" s="14"/>
      <c r="BU43" s="14"/>
      <c r="BV43" s="14"/>
      <c r="BW43" s="14"/>
      <c r="BX43" s="14"/>
      <c r="BY43" s="14"/>
      <c r="BZ43" s="14"/>
      <c r="CA43" s="14"/>
      <c r="CB43" s="14"/>
      <c r="CC43" s="14"/>
      <c r="CD43" s="14"/>
      <c r="CE43" s="14"/>
      <c r="CF43" s="14"/>
      <c r="CG43" s="14"/>
      <c r="CH43" s="14"/>
      <c r="CI43" s="14"/>
      <c r="CJ43" s="14"/>
      <c r="CK43" s="14"/>
      <c r="CL43" s="14"/>
    </row>
    <row r="44" spans="1:90" ht="30" x14ac:dyDescent="0.25">
      <c r="A44" s="46" t="s">
        <v>5</v>
      </c>
      <c r="B44" s="47" t="s">
        <v>336</v>
      </c>
      <c r="C44" s="47" t="s">
        <v>336</v>
      </c>
      <c r="D44" s="48" t="s">
        <v>389</v>
      </c>
      <c r="E44" s="49" t="s">
        <v>323</v>
      </c>
      <c r="F44" s="49" t="s">
        <v>319</v>
      </c>
      <c r="G44" s="50">
        <v>31413.79385498105</v>
      </c>
      <c r="H44" s="50">
        <v>21989.655698486735</v>
      </c>
      <c r="I44" s="51" t="s">
        <v>209</v>
      </c>
      <c r="J44" s="47"/>
      <c r="K44" s="51" t="s">
        <v>211</v>
      </c>
      <c r="L44" s="47" t="s">
        <v>223</v>
      </c>
      <c r="M44" s="47" t="s">
        <v>228</v>
      </c>
      <c r="N44" s="47"/>
      <c r="O44" s="43">
        <v>42839</v>
      </c>
      <c r="P44" s="50">
        <f>Tableau_Lancer_la_requête_à_partir_de_Excel_Files[[#This Row],[Aide Massif Obtenue]]+Tableau_Lancer_la_requête_à_partir_de_Excel_Files[[#This Row],[Autre Public2]]</f>
        <v>10994.83</v>
      </c>
      <c r="Q44" s="52">
        <f>(Tableau_Lancer_la_requête_à_partir_de_Excel_Files[[#This Row],[Autre Public2]]+Tableau_Lancer_la_requête_à_partir_de_Excel_Files[[#This Row],[Aide Massif Obtenue]])/Tableau_Lancer_la_requête_à_partir_de_Excel_Files[[#This Row],[Coût total déposé]]</f>
        <v>0.35000006846535769</v>
      </c>
      <c r="R44" s="50">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10994.83</v>
      </c>
      <c r="S44" s="67">
        <f>Tableau_Lancer_la_requête_à_partir_de_Excel_Files[[#This Row],[Aide Massif Obtenue]]/Tableau_Lancer_la_requête_à_partir_de_Excel_Files[[#This Row],[Coût total déposé]]</f>
        <v>0.35000006846535769</v>
      </c>
      <c r="T44" s="50">
        <f>Tableau_Lancer_la_requête_à_partir_de_Excel_Files[[#This Row],[Aide Publique Obtenue]]-Tableau_Lancer_la_requête_à_partir_de_Excel_Files[[#This Row],[Aide Publique demandée]]</f>
        <v>-10994.825698486735</v>
      </c>
      <c r="U44" s="50">
        <f>Tableau_Lancer_la_requête_à_partir_de_Excel_Files[[#This Row],[FNADT_FN2]]+Tableau_Lancer_la_requête_à_partir_de_Excel_Files[[#This Row],[AgricultureFN2]]</f>
        <v>10994.83</v>
      </c>
      <c r="V44" s="50"/>
      <c r="W44" s="50">
        <v>10994.83</v>
      </c>
      <c r="X44" s="50">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44" s="50"/>
      <c r="Z44" s="50"/>
      <c r="AA44" s="50"/>
      <c r="AB44" s="50"/>
      <c r="AC44" s="50">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44" s="25"/>
      <c r="AE44" s="25"/>
      <c r="AF44" s="25"/>
      <c r="AG44" s="25"/>
      <c r="AH44" s="25"/>
      <c r="AI44" s="25"/>
      <c r="AJ44" s="25"/>
      <c r="AK44" s="25"/>
      <c r="AL44" s="25"/>
      <c r="AM44" s="25"/>
      <c r="AN44" s="25"/>
      <c r="AO44" s="25"/>
      <c r="AP44" s="25"/>
      <c r="AQ44" s="25"/>
      <c r="AR44" s="25"/>
      <c r="AS44" s="25"/>
      <c r="AT44" s="25"/>
      <c r="AU44" s="25"/>
      <c r="AV44" s="25"/>
      <c r="AW44" s="25"/>
      <c r="AX44" s="25"/>
      <c r="AY44" s="25"/>
      <c r="AZ44" s="50">
        <v>0</v>
      </c>
      <c r="BA44" s="50">
        <v>0</v>
      </c>
      <c r="BB44" s="48"/>
      <c r="BC44" s="48"/>
      <c r="BD44" s="63"/>
      <c r="BE44" s="70"/>
      <c r="BQ44" s="14"/>
      <c r="BR44" s="14"/>
      <c r="BS44" s="14"/>
      <c r="BT44" s="14"/>
      <c r="BU44" s="14"/>
      <c r="BV44" s="14"/>
      <c r="BW44" s="14"/>
      <c r="BX44" s="14"/>
      <c r="BY44" s="14"/>
      <c r="BZ44" s="14"/>
      <c r="CA44" s="14"/>
      <c r="CB44" s="14"/>
      <c r="CC44" s="14"/>
      <c r="CD44" s="14"/>
      <c r="CE44" s="14"/>
      <c r="CF44" s="14"/>
      <c r="CG44" s="14"/>
      <c r="CH44" s="14"/>
      <c r="CI44" s="14"/>
      <c r="CJ44" s="14"/>
      <c r="CK44" s="14"/>
      <c r="CL44" s="14"/>
    </row>
    <row r="45" spans="1:90" ht="30" x14ac:dyDescent="0.25">
      <c r="A45" s="46" t="s">
        <v>5</v>
      </c>
      <c r="B45" s="47" t="s">
        <v>337</v>
      </c>
      <c r="C45" s="47" t="s">
        <v>337</v>
      </c>
      <c r="D45" s="48" t="s">
        <v>389</v>
      </c>
      <c r="E45" s="49" t="s">
        <v>324</v>
      </c>
      <c r="F45" s="49" t="s">
        <v>319</v>
      </c>
      <c r="G45" s="50">
        <v>28259.660120852124</v>
      </c>
      <c r="H45" s="50">
        <v>19781.762084596488</v>
      </c>
      <c r="I45" s="51" t="s">
        <v>209</v>
      </c>
      <c r="J45" s="47"/>
      <c r="K45" s="51" t="s">
        <v>211</v>
      </c>
      <c r="L45" s="47" t="s">
        <v>223</v>
      </c>
      <c r="M45" s="47" t="s">
        <v>338</v>
      </c>
      <c r="N45" s="47"/>
      <c r="O45" s="43">
        <v>42839</v>
      </c>
      <c r="P45" s="50">
        <f>Tableau_Lancer_la_requête_à_partir_de_Excel_Files[[#This Row],[Aide Massif Obtenue]]+Tableau_Lancer_la_requête_à_partir_de_Excel_Files[[#This Row],[Autre Public2]]</f>
        <v>9890.8799999999992</v>
      </c>
      <c r="Q45" s="52">
        <f>(Tableau_Lancer_la_requête_à_partir_de_Excel_Files[[#This Row],[Autre Public2]]+Tableau_Lancer_la_requête_à_partir_de_Excel_Files[[#This Row],[Aide Massif Obtenue]])/Tableau_Lancer_la_requête_à_partir_de_Excel_Files[[#This Row],[Coût total déposé]]</f>
        <v>0.34999996311709908</v>
      </c>
      <c r="R45" s="50">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9890.8799999999992</v>
      </c>
      <c r="S45" s="67">
        <f>Tableau_Lancer_la_requête_à_partir_de_Excel_Files[[#This Row],[Aide Massif Obtenue]]/Tableau_Lancer_la_requête_à_partir_de_Excel_Files[[#This Row],[Coût total déposé]]</f>
        <v>0.34999996311709908</v>
      </c>
      <c r="T45" s="50">
        <f>Tableau_Lancer_la_requête_à_partir_de_Excel_Files[[#This Row],[Aide Publique Obtenue]]-Tableau_Lancer_la_requête_à_partir_de_Excel_Files[[#This Row],[Aide Publique demandée]]</f>
        <v>-9890.8820845964892</v>
      </c>
      <c r="U45" s="50">
        <f>Tableau_Lancer_la_requête_à_partir_de_Excel_Files[[#This Row],[FNADT_FN2]]+Tableau_Lancer_la_requête_à_partir_de_Excel_Files[[#This Row],[AgricultureFN2]]</f>
        <v>9890.8799999999992</v>
      </c>
      <c r="V45" s="50"/>
      <c r="W45" s="50">
        <v>9890.8799999999992</v>
      </c>
      <c r="X45" s="50">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45" s="50"/>
      <c r="Z45" s="50"/>
      <c r="AA45" s="50"/>
      <c r="AB45" s="50"/>
      <c r="AC45" s="50">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45" s="25"/>
      <c r="AE45" s="25"/>
      <c r="AF45" s="25"/>
      <c r="AG45" s="25"/>
      <c r="AH45" s="25"/>
      <c r="AI45" s="25"/>
      <c r="AJ45" s="25"/>
      <c r="AK45" s="25"/>
      <c r="AL45" s="25"/>
      <c r="AM45" s="25"/>
      <c r="AN45" s="25"/>
      <c r="AO45" s="25"/>
      <c r="AP45" s="25"/>
      <c r="AQ45" s="25"/>
      <c r="AR45" s="25"/>
      <c r="AS45" s="25"/>
      <c r="AT45" s="25"/>
      <c r="AU45" s="25"/>
      <c r="AV45" s="25"/>
      <c r="AW45" s="25"/>
      <c r="AX45" s="25"/>
      <c r="AY45" s="25"/>
      <c r="AZ45" s="50">
        <v>0</v>
      </c>
      <c r="BA45" s="50">
        <v>0</v>
      </c>
      <c r="BB45" s="48"/>
      <c r="BC45" s="48"/>
      <c r="BD45" s="63"/>
      <c r="BE45" s="70"/>
      <c r="BQ45" s="14"/>
      <c r="BR45" s="14"/>
      <c r="BS45" s="14"/>
      <c r="BT45" s="14"/>
      <c r="BU45" s="14"/>
      <c r="BV45" s="14"/>
      <c r="BW45" s="14"/>
      <c r="BX45" s="14"/>
      <c r="BY45" s="14"/>
      <c r="BZ45" s="14"/>
      <c r="CA45" s="14"/>
      <c r="CB45" s="14"/>
      <c r="CC45" s="14"/>
      <c r="CD45" s="14"/>
      <c r="CE45" s="14"/>
      <c r="CF45" s="14"/>
      <c r="CG45" s="14"/>
      <c r="CH45" s="14"/>
      <c r="CI45" s="14"/>
      <c r="CJ45" s="14"/>
      <c r="CK45" s="14"/>
      <c r="CL45" s="14"/>
    </row>
    <row r="46" spans="1:90" ht="30" x14ac:dyDescent="0.25">
      <c r="A46" s="46" t="s">
        <v>5</v>
      </c>
      <c r="B46" s="47" t="s">
        <v>380</v>
      </c>
      <c r="C46" s="47" t="s">
        <v>380</v>
      </c>
      <c r="D46" s="48" t="s">
        <v>389</v>
      </c>
      <c r="E46" s="49" t="s">
        <v>381</v>
      </c>
      <c r="F46" s="49" t="s">
        <v>319</v>
      </c>
      <c r="G46" s="50">
        <v>79980.81</v>
      </c>
      <c r="H46" s="50">
        <v>61460.29</v>
      </c>
      <c r="I46" s="51" t="s">
        <v>382</v>
      </c>
      <c r="J46" s="47"/>
      <c r="K46" s="51" t="s">
        <v>211</v>
      </c>
      <c r="L46" s="47" t="s">
        <v>223</v>
      </c>
      <c r="M46" s="47" t="s">
        <v>219</v>
      </c>
      <c r="N46" s="47"/>
      <c r="O46" s="43">
        <v>42839</v>
      </c>
      <c r="P46" s="50">
        <f>Tableau_Lancer_la_requête_à_partir_de_Excel_Files[[#This Row],[Aide Massif Obtenue]]+Tableau_Lancer_la_requête_à_partir_de_Excel_Files[[#This Row],[Autre Public2]]</f>
        <v>30730.15</v>
      </c>
      <c r="Q46" s="52">
        <f>(Tableau_Lancer_la_requête_à_partir_de_Excel_Files[[#This Row],[Autre Public2]]+Tableau_Lancer_la_requête_à_partir_de_Excel_Files[[#This Row],[Aide Massif Obtenue]])/Tableau_Lancer_la_requête_à_partir_de_Excel_Files[[#This Row],[Coût total déposé]]</f>
        <v>0.38421903954211017</v>
      </c>
      <c r="R46" s="50">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30730.15</v>
      </c>
      <c r="S46" s="67">
        <f>Tableau_Lancer_la_requête_à_partir_de_Excel_Files[[#This Row],[Aide Massif Obtenue]]/Tableau_Lancer_la_requête_à_partir_de_Excel_Files[[#This Row],[Coût total déposé]]</f>
        <v>0.38421903954211017</v>
      </c>
      <c r="T46" s="50">
        <f>Tableau_Lancer_la_requête_à_partir_de_Excel_Files[[#This Row],[Aide Publique Obtenue]]-Tableau_Lancer_la_requête_à_partir_de_Excel_Files[[#This Row],[Aide Publique demandée]]</f>
        <v>-30730.14</v>
      </c>
      <c r="U46" s="50">
        <f>Tableau_Lancer_la_requête_à_partir_de_Excel_Files[[#This Row],[FNADT_FN2]]+Tableau_Lancer_la_requête_à_partir_de_Excel_Files[[#This Row],[AgricultureFN2]]</f>
        <v>30730.15</v>
      </c>
      <c r="V46" s="50"/>
      <c r="W46" s="50">
        <v>30730.15</v>
      </c>
      <c r="X46" s="50">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46" s="50"/>
      <c r="Z46" s="50"/>
      <c r="AA46" s="50"/>
      <c r="AB46" s="50"/>
      <c r="AC46" s="50">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46" s="25"/>
      <c r="AE46" s="25"/>
      <c r="AF46" s="25"/>
      <c r="AG46" s="25"/>
      <c r="AH46" s="25"/>
      <c r="AI46" s="25"/>
      <c r="AJ46" s="25"/>
      <c r="AK46" s="25"/>
      <c r="AL46" s="25"/>
      <c r="AM46" s="25"/>
      <c r="AN46" s="25"/>
      <c r="AO46" s="25"/>
      <c r="AP46" s="25"/>
      <c r="AQ46" s="25"/>
      <c r="AR46" s="25"/>
      <c r="AS46" s="25"/>
      <c r="AT46" s="25"/>
      <c r="AU46" s="25"/>
      <c r="AV46" s="25"/>
      <c r="AW46" s="25"/>
      <c r="AX46" s="25"/>
      <c r="AY46" s="25"/>
      <c r="AZ46" s="50">
        <v>0</v>
      </c>
      <c r="BA46" s="50">
        <v>0</v>
      </c>
      <c r="BB46" s="48"/>
      <c r="BC46" s="48"/>
      <c r="BD46" s="63"/>
      <c r="BE46" s="70"/>
      <c r="BQ46" s="14"/>
      <c r="BR46" s="14"/>
      <c r="BS46" s="14"/>
      <c r="BT46" s="14"/>
      <c r="BU46" s="14"/>
      <c r="BV46" s="14"/>
      <c r="BW46" s="14"/>
      <c r="BX46" s="14"/>
      <c r="BY46" s="14"/>
      <c r="BZ46" s="14"/>
      <c r="CA46" s="14"/>
      <c r="CB46" s="14"/>
      <c r="CC46" s="14"/>
      <c r="CD46" s="14"/>
      <c r="CE46" s="14"/>
      <c r="CF46" s="14"/>
      <c r="CG46" s="14"/>
      <c r="CH46" s="14"/>
      <c r="CI46" s="14"/>
      <c r="CJ46" s="14"/>
      <c r="CK46" s="14"/>
      <c r="CL46" s="14"/>
    </row>
    <row r="47" spans="1:90" ht="30" x14ac:dyDescent="0.25">
      <c r="A47" s="46" t="s">
        <v>5</v>
      </c>
      <c r="B47" s="47" t="s">
        <v>383</v>
      </c>
      <c r="C47" s="47" t="s">
        <v>383</v>
      </c>
      <c r="D47" s="48" t="s">
        <v>389</v>
      </c>
      <c r="E47" s="49" t="s">
        <v>384</v>
      </c>
      <c r="F47" s="49" t="s">
        <v>319</v>
      </c>
      <c r="G47" s="50">
        <v>45864.639999999999</v>
      </c>
      <c r="H47" s="50">
        <v>32105.24</v>
      </c>
      <c r="I47" s="51" t="s">
        <v>209</v>
      </c>
      <c r="J47" s="47"/>
      <c r="K47" s="51" t="s">
        <v>211</v>
      </c>
      <c r="L47" s="47" t="s">
        <v>223</v>
      </c>
      <c r="M47" s="47" t="s">
        <v>205</v>
      </c>
      <c r="N47" s="47"/>
      <c r="O47" s="43">
        <v>42839</v>
      </c>
      <c r="P47" s="50">
        <f>Tableau_Lancer_la_requête_à_partir_de_Excel_Files[[#This Row],[Aide Massif Obtenue]]+Tableau_Lancer_la_requête_à_partir_de_Excel_Files[[#This Row],[Autre Public2]]</f>
        <v>16052.62</v>
      </c>
      <c r="Q47" s="52">
        <f>(Tableau_Lancer_la_requête_à_partir_de_Excel_Files[[#This Row],[Autre Public2]]+Tableau_Lancer_la_requête_à_partir_de_Excel_Files[[#This Row],[Aide Massif Obtenue]])/Tableau_Lancer_la_requête_à_partir_de_Excel_Files[[#This Row],[Coût total déposé]]</f>
        <v>0.34999991278684411</v>
      </c>
      <c r="R47" s="50">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16052.62</v>
      </c>
      <c r="S47" s="67">
        <f>Tableau_Lancer_la_requête_à_partir_de_Excel_Files[[#This Row],[Aide Massif Obtenue]]/Tableau_Lancer_la_requête_à_partir_de_Excel_Files[[#This Row],[Coût total déposé]]</f>
        <v>0.34999991278684411</v>
      </c>
      <c r="T47" s="50">
        <f>Tableau_Lancer_la_requête_à_partir_de_Excel_Files[[#This Row],[Aide Publique Obtenue]]-Tableau_Lancer_la_requête_à_partir_de_Excel_Files[[#This Row],[Aide Publique demandée]]</f>
        <v>-16052.62</v>
      </c>
      <c r="U47" s="50">
        <f>Tableau_Lancer_la_requête_à_partir_de_Excel_Files[[#This Row],[FNADT_FN2]]+Tableau_Lancer_la_requête_à_partir_de_Excel_Files[[#This Row],[AgricultureFN2]]</f>
        <v>16052.62</v>
      </c>
      <c r="V47" s="50"/>
      <c r="W47" s="50">
        <v>16052.62</v>
      </c>
      <c r="X47" s="50">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47" s="50"/>
      <c r="Z47" s="50"/>
      <c r="AA47" s="50"/>
      <c r="AB47" s="50"/>
      <c r="AC47" s="50">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47" s="25"/>
      <c r="AE47" s="25"/>
      <c r="AF47" s="25"/>
      <c r="AG47" s="25"/>
      <c r="AH47" s="25"/>
      <c r="AI47" s="25"/>
      <c r="AJ47" s="25"/>
      <c r="AK47" s="25"/>
      <c r="AL47" s="25"/>
      <c r="AM47" s="25"/>
      <c r="AN47" s="25"/>
      <c r="AO47" s="25"/>
      <c r="AP47" s="25"/>
      <c r="AQ47" s="25"/>
      <c r="AR47" s="25"/>
      <c r="AS47" s="25"/>
      <c r="AT47" s="25"/>
      <c r="AU47" s="25"/>
      <c r="AV47" s="25"/>
      <c r="AW47" s="25"/>
      <c r="AX47" s="25"/>
      <c r="AY47" s="25"/>
      <c r="AZ47" s="50">
        <v>0</v>
      </c>
      <c r="BA47" s="50">
        <v>0</v>
      </c>
      <c r="BB47" s="48"/>
      <c r="BC47" s="48"/>
      <c r="BD47" s="63"/>
      <c r="BE47" s="70"/>
      <c r="BQ47" s="14"/>
      <c r="BR47" s="14"/>
      <c r="BS47" s="14"/>
      <c r="BT47" s="14"/>
      <c r="BU47" s="14"/>
      <c r="BV47" s="14"/>
      <c r="BW47" s="14"/>
      <c r="BX47" s="14"/>
      <c r="BY47" s="14"/>
      <c r="BZ47" s="14"/>
      <c r="CA47" s="14"/>
      <c r="CB47" s="14"/>
      <c r="CC47" s="14"/>
      <c r="CD47" s="14"/>
      <c r="CE47" s="14"/>
      <c r="CF47" s="14"/>
      <c r="CG47" s="14"/>
      <c r="CH47" s="14"/>
      <c r="CI47" s="14"/>
      <c r="CJ47" s="14"/>
      <c r="CK47" s="14"/>
      <c r="CL47" s="14"/>
    </row>
    <row r="48" spans="1:90" ht="30" x14ac:dyDescent="0.25">
      <c r="A48" s="46" t="s">
        <v>5</v>
      </c>
      <c r="B48" s="47" t="s">
        <v>385</v>
      </c>
      <c r="C48" s="47" t="s">
        <v>385</v>
      </c>
      <c r="D48" s="48" t="s">
        <v>389</v>
      </c>
      <c r="E48" s="49" t="s">
        <v>386</v>
      </c>
      <c r="F48" s="49" t="s">
        <v>319</v>
      </c>
      <c r="G48" s="50">
        <v>30929.86</v>
      </c>
      <c r="H48" s="50">
        <v>21650.9</v>
      </c>
      <c r="I48" s="51" t="s">
        <v>209</v>
      </c>
      <c r="J48" s="47"/>
      <c r="K48" s="51" t="s">
        <v>211</v>
      </c>
      <c r="L48" s="47" t="s">
        <v>223</v>
      </c>
      <c r="M48" s="47" t="s">
        <v>219</v>
      </c>
      <c r="N48" s="47"/>
      <c r="O48" s="43">
        <v>42839</v>
      </c>
      <c r="P48" s="50">
        <f>Tableau_Lancer_la_requête_à_partir_de_Excel_Files[[#This Row],[Aide Massif Obtenue]]+Tableau_Lancer_la_requête_à_partir_de_Excel_Files[[#This Row],[Autre Public2]]</f>
        <v>10825.45</v>
      </c>
      <c r="Q48" s="52">
        <f>(Tableau_Lancer_la_requête_à_partir_de_Excel_Files[[#This Row],[Autre Public2]]+Tableau_Lancer_la_requête_à_partir_de_Excel_Files[[#This Row],[Aide Massif Obtenue]])/Tableau_Lancer_la_requête_à_partir_de_Excel_Files[[#This Row],[Coût total déposé]]</f>
        <v>0.3499999676687835</v>
      </c>
      <c r="R48" s="50">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10825.45</v>
      </c>
      <c r="S48" s="67">
        <f>Tableau_Lancer_la_requête_à_partir_de_Excel_Files[[#This Row],[Aide Massif Obtenue]]/Tableau_Lancer_la_requête_à_partir_de_Excel_Files[[#This Row],[Coût total déposé]]</f>
        <v>0.3499999676687835</v>
      </c>
      <c r="T48" s="50">
        <f>Tableau_Lancer_la_requête_à_partir_de_Excel_Files[[#This Row],[Aide Publique Obtenue]]-Tableau_Lancer_la_requête_à_partir_de_Excel_Files[[#This Row],[Aide Publique demandée]]</f>
        <v>-10825.45</v>
      </c>
      <c r="U48" s="50">
        <f>Tableau_Lancer_la_requête_à_partir_de_Excel_Files[[#This Row],[FNADT_FN2]]+Tableau_Lancer_la_requête_à_partir_de_Excel_Files[[#This Row],[AgricultureFN2]]</f>
        <v>10825.45</v>
      </c>
      <c r="V48" s="50"/>
      <c r="W48" s="50">
        <v>10825.45</v>
      </c>
      <c r="X48" s="50">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48" s="50"/>
      <c r="Z48" s="50"/>
      <c r="AA48" s="50"/>
      <c r="AB48" s="50"/>
      <c r="AC48" s="50">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48" s="25"/>
      <c r="AE48" s="25"/>
      <c r="AF48" s="25"/>
      <c r="AG48" s="25"/>
      <c r="AH48" s="25"/>
      <c r="AI48" s="25"/>
      <c r="AJ48" s="25"/>
      <c r="AK48" s="25"/>
      <c r="AL48" s="25"/>
      <c r="AM48" s="25"/>
      <c r="AN48" s="25"/>
      <c r="AO48" s="25"/>
      <c r="AP48" s="25"/>
      <c r="AQ48" s="25"/>
      <c r="AR48" s="25"/>
      <c r="AS48" s="25"/>
      <c r="AT48" s="25"/>
      <c r="AU48" s="25"/>
      <c r="AV48" s="25"/>
      <c r="AW48" s="25"/>
      <c r="AX48" s="25"/>
      <c r="AY48" s="25"/>
      <c r="AZ48" s="50">
        <v>0</v>
      </c>
      <c r="BA48" s="50">
        <v>0</v>
      </c>
      <c r="BB48" s="48"/>
      <c r="BC48" s="48"/>
      <c r="BD48" s="63"/>
      <c r="BE48" s="70"/>
      <c r="BQ48" s="14"/>
      <c r="BR48" s="14"/>
      <c r="BS48" s="14"/>
      <c r="BT48" s="14"/>
      <c r="BU48" s="14"/>
      <c r="BV48" s="14"/>
      <c r="BW48" s="14"/>
      <c r="BX48" s="14"/>
      <c r="BY48" s="14"/>
      <c r="BZ48" s="14"/>
      <c r="CA48" s="14"/>
      <c r="CB48" s="14"/>
      <c r="CC48" s="14"/>
      <c r="CD48" s="14"/>
      <c r="CE48" s="14"/>
      <c r="CF48" s="14"/>
      <c r="CG48" s="14"/>
      <c r="CH48" s="14"/>
      <c r="CI48" s="14"/>
      <c r="CJ48" s="14"/>
      <c r="CK48" s="14"/>
      <c r="CL48" s="14"/>
    </row>
    <row r="49" spans="1:90" ht="30" x14ac:dyDescent="0.25">
      <c r="A49" s="54" t="s">
        <v>5</v>
      </c>
      <c r="B49" s="55" t="s">
        <v>339</v>
      </c>
      <c r="C49" s="55" t="s">
        <v>339</v>
      </c>
      <c r="D49" s="56" t="s">
        <v>389</v>
      </c>
      <c r="E49" s="57" t="s">
        <v>325</v>
      </c>
      <c r="F49" s="57" t="s">
        <v>319</v>
      </c>
      <c r="G49" s="58">
        <v>36663.270277911237</v>
      </c>
      <c r="H49" s="58">
        <v>25664.289194537865</v>
      </c>
      <c r="I49" s="59" t="s">
        <v>209</v>
      </c>
      <c r="J49" s="55"/>
      <c r="K49" s="59" t="s">
        <v>211</v>
      </c>
      <c r="L49" s="55" t="s">
        <v>223</v>
      </c>
      <c r="M49" s="55" t="s">
        <v>205</v>
      </c>
      <c r="N49" s="55"/>
      <c r="O49" s="43">
        <v>42839</v>
      </c>
      <c r="P49" s="58">
        <f>Tableau_Lancer_la_requête_à_partir_de_Excel_Files[[#This Row],[Aide Massif Obtenue]]+Tableau_Lancer_la_requête_à_partir_de_Excel_Files[[#This Row],[Autre Public2]]</f>
        <v>12832.14</v>
      </c>
      <c r="Q49" s="60">
        <f>(Tableau_Lancer_la_requête_à_partir_de_Excel_Files[[#This Row],[Autre Public2]]+Tableau_Lancer_la_requête_à_partir_de_Excel_Files[[#This Row],[Aide Massif Obtenue]])/Tableau_Lancer_la_requête_à_partir_de_Excel_Files[[#This Row],[Coût total déposé]]</f>
        <v>0.34999987460832332</v>
      </c>
      <c r="R49" s="58">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12832.14</v>
      </c>
      <c r="S49" s="68">
        <f>Tableau_Lancer_la_requête_à_partir_de_Excel_Files[[#This Row],[Aide Massif Obtenue]]/Tableau_Lancer_la_requête_à_partir_de_Excel_Files[[#This Row],[Coût total déposé]]</f>
        <v>0.34999987460832332</v>
      </c>
      <c r="T49" s="58">
        <f>Tableau_Lancer_la_requête_à_partir_de_Excel_Files[[#This Row],[Aide Publique Obtenue]]-Tableau_Lancer_la_requête_à_partir_de_Excel_Files[[#This Row],[Aide Publique demandée]]</f>
        <v>-12832.149194537866</v>
      </c>
      <c r="U49" s="58">
        <f>Tableau_Lancer_la_requête_à_partir_de_Excel_Files[[#This Row],[FNADT_FN2]]+Tableau_Lancer_la_requête_à_partir_de_Excel_Files[[#This Row],[AgricultureFN2]]</f>
        <v>12832.14</v>
      </c>
      <c r="V49" s="58"/>
      <c r="W49" s="58">
        <v>12832.14</v>
      </c>
      <c r="X49" s="58">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49" s="58"/>
      <c r="Z49" s="58"/>
      <c r="AA49" s="58"/>
      <c r="AB49" s="58"/>
      <c r="AC49" s="58">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49" s="26"/>
      <c r="AE49" s="26"/>
      <c r="AF49" s="26"/>
      <c r="AG49" s="26"/>
      <c r="AH49" s="26"/>
      <c r="AI49" s="26"/>
      <c r="AJ49" s="26"/>
      <c r="AK49" s="26"/>
      <c r="AL49" s="26"/>
      <c r="AM49" s="26"/>
      <c r="AN49" s="26"/>
      <c r="AO49" s="26"/>
      <c r="AP49" s="26"/>
      <c r="AQ49" s="26"/>
      <c r="AR49" s="26"/>
      <c r="AS49" s="26"/>
      <c r="AT49" s="26"/>
      <c r="AU49" s="26"/>
      <c r="AV49" s="26"/>
      <c r="AW49" s="26"/>
      <c r="AX49" s="26"/>
      <c r="AY49" s="26"/>
      <c r="AZ49" s="58">
        <v>0</v>
      </c>
      <c r="BA49" s="58">
        <v>0</v>
      </c>
      <c r="BB49" s="56"/>
      <c r="BC49" s="56"/>
      <c r="BD49" s="64"/>
      <c r="BE49" s="70"/>
      <c r="BQ49" s="14"/>
      <c r="BR49" s="14"/>
      <c r="BS49" s="14"/>
      <c r="BT49" s="14"/>
      <c r="BU49" s="14"/>
      <c r="BV49" s="14"/>
      <c r="BW49" s="14"/>
      <c r="BX49" s="14"/>
      <c r="BY49" s="14"/>
      <c r="BZ49" s="14"/>
      <c r="CA49" s="14"/>
      <c r="CB49" s="14"/>
      <c r="CC49" s="14"/>
      <c r="CD49" s="14"/>
      <c r="CE49" s="14"/>
      <c r="CF49" s="14"/>
      <c r="CG49" s="14"/>
      <c r="CH49" s="14"/>
      <c r="CI49" s="14"/>
      <c r="CJ49" s="14"/>
      <c r="CK49" s="14"/>
      <c r="CL49" s="14"/>
    </row>
    <row r="50" spans="1:90" ht="28.5" customHeight="1" x14ac:dyDescent="0.25">
      <c r="A50" s="12" t="s">
        <v>6</v>
      </c>
      <c r="B50" s="15" t="s">
        <v>341</v>
      </c>
      <c r="C50" s="15" t="s">
        <v>340</v>
      </c>
      <c r="D50" s="18" t="s">
        <v>394</v>
      </c>
      <c r="E50" s="11" t="s">
        <v>326</v>
      </c>
      <c r="F50" s="11" t="s">
        <v>327</v>
      </c>
      <c r="G50" s="9">
        <v>329229</v>
      </c>
      <c r="H50" s="9">
        <v>230460.3</v>
      </c>
      <c r="I50" s="17" t="s">
        <v>209</v>
      </c>
      <c r="J50" s="15">
        <v>164614.20127605434</v>
      </c>
      <c r="K50" s="17" t="s">
        <v>213</v>
      </c>
      <c r="L50" s="15" t="s">
        <v>204</v>
      </c>
      <c r="M50" s="15"/>
      <c r="N50" s="15"/>
      <c r="O50" s="17">
        <v>42844</v>
      </c>
      <c r="P50" s="9">
        <f>Tableau_Lancer_la_requête_à_partir_de_Excel_Files[[#This Row],[Aide Massif Obtenue]]+Tableau_Lancer_la_requête_à_partir_de_Excel_Files[[#This Row],[Autre Public2]]</f>
        <v>230460</v>
      </c>
      <c r="Q50" s="13">
        <f>(Tableau_Lancer_la_requête_à_partir_de_Excel_Files[[#This Row],[Autre Public2]]+Tableau_Lancer_la_requête_à_partir_de_Excel_Files[[#This Row],[Aide Massif Obtenue]])/Tableau_Lancer_la_requête_à_partir_de_Excel_Files[[#This Row],[Coût total déposé]]</f>
        <v>0.69999908878014994</v>
      </c>
      <c r="R50"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230460</v>
      </c>
      <c r="S50" s="16">
        <f>Tableau_Lancer_la_requête_à_partir_de_Excel_Files[[#This Row],[Aide Massif Obtenue]]/Tableau_Lancer_la_requête_à_partir_de_Excel_Files[[#This Row],[Coût total déposé]]</f>
        <v>0.69999908878014994</v>
      </c>
      <c r="T50" s="9">
        <f>Tableau_Lancer_la_requête_à_partir_de_Excel_Files[[#This Row],[Aide Publique Obtenue]]-Tableau_Lancer_la_requête_à_partir_de_Excel_Files[[#This Row],[Aide Publique demandée]]</f>
        <v>-0.29999999998835847</v>
      </c>
      <c r="U50" s="9">
        <f>Tableau_Lancer_la_requête_à_partir_de_Excel_Files[[#This Row],[FNADT_FN2]]+Tableau_Lancer_la_requête_à_partir_de_Excel_Files[[#This Row],[AgricultureFN2]]</f>
        <v>61000</v>
      </c>
      <c r="V50" s="9">
        <v>61000</v>
      </c>
      <c r="W50" s="9"/>
      <c r="X50"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50" s="70"/>
      <c r="Z50" s="70"/>
      <c r="AA50" s="70"/>
      <c r="AB50" s="70"/>
      <c r="AC50"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50" s="21"/>
      <c r="AE50" s="21"/>
      <c r="AF50" s="21"/>
      <c r="AG50" s="21"/>
      <c r="AH50" s="21"/>
      <c r="AI50" s="21"/>
      <c r="AJ50" s="21"/>
      <c r="AK50" s="21"/>
      <c r="AL50" s="21"/>
      <c r="AM50" s="21"/>
      <c r="AN50" s="21"/>
      <c r="AO50" s="21"/>
      <c r="AP50" s="21"/>
      <c r="AQ50" s="21"/>
      <c r="AR50" s="21"/>
      <c r="AS50" s="21"/>
      <c r="AT50" s="21"/>
      <c r="AU50" s="21"/>
      <c r="AV50" s="21"/>
      <c r="AW50" s="21"/>
      <c r="AX50" s="21"/>
      <c r="AY50" s="21"/>
      <c r="AZ50" s="9">
        <v>0</v>
      </c>
      <c r="BA50" s="9">
        <v>169460</v>
      </c>
      <c r="BB50" s="18">
        <v>42826</v>
      </c>
      <c r="BC50" s="18"/>
      <c r="BD50" s="70" t="s">
        <v>427</v>
      </c>
      <c r="BE50" s="70"/>
      <c r="BQ50" s="14"/>
      <c r="BR50" s="14"/>
      <c r="BS50" s="14"/>
      <c r="BT50" s="14"/>
      <c r="BU50" s="14"/>
      <c r="BV50" s="14"/>
      <c r="BW50" s="14"/>
      <c r="BX50" s="14"/>
      <c r="BY50" s="14"/>
      <c r="BZ50" s="14"/>
      <c r="CA50" s="14"/>
      <c r="CB50" s="14"/>
      <c r="CC50" s="14"/>
      <c r="CD50" s="14"/>
      <c r="CE50" s="14"/>
      <c r="CF50" s="14"/>
      <c r="CG50" s="14"/>
      <c r="CH50" s="14"/>
      <c r="CI50" s="14"/>
      <c r="CJ50" s="14"/>
      <c r="CK50" s="14"/>
      <c r="CL50" s="14"/>
    </row>
    <row r="51" spans="1:90" ht="45" x14ac:dyDescent="0.25">
      <c r="A51" s="12" t="s">
        <v>6</v>
      </c>
      <c r="B51" s="15" t="s">
        <v>345</v>
      </c>
      <c r="C51" s="15" t="s">
        <v>342</v>
      </c>
      <c r="D51" s="18" t="s">
        <v>395</v>
      </c>
      <c r="E51" s="11" t="s">
        <v>343</v>
      </c>
      <c r="F51" s="11" t="s">
        <v>344</v>
      </c>
      <c r="G51" s="9">
        <v>408700</v>
      </c>
      <c r="H51" s="9">
        <v>318050</v>
      </c>
      <c r="I51" s="17" t="s">
        <v>346</v>
      </c>
      <c r="J51" s="15">
        <v>204350</v>
      </c>
      <c r="K51" s="17" t="s">
        <v>213</v>
      </c>
      <c r="L51" s="15" t="s">
        <v>204</v>
      </c>
      <c r="M51" s="15"/>
      <c r="N51" s="15"/>
      <c r="O51" s="17">
        <v>42887</v>
      </c>
      <c r="P51" s="9">
        <f>Tableau_Lancer_la_requête_à_partir_de_Excel_Files[[#This Row],[Aide Massif Obtenue]]+Tableau_Lancer_la_requête_à_partir_de_Excel_Files[[#This Row],[Autre Public2]]</f>
        <v>318050</v>
      </c>
      <c r="Q51" s="13">
        <f>(Tableau_Lancer_la_requête_à_partir_de_Excel_Files[[#This Row],[Autre Public2]]+Tableau_Lancer_la_requête_à_partir_de_Excel_Files[[#This Row],[Aide Massif Obtenue]])/Tableau_Lancer_la_requête_à_partir_de_Excel_Files[[#This Row],[Coût total déposé]]</f>
        <v>0.77819916809395639</v>
      </c>
      <c r="R51"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318050</v>
      </c>
      <c r="S51" s="16">
        <f>Tableau_Lancer_la_requête_à_partir_de_Excel_Files[[#This Row],[Aide Massif Obtenue]]/Tableau_Lancer_la_requête_à_partir_de_Excel_Files[[#This Row],[Coût total déposé]]</f>
        <v>0.77819916809395639</v>
      </c>
      <c r="T51" s="9">
        <f>Tableau_Lancer_la_requête_à_partir_de_Excel_Files[[#This Row],[Aide Publique Obtenue]]-Tableau_Lancer_la_requête_à_partir_de_Excel_Files[[#This Row],[Aide Publique demandée]]</f>
        <v>0</v>
      </c>
      <c r="U51" s="9">
        <f>Tableau_Lancer_la_requête_à_partir_de_Excel_Files[[#This Row],[FNADT_FN2]]+Tableau_Lancer_la_requête_à_partir_de_Excel_Files[[#This Row],[AgricultureFN2]]</f>
        <v>113700</v>
      </c>
      <c r="V51" s="9">
        <v>113700</v>
      </c>
      <c r="W51" s="9"/>
      <c r="X51"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51" s="70"/>
      <c r="Z51" s="70"/>
      <c r="AA51" s="70"/>
      <c r="AB51" s="70"/>
      <c r="AC51"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51" s="21"/>
      <c r="AE51" s="21"/>
      <c r="AF51" s="21"/>
      <c r="AG51" s="21"/>
      <c r="AH51" s="21"/>
      <c r="AI51" s="21"/>
      <c r="AJ51" s="21"/>
      <c r="AK51" s="21"/>
      <c r="AL51" s="21"/>
      <c r="AM51" s="21"/>
      <c r="AN51" s="21"/>
      <c r="AO51" s="21"/>
      <c r="AP51" s="21"/>
      <c r="AQ51" s="21"/>
      <c r="AR51" s="21"/>
      <c r="AS51" s="21"/>
      <c r="AT51" s="21"/>
      <c r="AU51" s="21"/>
      <c r="AV51" s="21"/>
      <c r="AW51" s="21"/>
      <c r="AX51" s="21"/>
      <c r="AY51" s="21"/>
      <c r="AZ51" s="9">
        <v>0</v>
      </c>
      <c r="BA51" s="9">
        <v>204350</v>
      </c>
      <c r="BB51" s="18">
        <v>41641</v>
      </c>
      <c r="BC51" s="18"/>
      <c r="BD51" s="9"/>
      <c r="BE51" s="70"/>
      <c r="BQ51" s="14"/>
      <c r="BR51" s="14"/>
      <c r="BS51" s="14"/>
      <c r="BT51" s="14"/>
      <c r="BU51" s="14"/>
      <c r="BV51" s="14"/>
      <c r="BW51" s="14"/>
      <c r="BX51" s="14"/>
      <c r="BY51" s="14"/>
      <c r="BZ51" s="14"/>
      <c r="CA51" s="14"/>
      <c r="CB51" s="14"/>
      <c r="CC51" s="14"/>
      <c r="CD51" s="14"/>
      <c r="CE51" s="14"/>
      <c r="CF51" s="14"/>
      <c r="CG51" s="14"/>
      <c r="CH51" s="14"/>
      <c r="CI51" s="14"/>
      <c r="CJ51" s="14"/>
      <c r="CK51" s="14"/>
      <c r="CL51" s="14"/>
    </row>
    <row r="52" spans="1:90" ht="30" x14ac:dyDescent="0.25">
      <c r="A52" s="12" t="s">
        <v>5</v>
      </c>
      <c r="B52" s="15" t="s">
        <v>419</v>
      </c>
      <c r="C52" s="15" t="s">
        <v>419</v>
      </c>
      <c r="D52" s="18" t="s">
        <v>423</v>
      </c>
      <c r="E52" s="11" t="s">
        <v>420</v>
      </c>
      <c r="F52" s="11" t="s">
        <v>421</v>
      </c>
      <c r="G52" s="9">
        <v>488510</v>
      </c>
      <c r="H52" s="9">
        <v>244255</v>
      </c>
      <c r="I52" s="17" t="s">
        <v>213</v>
      </c>
      <c r="J52" s="15"/>
      <c r="K52" s="17" t="s">
        <v>211</v>
      </c>
      <c r="L52" s="15" t="s">
        <v>204</v>
      </c>
      <c r="M52" s="15" t="s">
        <v>422</v>
      </c>
      <c r="N52" s="15"/>
      <c r="O52" s="17">
        <v>42901</v>
      </c>
      <c r="P52" s="9">
        <f>Tableau_Lancer_la_requête_à_partir_de_Excel_Files[[#This Row],[Aide Massif Obtenue]]+Tableau_Lancer_la_requête_à_partir_de_Excel_Files[[#This Row],[Autre Public2]]</f>
        <v>244255</v>
      </c>
      <c r="Q52" s="13">
        <f>(Tableau_Lancer_la_requête_à_partir_de_Excel_Files[[#This Row],[Autre Public2]]+Tableau_Lancer_la_requête_à_partir_de_Excel_Files[[#This Row],[Aide Massif Obtenue]])/Tableau_Lancer_la_requête_à_partir_de_Excel_Files[[#This Row],[Coût total déposé]]</f>
        <v>0.5</v>
      </c>
      <c r="R52"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244255</v>
      </c>
      <c r="S52" s="16">
        <f>Tableau_Lancer_la_requête_à_partir_de_Excel_Files[[#This Row],[Aide Massif Obtenue]]/Tableau_Lancer_la_requête_à_partir_de_Excel_Files[[#This Row],[Coût total déposé]]</f>
        <v>0.5</v>
      </c>
      <c r="T52" s="9">
        <f>Tableau_Lancer_la_requête_à_partir_de_Excel_Files[[#This Row],[Aide Publique Obtenue]]-Tableau_Lancer_la_requête_à_partir_de_Excel_Files[[#This Row],[Aide Publique demandée]]</f>
        <v>0</v>
      </c>
      <c r="U52" s="9">
        <f>Tableau_Lancer_la_requête_à_partir_de_Excel_Files[[#This Row],[FNADT_FN2]]+Tableau_Lancer_la_requête_à_partir_de_Excel_Files[[#This Row],[AgricultureFN2]]</f>
        <v>219829</v>
      </c>
      <c r="V52" s="9">
        <v>219829</v>
      </c>
      <c r="W52" s="9"/>
      <c r="X52" s="9">
        <f>Tableau_Lancer_la_requête_à_partir_de_Excel_Files[[#This Row],[ALPC_FN2]]+Tableau_Lancer_la_requête_à_partir_de_Excel_Files[[#This Row],[AURA_FN2]]+Tableau_Lancer_la_requête_à_partir_de_Excel_Files[[#This Row],[BFC_FN2]]+Tableau_Lancer_la_requête_à_partir_de_Excel_Files[[#This Row],[LRMP_FN2]]</f>
        <v>24426</v>
      </c>
      <c r="Y52" s="70">
        <v>24426</v>
      </c>
      <c r="Z52" s="70"/>
      <c r="AA52" s="70"/>
      <c r="AB52" s="70"/>
      <c r="AC52"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52" s="36"/>
      <c r="AE52" s="36"/>
      <c r="AF52" s="36"/>
      <c r="AG52" s="36"/>
      <c r="AH52" s="36"/>
      <c r="AI52" s="36"/>
      <c r="AJ52" s="36"/>
      <c r="AK52" s="36"/>
      <c r="AL52" s="36"/>
      <c r="AM52" s="36"/>
      <c r="AN52" s="36"/>
      <c r="AO52" s="36"/>
      <c r="AP52" s="36"/>
      <c r="AQ52" s="36"/>
      <c r="AR52" s="36"/>
      <c r="AS52" s="36"/>
      <c r="AT52" s="36"/>
      <c r="AU52" s="36"/>
      <c r="AV52" s="36"/>
      <c r="AW52" s="36"/>
      <c r="AX52" s="36"/>
      <c r="AY52" s="36"/>
      <c r="AZ52" s="9">
        <v>0</v>
      </c>
      <c r="BA52" s="9">
        <v>0</v>
      </c>
      <c r="BB52" s="18"/>
      <c r="BC52" s="18"/>
      <c r="BD52" s="9"/>
      <c r="BE52" s="70"/>
      <c r="BQ52" s="14"/>
      <c r="BR52" s="14"/>
      <c r="BS52" s="14"/>
      <c r="BT52" s="14"/>
      <c r="BU52" s="14"/>
      <c r="BV52" s="14"/>
      <c r="BW52" s="14"/>
      <c r="BX52" s="14"/>
      <c r="BY52" s="14"/>
      <c r="BZ52" s="14"/>
      <c r="CA52" s="14"/>
      <c r="CB52" s="14"/>
      <c r="CC52" s="14"/>
      <c r="CD52" s="14"/>
      <c r="CE52" s="14"/>
      <c r="CF52" s="14"/>
      <c r="CG52" s="14"/>
      <c r="CH52" s="14"/>
      <c r="CI52" s="14"/>
      <c r="CJ52" s="14"/>
      <c r="CK52" s="14"/>
      <c r="CL52" s="14"/>
    </row>
    <row r="53" spans="1:90" ht="60" x14ac:dyDescent="0.25">
      <c r="A53" s="12" t="s">
        <v>5</v>
      </c>
      <c r="B53" s="15" t="s">
        <v>397</v>
      </c>
      <c r="C53" s="15" t="s">
        <v>397</v>
      </c>
      <c r="D53" s="18" t="s">
        <v>401</v>
      </c>
      <c r="E53" s="11" t="s">
        <v>398</v>
      </c>
      <c r="F53" s="11" t="s">
        <v>399</v>
      </c>
      <c r="G53" s="9">
        <v>274059.59999999998</v>
      </c>
      <c r="H53" s="9">
        <v>198057.60000000001</v>
      </c>
      <c r="I53" s="17" t="s">
        <v>400</v>
      </c>
      <c r="J53" s="15"/>
      <c r="K53" s="17" t="s">
        <v>211</v>
      </c>
      <c r="L53" s="15" t="s">
        <v>223</v>
      </c>
      <c r="M53" s="15" t="s">
        <v>205</v>
      </c>
      <c r="N53" s="15"/>
      <c r="O53" s="17">
        <v>42695</v>
      </c>
      <c r="P53" s="9">
        <f>Tableau_Lancer_la_requête_à_partir_de_Excel_Files[[#This Row],[Aide Massif Obtenue]]+Tableau_Lancer_la_requête_à_partir_de_Excel_Files[[#This Row],[Autre Public2]]</f>
        <v>148237.6</v>
      </c>
      <c r="Q53" s="13">
        <f>(Tableau_Lancer_la_requête_à_partir_de_Excel_Files[[#This Row],[Autre Public2]]+Tableau_Lancer_la_requête_à_partir_de_Excel_Files[[#This Row],[Aide Massif Obtenue]])/Tableau_Lancer_la_requête_à_partir_de_Excel_Files[[#This Row],[Coût total déposé]]</f>
        <v>0.54089548404799548</v>
      </c>
      <c r="R53"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148237.6</v>
      </c>
      <c r="S53" s="16">
        <f>Tableau_Lancer_la_requête_à_partir_de_Excel_Files[[#This Row],[Aide Massif Obtenue]]/Tableau_Lancer_la_requête_à_partir_de_Excel_Files[[#This Row],[Coût total déposé]]</f>
        <v>0.54089548404799548</v>
      </c>
      <c r="T53" s="9">
        <v>0</v>
      </c>
      <c r="U53" s="9">
        <f>Tableau_Lancer_la_requête_à_partir_de_Excel_Files[[#This Row],[FNADT_FN2]]+Tableau_Lancer_la_requête_à_partir_de_Excel_Files[[#This Row],[AgricultureFN2]]</f>
        <v>98265.600000000006</v>
      </c>
      <c r="V53" s="9"/>
      <c r="W53" s="9">
        <v>98265.600000000006</v>
      </c>
      <c r="X53" s="9">
        <f>Tableau_Lancer_la_requête_à_partir_de_Excel_Files[[#This Row],[ALPC_FN2]]+Tableau_Lancer_la_requête_à_partir_de_Excel_Files[[#This Row],[AURA_FN2]]+Tableau_Lancer_la_requête_à_partir_de_Excel_Files[[#This Row],[BFC_FN2]]+Tableau_Lancer_la_requête_à_partir_de_Excel_Files[[#This Row],[LRMP_FN2]]</f>
        <v>49972</v>
      </c>
      <c r="Y53" s="70"/>
      <c r="Z53" s="70">
        <v>49972</v>
      </c>
      <c r="AA53" s="70"/>
      <c r="AB53" s="70"/>
      <c r="AC53"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53" s="21"/>
      <c r="AE53" s="21"/>
      <c r="AF53" s="21"/>
      <c r="AG53" s="21"/>
      <c r="AH53" s="21"/>
      <c r="AI53" s="21"/>
      <c r="AJ53" s="21"/>
      <c r="AK53" s="21"/>
      <c r="AL53" s="21"/>
      <c r="AM53" s="21"/>
      <c r="AN53" s="21"/>
      <c r="AO53" s="21"/>
      <c r="AP53" s="21"/>
      <c r="AQ53" s="21"/>
      <c r="AR53" s="21"/>
      <c r="AS53" s="21"/>
      <c r="AT53" s="21"/>
      <c r="AU53" s="21"/>
      <c r="AV53" s="21"/>
      <c r="AW53" s="21"/>
      <c r="AX53" s="21"/>
      <c r="AY53" s="21"/>
      <c r="AZ53" s="9">
        <v>0</v>
      </c>
      <c r="BA53" s="9">
        <v>0</v>
      </c>
      <c r="BB53" s="18"/>
      <c r="BC53" s="18"/>
      <c r="BD53" s="9" t="s">
        <v>424</v>
      </c>
      <c r="BE53" s="70"/>
      <c r="BQ53" s="14"/>
      <c r="BR53" s="14"/>
      <c r="BS53" s="14"/>
      <c r="BT53" s="14"/>
      <c r="BU53" s="14"/>
      <c r="BV53" s="14"/>
      <c r="BW53" s="14"/>
      <c r="BX53" s="14"/>
      <c r="BY53" s="14"/>
      <c r="BZ53" s="14"/>
      <c r="CA53" s="14"/>
      <c r="CB53" s="14"/>
      <c r="CC53" s="14"/>
      <c r="CD53" s="14"/>
      <c r="CE53" s="14"/>
      <c r="CF53" s="14"/>
      <c r="CG53" s="14"/>
      <c r="CH53" s="14"/>
      <c r="CI53" s="14"/>
      <c r="CJ53" s="14"/>
      <c r="CK53" s="14"/>
      <c r="CL53" s="14"/>
    </row>
    <row r="54" spans="1:90" ht="60" x14ac:dyDescent="0.25">
      <c r="A54" s="12" t="s">
        <v>5</v>
      </c>
      <c r="B54" s="15" t="s">
        <v>402</v>
      </c>
      <c r="C54" s="15" t="s">
        <v>402</v>
      </c>
      <c r="D54" s="18" t="s">
        <v>401</v>
      </c>
      <c r="E54" s="11" t="s">
        <v>403</v>
      </c>
      <c r="F54" s="11" t="s">
        <v>399</v>
      </c>
      <c r="G54" s="9">
        <v>13486.94</v>
      </c>
      <c r="H54" s="9">
        <v>10789.55</v>
      </c>
      <c r="I54" s="17" t="s">
        <v>212</v>
      </c>
      <c r="J54" s="15"/>
      <c r="K54" s="17" t="s">
        <v>211</v>
      </c>
      <c r="L54" s="15" t="s">
        <v>223</v>
      </c>
      <c r="M54" s="15"/>
      <c r="N54" s="15"/>
      <c r="O54" s="17">
        <v>42695</v>
      </c>
      <c r="P54" s="9">
        <f>Tableau_Lancer_la_requête_à_partir_de_Excel_Files[[#This Row],[Aide Massif Obtenue]]+Tableau_Lancer_la_requête_à_partir_de_Excel_Files[[#This Row],[Autre Public2]]</f>
        <v>10789.55</v>
      </c>
      <c r="Q54" s="13">
        <f>(Tableau_Lancer_la_requête_à_partir_de_Excel_Files[[#This Row],[Autre Public2]]+Tableau_Lancer_la_requête_à_partir_de_Excel_Files[[#This Row],[Aide Massif Obtenue]])/Tableau_Lancer_la_requête_à_partir_de_Excel_Files[[#This Row],[Coût total déposé]]</f>
        <v>0.79999985170839338</v>
      </c>
      <c r="R54"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10789.55</v>
      </c>
      <c r="S54" s="16">
        <f>Tableau_Lancer_la_requête_à_partir_de_Excel_Files[[#This Row],[Aide Massif Obtenue]]/Tableau_Lancer_la_requête_à_partir_de_Excel_Files[[#This Row],[Coût total déposé]]</f>
        <v>0.79999985170839338</v>
      </c>
      <c r="T54" s="9">
        <f>Tableau_Lancer_la_requête_à_partir_de_Excel_Files[[#This Row],[Aide Publique Obtenue]]-Tableau_Lancer_la_requête_à_partir_de_Excel_Files[[#This Row],[Aide Publique demandée]]</f>
        <v>0</v>
      </c>
      <c r="U54" s="9">
        <f>Tableau_Lancer_la_requête_à_partir_de_Excel_Files[[#This Row],[FNADT_FN2]]+Tableau_Lancer_la_requête_à_partir_de_Excel_Files[[#This Row],[AgricultureFN2]]</f>
        <v>10789.55</v>
      </c>
      <c r="V54" s="9"/>
      <c r="W54" s="9">
        <v>10789.55</v>
      </c>
      <c r="X54"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54" s="70"/>
      <c r="Z54" s="70"/>
      <c r="AA54" s="70"/>
      <c r="AB54" s="70"/>
      <c r="AC54"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54" s="21"/>
      <c r="AE54" s="21"/>
      <c r="AF54" s="21"/>
      <c r="AG54" s="21"/>
      <c r="AH54" s="21"/>
      <c r="AI54" s="21"/>
      <c r="AJ54" s="21"/>
      <c r="AK54" s="21"/>
      <c r="AL54" s="21"/>
      <c r="AM54" s="21"/>
      <c r="AN54" s="21"/>
      <c r="AO54" s="21"/>
      <c r="AP54" s="21"/>
      <c r="AQ54" s="21"/>
      <c r="AR54" s="21"/>
      <c r="AS54" s="21"/>
      <c r="AT54" s="21"/>
      <c r="AU54" s="21"/>
      <c r="AV54" s="21"/>
      <c r="AW54" s="21"/>
      <c r="AX54" s="21"/>
      <c r="AY54" s="21"/>
      <c r="AZ54" s="9">
        <v>0</v>
      </c>
      <c r="BA54" s="9">
        <v>0</v>
      </c>
      <c r="BB54" s="18"/>
      <c r="BC54" s="18"/>
      <c r="BD54" s="9"/>
      <c r="BE54" s="70"/>
      <c r="BQ54" s="14"/>
      <c r="BR54" s="14"/>
      <c r="BS54" s="14"/>
      <c r="BT54" s="14"/>
      <c r="BU54" s="14"/>
      <c r="BV54" s="14"/>
      <c r="BW54" s="14"/>
      <c r="BX54" s="14"/>
      <c r="BY54" s="14"/>
      <c r="BZ54" s="14"/>
      <c r="CA54" s="14"/>
      <c r="CB54" s="14"/>
      <c r="CC54" s="14"/>
      <c r="CD54" s="14"/>
      <c r="CE54" s="14"/>
      <c r="CF54" s="14"/>
      <c r="CG54" s="14"/>
      <c r="CH54" s="14"/>
      <c r="CI54" s="14"/>
      <c r="CJ54" s="14"/>
      <c r="CK54" s="14"/>
      <c r="CL54" s="14"/>
    </row>
    <row r="55" spans="1:90" ht="60" x14ac:dyDescent="0.25">
      <c r="A55" s="12" t="s">
        <v>5</v>
      </c>
      <c r="B55" s="15" t="s">
        <v>404</v>
      </c>
      <c r="C55" s="15" t="s">
        <v>404</v>
      </c>
      <c r="D55" s="18" t="s">
        <v>401</v>
      </c>
      <c r="E55" s="11" t="s">
        <v>405</v>
      </c>
      <c r="F55" s="11" t="s">
        <v>399</v>
      </c>
      <c r="G55" s="9">
        <v>26459.91</v>
      </c>
      <c r="H55" s="9">
        <v>21167.93</v>
      </c>
      <c r="I55" s="17" t="s">
        <v>212</v>
      </c>
      <c r="J55" s="15"/>
      <c r="K55" s="17" t="s">
        <v>211</v>
      </c>
      <c r="L55" s="15" t="s">
        <v>223</v>
      </c>
      <c r="M55" s="15"/>
      <c r="N55" s="15"/>
      <c r="O55" s="17">
        <v>42695</v>
      </c>
      <c r="P55" s="9">
        <f>Tableau_Lancer_la_requête_à_partir_de_Excel_Files[[#This Row],[Aide Massif Obtenue]]+Tableau_Lancer_la_requête_à_partir_de_Excel_Files[[#This Row],[Autre Public2]]</f>
        <v>21167.93</v>
      </c>
      <c r="Q55" s="13">
        <f>(Tableau_Lancer_la_requête_à_partir_de_Excel_Files[[#This Row],[Autre Public2]]+Tableau_Lancer_la_requête_à_partir_de_Excel_Files[[#This Row],[Aide Massif Obtenue]])/Tableau_Lancer_la_requête_à_partir_de_Excel_Files[[#This Row],[Coût total déposé]]</f>
        <v>0.80000007558604702</v>
      </c>
      <c r="R55"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21167.93</v>
      </c>
      <c r="S55" s="20">
        <f>Tableau_Lancer_la_requête_à_partir_de_Excel_Files[[#This Row],[Aide Massif Obtenue]]/Tableau_Lancer_la_requête_à_partir_de_Excel_Files[[#This Row],[Coût total déposé]]</f>
        <v>0.80000007558604702</v>
      </c>
      <c r="T55" s="9">
        <f>Tableau_Lancer_la_requête_à_partir_de_Excel_Files[[#This Row],[Aide Publique Obtenue]]-Tableau_Lancer_la_requête_à_partir_de_Excel_Files[[#This Row],[Aide Publique demandée]]</f>
        <v>0</v>
      </c>
      <c r="U55" s="9">
        <f>Tableau_Lancer_la_requête_à_partir_de_Excel_Files[[#This Row],[FNADT_FN2]]+Tableau_Lancer_la_requête_à_partir_de_Excel_Files[[#This Row],[AgricultureFN2]]</f>
        <v>21167.93</v>
      </c>
      <c r="V55" s="9"/>
      <c r="W55" s="9">
        <v>21167.93</v>
      </c>
      <c r="X55"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55" s="70"/>
      <c r="Z55" s="70"/>
      <c r="AA55" s="70"/>
      <c r="AB55" s="70"/>
      <c r="AC55"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55" s="21"/>
      <c r="AE55" s="21"/>
      <c r="AF55" s="21"/>
      <c r="AG55" s="21"/>
      <c r="AH55" s="21"/>
      <c r="AI55" s="21"/>
      <c r="AJ55" s="21"/>
      <c r="AK55" s="21"/>
      <c r="AL55" s="21"/>
      <c r="AM55" s="21"/>
      <c r="AN55" s="21"/>
      <c r="AO55" s="21"/>
      <c r="AP55" s="21"/>
      <c r="AQ55" s="21"/>
      <c r="AR55" s="21"/>
      <c r="AS55" s="21"/>
      <c r="AT55" s="21"/>
      <c r="AU55" s="21"/>
      <c r="AV55" s="21"/>
      <c r="AW55" s="21"/>
      <c r="AX55" s="21"/>
      <c r="AY55" s="21"/>
      <c r="AZ55" s="9">
        <v>0</v>
      </c>
      <c r="BA55" s="9">
        <v>0</v>
      </c>
      <c r="BB55" s="18"/>
      <c r="BC55" s="18"/>
      <c r="BD55" s="9"/>
      <c r="BE55" s="70"/>
      <c r="BQ55" s="14"/>
      <c r="BR55" s="14"/>
      <c r="BS55" s="14"/>
      <c r="BT55" s="14"/>
      <c r="BU55" s="14"/>
      <c r="BV55" s="14"/>
      <c r="BW55" s="14"/>
      <c r="BX55" s="14"/>
      <c r="BY55" s="14"/>
      <c r="BZ55" s="14"/>
      <c r="CA55" s="14"/>
      <c r="CB55" s="14"/>
      <c r="CC55" s="14"/>
      <c r="CD55" s="14"/>
      <c r="CE55" s="14"/>
      <c r="CF55" s="14"/>
      <c r="CG55" s="14"/>
      <c r="CH55" s="14"/>
      <c r="CI55" s="14"/>
      <c r="CJ55" s="14"/>
      <c r="CK55" s="14"/>
      <c r="CL55" s="14"/>
    </row>
    <row r="56" spans="1:90" ht="60" x14ac:dyDescent="0.25">
      <c r="A56" s="12" t="s">
        <v>5</v>
      </c>
      <c r="B56" s="15" t="s">
        <v>406</v>
      </c>
      <c r="C56" s="15" t="s">
        <v>406</v>
      </c>
      <c r="D56" s="18" t="s">
        <v>401</v>
      </c>
      <c r="E56" s="11" t="s">
        <v>325</v>
      </c>
      <c r="F56" s="11" t="s">
        <v>399</v>
      </c>
      <c r="G56" s="9">
        <v>20986.16</v>
      </c>
      <c r="H56" s="9">
        <v>16788.93</v>
      </c>
      <c r="I56" s="17" t="s">
        <v>212</v>
      </c>
      <c r="J56" s="15"/>
      <c r="K56" s="17" t="s">
        <v>211</v>
      </c>
      <c r="L56" s="15" t="s">
        <v>223</v>
      </c>
      <c r="M56" s="15"/>
      <c r="N56" s="15"/>
      <c r="O56" s="17">
        <v>42695</v>
      </c>
      <c r="P56" s="9">
        <f>Tableau_Lancer_la_requête_à_partir_de_Excel_Files[[#This Row],[Aide Massif Obtenue]]+Tableau_Lancer_la_requête_à_partir_de_Excel_Files[[#This Row],[Autre Public2]]</f>
        <v>16788.93</v>
      </c>
      <c r="Q56" s="13">
        <f>(Tableau_Lancer_la_requête_à_partir_de_Excel_Files[[#This Row],[Autre Public2]]+Tableau_Lancer_la_requête_à_partir_de_Excel_Files[[#This Row],[Aide Massif Obtenue]])/Tableau_Lancer_la_requête_à_partir_de_Excel_Files[[#This Row],[Coût total déposé]]</f>
        <v>0.8000000953009031</v>
      </c>
      <c r="R56"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16788.93</v>
      </c>
      <c r="S56" s="20">
        <f>Tableau_Lancer_la_requête_à_partir_de_Excel_Files[[#This Row],[Aide Massif Obtenue]]/Tableau_Lancer_la_requête_à_partir_de_Excel_Files[[#This Row],[Coût total déposé]]</f>
        <v>0.8000000953009031</v>
      </c>
      <c r="T56" s="9">
        <f>Tableau_Lancer_la_requête_à_partir_de_Excel_Files[[#This Row],[Aide Publique Obtenue]]-Tableau_Lancer_la_requête_à_partir_de_Excel_Files[[#This Row],[Aide Publique demandée]]</f>
        <v>0</v>
      </c>
      <c r="U56" s="9">
        <f>Tableau_Lancer_la_requête_à_partir_de_Excel_Files[[#This Row],[FNADT_FN2]]+Tableau_Lancer_la_requête_à_partir_de_Excel_Files[[#This Row],[AgricultureFN2]]</f>
        <v>16788.93</v>
      </c>
      <c r="V56" s="9"/>
      <c r="W56" s="9">
        <v>16788.93</v>
      </c>
      <c r="X56"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56" s="70"/>
      <c r="Z56" s="70"/>
      <c r="AA56" s="70"/>
      <c r="AB56" s="70"/>
      <c r="AC56"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56" s="21"/>
      <c r="AE56" s="21"/>
      <c r="AF56" s="21"/>
      <c r="AG56" s="21"/>
      <c r="AH56" s="21"/>
      <c r="AI56" s="21"/>
      <c r="AJ56" s="21"/>
      <c r="AK56" s="21"/>
      <c r="AL56" s="21"/>
      <c r="AM56" s="21"/>
      <c r="AN56" s="21"/>
      <c r="AO56" s="21"/>
      <c r="AP56" s="21"/>
      <c r="AQ56" s="21"/>
      <c r="AR56" s="21"/>
      <c r="AS56" s="21"/>
      <c r="AT56" s="21"/>
      <c r="AU56" s="21"/>
      <c r="AV56" s="21"/>
      <c r="AW56" s="21"/>
      <c r="AX56" s="21"/>
      <c r="AY56" s="21"/>
      <c r="AZ56" s="9">
        <v>0</v>
      </c>
      <c r="BA56" s="9">
        <v>0</v>
      </c>
      <c r="BB56" s="18"/>
      <c r="BC56" s="18"/>
      <c r="BD56" s="9"/>
      <c r="BE56" s="70"/>
      <c r="BQ56" s="14"/>
      <c r="BR56" s="14"/>
      <c r="BS56" s="14"/>
      <c r="BT56" s="14"/>
      <c r="BU56" s="14"/>
      <c r="BV56" s="14"/>
      <c r="BW56" s="14"/>
      <c r="BX56" s="14"/>
      <c r="BY56" s="14"/>
      <c r="BZ56" s="14"/>
      <c r="CA56" s="14"/>
      <c r="CB56" s="14"/>
      <c r="CC56" s="14"/>
      <c r="CD56" s="14"/>
      <c r="CE56" s="14"/>
      <c r="CF56" s="14"/>
      <c r="CG56" s="14"/>
      <c r="CH56" s="14"/>
      <c r="CI56" s="14"/>
      <c r="CJ56" s="14"/>
      <c r="CK56" s="14"/>
      <c r="CL56" s="14"/>
    </row>
    <row r="57" spans="1:90" ht="60" x14ac:dyDescent="0.25">
      <c r="A57" s="12" t="s">
        <v>5</v>
      </c>
      <c r="B57" s="15" t="s">
        <v>407</v>
      </c>
      <c r="C57" s="15" t="s">
        <v>407</v>
      </c>
      <c r="D57" s="18" t="s">
        <v>401</v>
      </c>
      <c r="E57" s="11" t="s">
        <v>318</v>
      </c>
      <c r="F57" s="11" t="s">
        <v>399</v>
      </c>
      <c r="G57" s="9">
        <v>17114.169999999998</v>
      </c>
      <c r="H57" s="9">
        <v>13691.33</v>
      </c>
      <c r="I57" s="17" t="s">
        <v>212</v>
      </c>
      <c r="J57" s="15"/>
      <c r="K57" s="17" t="s">
        <v>211</v>
      </c>
      <c r="L57" s="15" t="s">
        <v>223</v>
      </c>
      <c r="M57" s="15"/>
      <c r="N57" s="15"/>
      <c r="O57" s="17">
        <v>42695</v>
      </c>
      <c r="P57" s="9">
        <f>Tableau_Lancer_la_requête_à_partir_de_Excel_Files[[#This Row],[Aide Massif Obtenue]]+Tableau_Lancer_la_requête_à_partir_de_Excel_Files[[#This Row],[Autre Public2]]</f>
        <v>13691.33</v>
      </c>
      <c r="Q57" s="13">
        <f>(Tableau_Lancer_la_requête_à_partir_de_Excel_Files[[#This Row],[Autre Public2]]+Tableau_Lancer_la_requête_à_partir_de_Excel_Files[[#This Row],[Aide Massif Obtenue]])/Tableau_Lancer_la_requête_à_partir_de_Excel_Files[[#This Row],[Coût total déposé]]</f>
        <v>0.79999964941332247</v>
      </c>
      <c r="R57"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13691.33</v>
      </c>
      <c r="S57" s="20">
        <f>Tableau_Lancer_la_requête_à_partir_de_Excel_Files[[#This Row],[Aide Massif Obtenue]]/Tableau_Lancer_la_requête_à_partir_de_Excel_Files[[#This Row],[Coût total déposé]]</f>
        <v>0.79999964941332247</v>
      </c>
      <c r="T57" s="9">
        <f>Tableau_Lancer_la_requête_à_partir_de_Excel_Files[[#This Row],[Aide Publique Obtenue]]-Tableau_Lancer_la_requête_à_partir_de_Excel_Files[[#This Row],[Aide Publique demandée]]</f>
        <v>0</v>
      </c>
      <c r="U57" s="9">
        <f>Tableau_Lancer_la_requête_à_partir_de_Excel_Files[[#This Row],[FNADT_FN2]]+Tableau_Lancer_la_requête_à_partir_de_Excel_Files[[#This Row],[AgricultureFN2]]</f>
        <v>13691.33</v>
      </c>
      <c r="V57" s="9"/>
      <c r="W57" s="9">
        <v>13691.33</v>
      </c>
      <c r="X57"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57" s="70"/>
      <c r="Z57" s="70"/>
      <c r="AA57" s="70"/>
      <c r="AB57" s="70"/>
      <c r="AC57"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57" s="21"/>
      <c r="AE57" s="21"/>
      <c r="AF57" s="21"/>
      <c r="AG57" s="21"/>
      <c r="AH57" s="21"/>
      <c r="AI57" s="21"/>
      <c r="AJ57" s="21"/>
      <c r="AK57" s="21"/>
      <c r="AL57" s="21"/>
      <c r="AM57" s="21"/>
      <c r="AN57" s="21"/>
      <c r="AO57" s="21"/>
      <c r="AP57" s="21"/>
      <c r="AQ57" s="21"/>
      <c r="AR57" s="21"/>
      <c r="AS57" s="21"/>
      <c r="AT57" s="21"/>
      <c r="AU57" s="21"/>
      <c r="AV57" s="21"/>
      <c r="AW57" s="21"/>
      <c r="AX57" s="21"/>
      <c r="AY57" s="21"/>
      <c r="AZ57" s="9">
        <v>0</v>
      </c>
      <c r="BA57" s="9">
        <v>0</v>
      </c>
      <c r="BB57" s="18"/>
      <c r="BC57" s="18"/>
      <c r="BD57" s="9"/>
      <c r="BE57" s="70"/>
      <c r="BQ57" s="14"/>
      <c r="BR57" s="14"/>
      <c r="BS57" s="14"/>
      <c r="BT57" s="14"/>
      <c r="BU57" s="14"/>
      <c r="BV57" s="14"/>
      <c r="BW57" s="14"/>
      <c r="BX57" s="14"/>
      <c r="BY57" s="14"/>
      <c r="BZ57" s="14"/>
      <c r="CA57" s="14"/>
      <c r="CB57" s="14"/>
      <c r="CC57" s="14"/>
      <c r="CD57" s="14"/>
      <c r="CE57" s="14"/>
      <c r="CF57" s="14"/>
      <c r="CG57" s="14"/>
      <c r="CH57" s="14"/>
      <c r="CI57" s="14"/>
      <c r="CJ57" s="14"/>
      <c r="CK57" s="14"/>
      <c r="CL57" s="14"/>
    </row>
    <row r="58" spans="1:90" ht="45" x14ac:dyDescent="0.25">
      <c r="A58" s="12" t="s">
        <v>6</v>
      </c>
      <c r="B58" s="15" t="s">
        <v>434</v>
      </c>
      <c r="C58" s="15" t="s">
        <v>415</v>
      </c>
      <c r="D58" s="18" t="s">
        <v>393</v>
      </c>
      <c r="E58" s="71" t="s">
        <v>343</v>
      </c>
      <c r="F58" s="71" t="s">
        <v>436</v>
      </c>
      <c r="G58" s="70">
        <v>93610.06</v>
      </c>
      <c r="H58" s="70">
        <v>59805</v>
      </c>
      <c r="I58" s="73">
        <v>0.63880000000000003</v>
      </c>
      <c r="J58" s="15">
        <v>46804</v>
      </c>
      <c r="K58" s="37">
        <v>0.5</v>
      </c>
      <c r="L58" s="15" t="s">
        <v>204</v>
      </c>
      <c r="M58" s="15"/>
      <c r="N58" s="15"/>
      <c r="O58" s="17">
        <v>42887</v>
      </c>
      <c r="P58" s="70">
        <f>Tableau_Lancer_la_requête_à_partir_de_Excel_Files[[#This Row],[Aide Massif Obtenue]]+Tableau_Lancer_la_requête_à_partir_de_Excel_Files[[#This Row],[Autre Public2]]</f>
        <v>59805</v>
      </c>
      <c r="Q58" s="13">
        <f>(Tableau_Lancer_la_requête_à_partir_de_Excel_Files[[#This Row],[Autre Public2]]+Tableau_Lancer_la_requête_à_partir_de_Excel_Files[[#This Row],[Aide Massif Obtenue]])/Tableau_Lancer_la_requête_à_partir_de_Excel_Files[[#This Row],[Coût total déposé]]</f>
        <v>0.63887364242689304</v>
      </c>
      <c r="R58" s="70">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59805</v>
      </c>
      <c r="S58" s="20">
        <f>Tableau_Lancer_la_requête_à_partir_de_Excel_Files[[#This Row],[Aide Massif Obtenue]]/Tableau_Lancer_la_requête_à_partir_de_Excel_Files[[#This Row],[Coût total déposé]]</f>
        <v>0.63887364242689304</v>
      </c>
      <c r="T58" s="70">
        <f>Tableau_Lancer_la_requête_à_partir_de_Excel_Files[[#This Row],[Aide Publique Obtenue]]-Tableau_Lancer_la_requête_à_partir_de_Excel_Files[[#This Row],[Aide Publique demandée]]</f>
        <v>0</v>
      </c>
      <c r="U58" s="70">
        <f>Tableau_Lancer_la_requête_à_partir_de_Excel_Files[[#This Row],[FNADT_FN2]]+Tableau_Lancer_la_requête_à_partir_de_Excel_Files[[#This Row],[AgricultureFN2]]</f>
        <v>13000</v>
      </c>
      <c r="V58" s="70">
        <v>13000</v>
      </c>
      <c r="W58" s="70"/>
      <c r="X58" s="70">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58" s="70"/>
      <c r="Z58" s="70"/>
      <c r="AA58" s="70"/>
      <c r="AB58" s="70"/>
      <c r="AC58" s="70">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58" s="21"/>
      <c r="AE58" s="21"/>
      <c r="AF58" s="21"/>
      <c r="AG58" s="21"/>
      <c r="AH58" s="21"/>
      <c r="AI58" s="21"/>
      <c r="AJ58" s="21"/>
      <c r="AK58" s="21"/>
      <c r="AL58" s="21"/>
      <c r="AM58" s="21"/>
      <c r="AN58" s="21"/>
      <c r="AO58" s="21"/>
      <c r="AP58" s="21"/>
      <c r="AQ58" s="21"/>
      <c r="AR58" s="21"/>
      <c r="AS58" s="21"/>
      <c r="AT58" s="21"/>
      <c r="AU58" s="21"/>
      <c r="AV58" s="21"/>
      <c r="AW58" s="21"/>
      <c r="AX58" s="21"/>
      <c r="AY58" s="21"/>
      <c r="AZ58" s="70">
        <v>0</v>
      </c>
      <c r="BA58" s="70">
        <v>46805</v>
      </c>
      <c r="BB58" s="18">
        <v>42826</v>
      </c>
      <c r="BC58" s="18"/>
      <c r="BD58" s="70"/>
      <c r="BE58" s="70"/>
      <c r="BQ58" s="14"/>
      <c r="BR58" s="14"/>
      <c r="BS58" s="14"/>
      <c r="BT58" s="14"/>
      <c r="BU58" s="14"/>
      <c r="BV58" s="14"/>
      <c r="BW58" s="14"/>
      <c r="BX58" s="14"/>
      <c r="BY58" s="14"/>
      <c r="BZ58" s="14"/>
      <c r="CA58" s="14"/>
      <c r="CB58" s="14"/>
      <c r="CC58" s="14"/>
      <c r="CD58" s="14"/>
      <c r="CE58" s="14"/>
      <c r="CF58" s="14"/>
      <c r="CG58" s="14"/>
      <c r="CH58" s="14"/>
      <c r="CI58" s="14"/>
      <c r="CJ58" s="14"/>
      <c r="CK58" s="14"/>
      <c r="CL58" s="14"/>
    </row>
    <row r="59" spans="1:90" ht="31.5" customHeight="1" x14ac:dyDescent="0.25">
      <c r="A59" s="12" t="s">
        <v>5</v>
      </c>
      <c r="B59" s="15" t="s">
        <v>429</v>
      </c>
      <c r="C59" s="15" t="s">
        <v>429</v>
      </c>
      <c r="D59" s="18" t="s">
        <v>390</v>
      </c>
      <c r="E59" s="71" t="s">
        <v>432</v>
      </c>
      <c r="F59" s="71" t="s">
        <v>428</v>
      </c>
      <c r="G59" s="70">
        <v>36000</v>
      </c>
      <c r="H59" s="70">
        <v>28800</v>
      </c>
      <c r="I59" s="37">
        <v>0.8</v>
      </c>
      <c r="J59" s="15">
        <v>0</v>
      </c>
      <c r="K59" s="17"/>
      <c r="L59" s="15" t="s">
        <v>204</v>
      </c>
      <c r="M59" s="15"/>
      <c r="N59" s="15"/>
      <c r="O59" s="17">
        <v>42884</v>
      </c>
      <c r="P59" s="70">
        <f>Tableau_Lancer_la_requête_à_partir_de_Excel_Files[[#This Row],[Aide Massif Obtenue]]+Tableau_Lancer_la_requête_à_partir_de_Excel_Files[[#This Row],[Autre Public2]]</f>
        <v>28800</v>
      </c>
      <c r="Q59" s="13">
        <f>(Tableau_Lancer_la_requête_à_partir_de_Excel_Files[[#This Row],[Autre Public2]]+Tableau_Lancer_la_requête_à_partir_de_Excel_Files[[#This Row],[Aide Massif Obtenue]])/Tableau_Lancer_la_requête_à_partir_de_Excel_Files[[#This Row],[Coût total déposé]]</f>
        <v>0.8</v>
      </c>
      <c r="R59" s="70">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5760</v>
      </c>
      <c r="S59" s="72">
        <f>Tableau_Lancer_la_requête_à_partir_de_Excel_Files[[#This Row],[Aide Massif Obtenue]]/Tableau_Lancer_la_requête_à_partir_de_Excel_Files[[#This Row],[Coût total déposé]]</f>
        <v>0.16</v>
      </c>
      <c r="T59" s="70">
        <f>Tableau_Lancer_la_requête_à_partir_de_Excel_Files[[#This Row],[Aide Publique Obtenue]]-Tableau_Lancer_la_requête_à_partir_de_Excel_Files[[#This Row],[Aide Publique demandée]]</f>
        <v>0</v>
      </c>
      <c r="U59" s="70">
        <f>Tableau_Lancer_la_requête_à_partir_de_Excel_Files[[#This Row],[FNADT_FN2]]+Tableau_Lancer_la_requête_à_partir_de_Excel_Files[[#This Row],[AgricultureFN2]]</f>
        <v>5760</v>
      </c>
      <c r="V59" s="70">
        <v>5760</v>
      </c>
      <c r="W59" s="70"/>
      <c r="X59" s="70">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59" s="70"/>
      <c r="Z59" s="70"/>
      <c r="AA59" s="70"/>
      <c r="AB59" s="70"/>
      <c r="AC59" s="70">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59" s="70"/>
      <c r="AE59" s="70"/>
      <c r="AF59" s="70"/>
      <c r="AG59" s="70"/>
      <c r="AH59" s="70"/>
      <c r="AI59" s="70"/>
      <c r="AJ59" s="70"/>
      <c r="AK59" s="70"/>
      <c r="AL59" s="70"/>
      <c r="AM59" s="70"/>
      <c r="AN59" s="70"/>
      <c r="AO59" s="70"/>
      <c r="AP59" s="70"/>
      <c r="AQ59" s="70"/>
      <c r="AR59" s="70"/>
      <c r="AS59" s="70"/>
      <c r="AT59" s="70"/>
      <c r="AU59" s="70"/>
      <c r="AV59" s="70"/>
      <c r="AW59" s="70"/>
      <c r="AX59" s="70"/>
      <c r="AY59" s="70"/>
      <c r="AZ59" s="70">
        <v>23040</v>
      </c>
      <c r="BA59" s="70"/>
      <c r="BB59" s="18"/>
      <c r="BC59" s="18"/>
      <c r="BD59" s="70"/>
      <c r="BE59" s="70"/>
      <c r="BP59" s="19"/>
      <c r="CL59" s="14"/>
    </row>
    <row r="60" spans="1:90" ht="32.25" customHeight="1" x14ac:dyDescent="0.25">
      <c r="A60" s="12" t="s">
        <v>5</v>
      </c>
      <c r="B60" s="15" t="s">
        <v>430</v>
      </c>
      <c r="C60" s="15" t="s">
        <v>430</v>
      </c>
      <c r="D60" s="18" t="s">
        <v>390</v>
      </c>
      <c r="E60" s="71" t="s">
        <v>431</v>
      </c>
      <c r="F60" s="71" t="s">
        <v>428</v>
      </c>
      <c r="G60" s="70">
        <v>127200</v>
      </c>
      <c r="H60" s="70">
        <v>58600</v>
      </c>
      <c r="I60" s="37">
        <v>0.5</v>
      </c>
      <c r="J60" s="15">
        <v>0</v>
      </c>
      <c r="K60" s="17"/>
      <c r="L60" s="15" t="s">
        <v>204</v>
      </c>
      <c r="M60" s="15"/>
      <c r="N60" s="15"/>
      <c r="O60" s="17">
        <v>42888</v>
      </c>
      <c r="P60" s="70">
        <f>Tableau_Lancer_la_requête_à_partir_de_Excel_Files[[#This Row],[Aide Massif Obtenue]]+Tableau_Lancer_la_requête_à_partir_de_Excel_Files[[#This Row],[Autre Public2]]</f>
        <v>58600</v>
      </c>
      <c r="Q60" s="13">
        <f>(Tableau_Lancer_la_requête_à_partir_de_Excel_Files[[#This Row],[Autre Public2]]+Tableau_Lancer_la_requête_à_partir_de_Excel_Files[[#This Row],[Aide Massif Obtenue]])/Tableau_Lancer_la_requête_à_partir_de_Excel_Files[[#This Row],[Coût total déposé]]</f>
        <v>0.46069182389937108</v>
      </c>
      <c r="R60" s="70">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58600</v>
      </c>
      <c r="S60" s="72">
        <f>Tableau_Lancer_la_requête_à_partir_de_Excel_Files[[#This Row],[Aide Massif Obtenue]]/Tableau_Lancer_la_requête_à_partir_de_Excel_Files[[#This Row],[Coût total déposé]]</f>
        <v>0.46069182389937108</v>
      </c>
      <c r="T60" s="70">
        <f>Tableau_Lancer_la_requête_à_partir_de_Excel_Files[[#This Row],[Aide Publique Obtenue]]-Tableau_Lancer_la_requête_à_partir_de_Excel_Files[[#This Row],[Aide Publique demandée]]</f>
        <v>0</v>
      </c>
      <c r="U60" s="70">
        <f>Tableau_Lancer_la_requête_à_partir_de_Excel_Files[[#This Row],[FNADT_FN2]]+Tableau_Lancer_la_requête_à_partir_de_Excel_Files[[#This Row],[AgricultureFN2]]</f>
        <v>58600</v>
      </c>
      <c r="V60" s="70">
        <v>58600</v>
      </c>
      <c r="W60" s="70"/>
      <c r="X60" s="70">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60" s="70"/>
      <c r="Z60" s="70"/>
      <c r="AA60" s="70"/>
      <c r="AB60" s="70"/>
      <c r="AC60" s="70">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18"/>
      <c r="BC60" s="18"/>
      <c r="BD60" s="70"/>
      <c r="BE60" s="70"/>
      <c r="BP60" s="19"/>
      <c r="CL60" s="14"/>
    </row>
    <row r="61" spans="1:90" ht="32.25" customHeight="1" x14ac:dyDescent="0.25">
      <c r="A61" s="12" t="s">
        <v>5</v>
      </c>
      <c r="B61" s="15" t="s">
        <v>433</v>
      </c>
      <c r="C61" s="15" t="s">
        <v>433</v>
      </c>
      <c r="D61" s="18" t="s">
        <v>390</v>
      </c>
      <c r="E61" s="71" t="s">
        <v>435</v>
      </c>
      <c r="F61" s="71" t="s">
        <v>428</v>
      </c>
      <c r="G61" s="70">
        <v>139370</v>
      </c>
      <c r="H61" s="70">
        <v>69685</v>
      </c>
      <c r="I61" s="37">
        <v>0.5</v>
      </c>
      <c r="J61" s="15">
        <v>0</v>
      </c>
      <c r="K61" s="17"/>
      <c r="L61" s="15" t="s">
        <v>204</v>
      </c>
      <c r="M61" s="15"/>
      <c r="N61" s="15"/>
      <c r="O61" s="17">
        <v>42898</v>
      </c>
      <c r="P61" s="70">
        <f>Tableau_Lancer_la_requête_à_partir_de_Excel_Files[[#This Row],[Aide Massif Obtenue]]+Tableau_Lancer_la_requête_à_partir_de_Excel_Files[[#This Row],[Autre Public2]]</f>
        <v>69685</v>
      </c>
      <c r="Q61" s="13">
        <f>(Tableau_Lancer_la_requête_à_partir_de_Excel_Files[[#This Row],[Autre Public2]]+Tableau_Lancer_la_requête_à_partir_de_Excel_Files[[#This Row],[Aide Massif Obtenue]])/Tableau_Lancer_la_requête_à_partir_de_Excel_Files[[#This Row],[Coût total déposé]]</f>
        <v>0.5</v>
      </c>
      <c r="R61" s="70">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69685</v>
      </c>
      <c r="S61" s="16">
        <f>Tableau_Lancer_la_requête_à_partir_de_Excel_Files[[#This Row],[Aide Massif Obtenue]]/Tableau_Lancer_la_requête_à_partir_de_Excel_Files[[#This Row],[Coût total déposé]]</f>
        <v>0.5</v>
      </c>
      <c r="T61" s="70">
        <f>Tableau_Lancer_la_requête_à_partir_de_Excel_Files[[#This Row],[Aide Publique Obtenue]]-Tableau_Lancer_la_requête_à_partir_de_Excel_Files[[#This Row],[Aide Publique demandée]]</f>
        <v>0</v>
      </c>
      <c r="U61" s="70">
        <f>Tableau_Lancer_la_requête_à_partir_de_Excel_Files[[#This Row],[FNADT_FN2]]+Tableau_Lancer_la_requête_à_partir_de_Excel_Files[[#This Row],[AgricultureFN2]]</f>
        <v>69685</v>
      </c>
      <c r="V61" s="70">
        <v>69685</v>
      </c>
      <c r="W61" s="70"/>
      <c r="X61" s="70">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61" s="70"/>
      <c r="Z61" s="70"/>
      <c r="AA61" s="70"/>
      <c r="AB61" s="70"/>
      <c r="AC61" s="70">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18"/>
      <c r="BC61" s="18"/>
      <c r="BD61" s="70"/>
      <c r="BE61" s="70"/>
      <c r="BP61" s="19"/>
      <c r="CL61" s="14"/>
    </row>
    <row r="62" spans="1:90" ht="32.25" customHeight="1" x14ac:dyDescent="0.25">
      <c r="A62" s="12" t="s">
        <v>5</v>
      </c>
      <c r="B62" s="15" t="s">
        <v>437</v>
      </c>
      <c r="C62" s="15" t="s">
        <v>437</v>
      </c>
      <c r="D62" s="18" t="s">
        <v>390</v>
      </c>
      <c r="E62" s="71" t="s">
        <v>438</v>
      </c>
      <c r="F62" s="71" t="s">
        <v>428</v>
      </c>
      <c r="G62" s="70">
        <v>67774</v>
      </c>
      <c r="H62" s="70">
        <v>33887</v>
      </c>
      <c r="I62" s="37">
        <v>0.5</v>
      </c>
      <c r="J62" s="15"/>
      <c r="K62" s="17"/>
      <c r="L62" s="15" t="s">
        <v>204</v>
      </c>
      <c r="M62" s="15"/>
      <c r="N62" s="15"/>
      <c r="O62" s="17">
        <v>42899</v>
      </c>
      <c r="P62" s="70">
        <f>Tableau_Lancer_la_requête_à_partir_de_Excel_Files[[#This Row],[Aide Massif Obtenue]]+Tableau_Lancer_la_requête_à_partir_de_Excel_Files[[#This Row],[Autre Public2]]</f>
        <v>33887</v>
      </c>
      <c r="Q62" s="13">
        <f>(Tableau_Lancer_la_requête_à_partir_de_Excel_Files[[#This Row],[Autre Public2]]+Tableau_Lancer_la_requête_à_partir_de_Excel_Files[[#This Row],[Aide Massif Obtenue]])/Tableau_Lancer_la_requête_à_partir_de_Excel_Files[[#This Row],[Coût total déposé]]</f>
        <v>0.5</v>
      </c>
      <c r="R62" s="70">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33887</v>
      </c>
      <c r="S62" s="72">
        <f>Tableau_Lancer_la_requête_à_partir_de_Excel_Files[[#This Row],[Aide Massif Obtenue]]/Tableau_Lancer_la_requête_à_partir_de_Excel_Files[[#This Row],[Coût total déposé]]</f>
        <v>0.5</v>
      </c>
      <c r="T62" s="70">
        <f>Tableau_Lancer_la_requête_à_partir_de_Excel_Files[[#This Row],[Aide Publique Obtenue]]-Tableau_Lancer_la_requête_à_partir_de_Excel_Files[[#This Row],[Aide Publique demandée]]</f>
        <v>0</v>
      </c>
      <c r="U62" s="70">
        <v>33887</v>
      </c>
      <c r="V62" s="70">
        <v>33887</v>
      </c>
      <c r="W62" s="70"/>
      <c r="X62" s="70">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62" s="70"/>
      <c r="Z62" s="70"/>
      <c r="AA62" s="70"/>
      <c r="AB62" s="70"/>
      <c r="AC62" s="70">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18"/>
      <c r="BC62" s="18"/>
      <c r="BD62" s="70"/>
      <c r="BE62" s="70"/>
      <c r="BP62" s="19"/>
      <c r="CL62" s="14"/>
    </row>
    <row r="63" spans="1:90" x14ac:dyDescent="0.25">
      <c r="A63" s="71" t="s">
        <v>19</v>
      </c>
      <c r="B63" s="71">
        <f>SUBTOTAL(103,Tableau_Lancer_la_requête_à_partir_de_Excel_Files[ID_dossier GIP])</f>
        <v>60</v>
      </c>
      <c r="C63" s="71">
        <f>SUBTOTAL(103,Tableau_Lancer_la_requête_à_partir_de_Excel_Files[ID_Synergie])</f>
        <v>51</v>
      </c>
      <c r="D63" s="70"/>
      <c r="E63" s="71"/>
      <c r="F63" s="71"/>
      <c r="G63" s="70">
        <f>SUBTOTAL(109,Tableau_Lancer_la_requête_à_partir_de_Excel_Files[Coût total déposé])</f>
        <v>7693658.838429369</v>
      </c>
      <c r="H63" s="70">
        <f>SUBTOTAL(109,Tableau_Lancer_la_requête_à_partir_de_Excel_Files[Aide Publique demandée])</f>
        <v>5204185.3468967853</v>
      </c>
      <c r="I63" s="70"/>
      <c r="J63" s="70">
        <f>SUBTOTAL(109,Tableau_Lancer_la_requête_à_partir_de_Excel_Files[FEDER Demandé])</f>
        <v>1484268.8184013197</v>
      </c>
      <c r="K63" s="70"/>
      <c r="L63" s="70"/>
      <c r="M63" s="70"/>
      <c r="N63" s="70"/>
      <c r="O63" s="70"/>
      <c r="P63" s="70">
        <f>SUBTOTAL(109,Tableau_Lancer_la_requête_à_partir_de_Excel_Files[Aide Publique Obtenue])</f>
        <v>4427428.6700000018</v>
      </c>
      <c r="Q63" s="70"/>
      <c r="R63" s="70">
        <f>SUBTOTAL(109,Tableau_Lancer_la_requête_à_partir_de_Excel_Files[Aide Massif Obtenue])</f>
        <v>4318306.6700000018</v>
      </c>
      <c r="S63" s="71"/>
      <c r="T63" s="70">
        <f>SUBTOTAL(109,Tableau_Lancer_la_requête_à_partir_de_Excel_Files[Manque])</f>
        <v>-726936.67689678748</v>
      </c>
      <c r="U63" s="70">
        <f>SUBTOTAL(109,Tableau_Lancer_la_requête_à_partir_de_Excel_Files[Total_Etat_FN2 ])</f>
        <v>2171681.37</v>
      </c>
      <c r="V63" s="70">
        <f>SUBTOTAL(109,Tableau_Lancer_la_requête_à_partir_de_Excel_Files[FNADT_FN2])</f>
        <v>1633520.56</v>
      </c>
      <c r="W63" s="70"/>
      <c r="X63" s="70">
        <f>SUBTOTAL(109,Tableau_Lancer_la_requête_à_partir_de_Excel_Files[Total_Regions_FN2 ])</f>
        <v>408959.30000000005</v>
      </c>
      <c r="Y63" s="70">
        <f>SUBTOTAL(109,Tableau_Lancer_la_requête_à_partir_de_Excel_Files[ALPC_FN2])</f>
        <v>126713</v>
      </c>
      <c r="Z63" s="70">
        <f>SUBTOTAL(109,Tableau_Lancer_la_requête_à_partir_de_Excel_Files[AURA_FN2])</f>
        <v>82366.23</v>
      </c>
      <c r="AA63" s="70">
        <f>SUBTOTAL(109,Tableau_Lancer_la_requête_à_partir_de_Excel_Files[BFC_FN2])</f>
        <v>0</v>
      </c>
      <c r="AB63" s="70">
        <f>SUBTOTAL(109,Tableau_Lancer_la_requête_à_partir_de_Excel_Files[LRMP_FN2])</f>
        <v>200680.07</v>
      </c>
      <c r="AC63" s="70">
        <f>SUBTOTAL(109,Tableau_Lancer_la_requête_à_partir_de_Excel_Files[Total_Dpts_FN2 ])</f>
        <v>108312</v>
      </c>
      <c r="AD63" s="70">
        <f>SUBTOTAL(109,Tableau_Lancer_la_requête_à_partir_de_Excel_Files[03_FN2])</f>
        <v>0</v>
      </c>
      <c r="AE63" s="70">
        <f>SUBTOTAL(109,Tableau_Lancer_la_requête_à_partir_de_Excel_Files[07_FN2])</f>
        <v>0</v>
      </c>
      <c r="AF63" s="70">
        <f>SUBTOTAL(109,Tableau_Lancer_la_requête_à_partir_de_Excel_Files[11_FN2])</f>
        <v>0</v>
      </c>
      <c r="AG63" s="70">
        <f>SUBTOTAL(109,Tableau_Lancer_la_requête_à_partir_de_Excel_Files[12_FN2])</f>
        <v>14000</v>
      </c>
      <c r="AH63" s="70">
        <f>SUBTOTAL(109,Tableau_Lancer_la_requête_à_partir_de_Excel_Files[15_FN2])</f>
        <v>0</v>
      </c>
      <c r="AI63" s="70">
        <f>SUBTOTAL(109,Tableau_Lancer_la_requête_à_partir_de_Excel_Files[19_FN2])</f>
        <v>0</v>
      </c>
      <c r="AJ63" s="70">
        <f>SUBTOTAL(109,Tableau_Lancer_la_requête_à_partir_de_Excel_Files[21_FN2])</f>
        <v>0</v>
      </c>
      <c r="AK63" s="70">
        <f>SUBTOTAL(109,Tableau_Lancer_la_requête_à_partir_de_Excel_Files[23_FN2])</f>
        <v>0</v>
      </c>
      <c r="AL63" s="70">
        <f>SUBTOTAL(109,Tableau_Lancer_la_requête_à_partir_de_Excel_Files[30_FN2])</f>
        <v>57120</v>
      </c>
      <c r="AM63" s="70">
        <f>SUBTOTAL(109,Tableau_Lancer_la_requête_à_partir_de_Excel_Files[34_FN2])</f>
        <v>9000</v>
      </c>
      <c r="AN63" s="70">
        <f>SUBTOTAL(109,Tableau_Lancer_la_requête_à_partir_de_Excel_Files[42_FN2])</f>
        <v>0</v>
      </c>
      <c r="AO63" s="70">
        <f>SUBTOTAL(109,Tableau_Lancer_la_requête_à_partir_de_Excel_Files[43_FN2])</f>
        <v>0</v>
      </c>
      <c r="AP63" s="70">
        <f>SUBTOTAL(109,Tableau_Lancer_la_requête_à_partir_de_Excel_Files[46_FN2])</f>
        <v>0</v>
      </c>
      <c r="AQ63" s="70">
        <f>SUBTOTAL(109,Tableau_Lancer_la_requête_à_partir_de_Excel_Files[48_FN2])</f>
        <v>0</v>
      </c>
      <c r="AR63" s="70">
        <f>SUBTOTAL(109,Tableau_Lancer_la_requête_à_partir_de_Excel_Files[58_FN2])</f>
        <v>0</v>
      </c>
      <c r="AS63" s="70">
        <f>SUBTOTAL(109,Tableau_Lancer_la_requête_à_partir_de_Excel_Files[63_FN2])</f>
        <v>0</v>
      </c>
      <c r="AT63" s="70">
        <f>SUBTOTAL(109,Tableau_Lancer_la_requête_à_partir_de_Excel_Files[69_FN2])</f>
        <v>0</v>
      </c>
      <c r="AU63" s="70">
        <f>SUBTOTAL(109,Tableau_Lancer_la_requête_à_partir_de_Excel_Files[71_FN2])</f>
        <v>0</v>
      </c>
      <c r="AV63" s="70">
        <f>SUBTOTAL(109,Tableau_Lancer_la_requête_à_partir_de_Excel_Files[81_FN2])</f>
        <v>0</v>
      </c>
      <c r="AW63" s="70">
        <f>SUBTOTAL(109,Tableau_Lancer_la_requête_à_partir_de_Excel_Files[82_FN2])</f>
        <v>28192</v>
      </c>
      <c r="AX63" s="70">
        <f>SUBTOTAL(109,Tableau_Lancer_la_requête_à_partir_de_Excel_Files[87_FN2])</f>
        <v>0</v>
      </c>
      <c r="AY63" s="70">
        <f>SUBTOTAL(109,Tableau_Lancer_la_requête_à_partir_de_Excel_Files[89_FN2])</f>
        <v>0</v>
      </c>
      <c r="AZ63" s="70">
        <f>SUBTOTAL(109,Tableau_Lancer_la_requête_à_partir_de_Excel_Files[Autre Public2])</f>
        <v>109122</v>
      </c>
      <c r="BA63" s="70">
        <f>SUBTOTAL(109,Tableau_Lancer_la_requête_à_partir_de_Excel_Files[''Prévisionnel FEDER''])</f>
        <v>1629354</v>
      </c>
      <c r="BB63" s="70"/>
      <c r="BC63" s="70"/>
      <c r="BD63" s="71"/>
      <c r="BE63" s="71"/>
      <c r="BP63" s="19"/>
      <c r="CL63" s="14"/>
    </row>
    <row r="64" spans="1:90" x14ac:dyDescent="0.25">
      <c r="U64" s="75">
        <f>2172107.37-113700-61000</f>
        <v>1997407.37</v>
      </c>
      <c r="V64" s="14">
        <f>Tableau_Lancer_la_requête_à_partir_de_Excel_Files[[#Totals],[FNADT_FN2]]-113700-61000</f>
        <v>1458820.56</v>
      </c>
      <c r="X64" s="14">
        <f>Tableau_Lancer_la_requête_à_partir_de_Excel_Files[[#Totals],[Total_Regions_FN2 ]]+90650+20592.62</f>
        <v>520201.92000000004</v>
      </c>
      <c r="BP64" s="19"/>
      <c r="CL64" s="14"/>
    </row>
    <row r="65" spans="68:90" x14ac:dyDescent="0.25">
      <c r="BP65" s="19"/>
      <c r="CL65" s="14"/>
    </row>
    <row r="66" spans="68:90" x14ac:dyDescent="0.25">
      <c r="BP66" s="19"/>
      <c r="CL66" s="14"/>
    </row>
    <row r="67" spans="68:90" x14ac:dyDescent="0.25">
      <c r="BP67" s="19"/>
      <c r="CL67" s="14"/>
    </row>
    <row r="68" spans="68:90" x14ac:dyDescent="0.25">
      <c r="BP68" s="19"/>
      <c r="CL68" s="14"/>
    </row>
    <row r="69" spans="68:90" x14ac:dyDescent="0.25">
      <c r="BP69" s="19"/>
      <c r="CL69" s="14"/>
    </row>
    <row r="70" spans="68:90" x14ac:dyDescent="0.25">
      <c r="BP70" s="19"/>
      <c r="CL70" s="14"/>
    </row>
    <row r="71" spans="68:90" x14ac:dyDescent="0.25">
      <c r="BP71" s="19"/>
      <c r="CL71" s="14"/>
    </row>
    <row r="72" spans="68:90" x14ac:dyDescent="0.25">
      <c r="BP72" s="19"/>
      <c r="CL72" s="14"/>
    </row>
    <row r="73" spans="68:90" x14ac:dyDescent="0.25">
      <c r="BP73" s="19"/>
      <c r="CL73" s="14"/>
    </row>
    <row r="74" spans="68:90" x14ac:dyDescent="0.25">
      <c r="BP74" s="19"/>
      <c r="CL74" s="14"/>
    </row>
    <row r="75" spans="68:90" x14ac:dyDescent="0.25">
      <c r="BP75" s="19"/>
      <c r="CL75" s="14"/>
    </row>
    <row r="76" spans="68:90" x14ac:dyDescent="0.25">
      <c r="BP76" s="19"/>
      <c r="CL76" s="14"/>
    </row>
    <row r="77" spans="68:90" x14ac:dyDescent="0.25">
      <c r="BP77" s="19"/>
      <c r="CL77" s="14"/>
    </row>
    <row r="78" spans="68:90" x14ac:dyDescent="0.25">
      <c r="BP78" s="19"/>
      <c r="CL78" s="14"/>
    </row>
    <row r="79" spans="68:90" x14ac:dyDescent="0.25">
      <c r="BP79" s="19"/>
      <c r="CL79" s="14"/>
    </row>
    <row r="80" spans="68:90" x14ac:dyDescent="0.25">
      <c r="BP80" s="19"/>
      <c r="CL80" s="14"/>
    </row>
    <row r="81" spans="68:90" x14ac:dyDescent="0.25">
      <c r="BP81" s="19"/>
      <c r="CL81" s="14"/>
    </row>
    <row r="82" spans="68:90" x14ac:dyDescent="0.25">
      <c r="BP82" s="19"/>
      <c r="CL82" s="14"/>
    </row>
    <row r="83" spans="68:90" x14ac:dyDescent="0.25">
      <c r="BP83" s="19"/>
      <c r="CL83" s="14"/>
    </row>
    <row r="84" spans="68:90" x14ac:dyDescent="0.25">
      <c r="BP84" s="19"/>
      <c r="CL84" s="14"/>
    </row>
    <row r="85" spans="68:90" x14ac:dyDescent="0.25">
      <c r="BP85" s="19"/>
      <c r="CL85" s="14"/>
    </row>
    <row r="86" spans="68:90" x14ac:dyDescent="0.25">
      <c r="BP86" s="19"/>
      <c r="CL86" s="14"/>
    </row>
    <row r="87" spans="68:90" x14ac:dyDescent="0.25">
      <c r="BP87" s="19"/>
      <c r="CL87" s="14"/>
    </row>
    <row r="88" spans="68:90" x14ac:dyDescent="0.25">
      <c r="BP88" s="19"/>
      <c r="CL88" s="14"/>
    </row>
    <row r="89" spans="68:90" x14ac:dyDescent="0.25">
      <c r="BP89" s="19"/>
      <c r="CL89" s="14"/>
    </row>
    <row r="90" spans="68:90" x14ac:dyDescent="0.25">
      <c r="BP90" s="19"/>
      <c r="CL90" s="14"/>
    </row>
    <row r="91" spans="68:90" x14ac:dyDescent="0.25">
      <c r="BP91" s="19"/>
      <c r="CL91" s="14"/>
    </row>
    <row r="92" spans="68:90" x14ac:dyDescent="0.25">
      <c r="BP92" s="19"/>
      <c r="CL92" s="14"/>
    </row>
    <row r="93" spans="68:90" x14ac:dyDescent="0.25">
      <c r="BP93" s="19"/>
      <c r="CL93" s="14"/>
    </row>
    <row r="94" spans="68:90" x14ac:dyDescent="0.25">
      <c r="BP94" s="19"/>
      <c r="CL94" s="14"/>
    </row>
    <row r="95" spans="68:90" x14ac:dyDescent="0.25">
      <c r="BP95" s="19"/>
      <c r="CL95" s="14"/>
    </row>
    <row r="96" spans="68:90" x14ac:dyDescent="0.25">
      <c r="BP96" s="19"/>
      <c r="CL96" s="14"/>
    </row>
    <row r="97" spans="68:90" x14ac:dyDescent="0.25">
      <c r="BP97" s="19"/>
      <c r="CL97" s="14"/>
    </row>
  </sheetData>
  <mergeCells count="1">
    <mergeCell ref="U1:AZ1"/>
  </mergeCells>
  <conditionalFormatting sqref="J64:J1048576 T2:T62">
    <cfRule type="cellIs" dxfId="219" priority="6" operator="greaterThan">
      <formula>0</formula>
    </cfRule>
    <cfRule type="cellIs" dxfId="218" priority="7" operator="lessThan">
      <formula>0</formula>
    </cfRule>
  </conditionalFormatting>
  <conditionalFormatting sqref="T63">
    <cfRule type="cellIs" dxfId="217" priority="4" operator="greaterThan">
      <formula>0</formula>
    </cfRule>
    <cfRule type="cellIs" dxfId="216" priority="5" operator="lessThan">
      <formula>0</formula>
    </cfRule>
  </conditionalFormatting>
  <conditionalFormatting sqref="O3:O62">
    <cfRule type="cellIs" dxfId="215" priority="1" operator="equal">
      <formula>""</formula>
    </cfRule>
    <cfRule type="cellIs" dxfId="214" priority="2" operator="notEqual">
      <formula>""</formula>
    </cfRule>
  </conditionalFormatting>
  <printOptions horizontalCentered="1"/>
  <pageMargins left="0" right="0" top="0.19685039370078741" bottom="0.19685039370078741" header="0.11811023622047245" footer="0.11811023622047245"/>
  <pageSetup paperSize="8" scale="44" fitToHeight="0" orientation="landscape"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L88"/>
  <sheetViews>
    <sheetView zoomScale="75" zoomScaleNormal="75" workbookViewId="0">
      <selection activeCell="D4" sqref="D4"/>
    </sheetView>
  </sheetViews>
  <sheetFormatPr baseColWidth="10" defaultRowHeight="15" outlineLevelCol="1" x14ac:dyDescent="0.25"/>
  <cols>
    <col min="1" max="1" width="14.5703125" style="3" customWidth="1"/>
    <col min="2" max="2" width="12.140625" style="3" hidden="1" customWidth="1"/>
    <col min="3" max="3" width="16.28515625" style="3" bestFit="1" customWidth="1"/>
    <col min="4" max="4" width="39.85546875" style="3" customWidth="1"/>
    <col min="5" max="5" width="46" style="3" customWidth="1"/>
    <col min="6" max="6" width="14.28515625" style="3" hidden="1" customWidth="1"/>
    <col min="7" max="7" width="18.140625" style="3" hidden="1" customWidth="1"/>
    <col min="8" max="8" width="16" style="3" bestFit="1" customWidth="1"/>
    <col min="9" max="9" width="14.28515625" style="3" bestFit="1" customWidth="1"/>
    <col min="10" max="10" width="13" style="3" bestFit="1" customWidth="1"/>
    <col min="11" max="11" width="13.28515625" style="3" bestFit="1" customWidth="1"/>
    <col min="12" max="12" width="16.140625" style="3" customWidth="1"/>
    <col min="13" max="13" width="9.85546875" style="3" bestFit="1" customWidth="1"/>
    <col min="14" max="14" width="22.5703125" style="3" hidden="1" customWidth="1" outlineLevel="1"/>
    <col min="15" max="15" width="17.28515625" style="3" hidden="1" customWidth="1" outlineLevel="1" collapsed="1"/>
    <col min="16" max="16" width="12.85546875" style="3" bestFit="1" customWidth="1" collapsed="1"/>
    <col min="17" max="20" width="22.5703125" style="3" hidden="1" customWidth="1" outlineLevel="1"/>
    <col min="21" max="21" width="18.85546875" style="3" bestFit="1" customWidth="1" collapsed="1"/>
    <col min="22" max="43" width="22.5703125" style="3" hidden="1" customWidth="1" outlineLevel="1"/>
    <col min="44" max="44" width="12.42578125" style="3" bestFit="1" customWidth="1" collapsed="1"/>
    <col min="45" max="45" width="17.7109375" style="3" bestFit="1" customWidth="1"/>
    <col min="46" max="46" width="17.7109375" style="3" customWidth="1"/>
    <col min="47" max="50" width="22.5703125" style="3" customWidth="1"/>
    <col min="51" max="51" width="21" style="3" customWidth="1" collapsed="1"/>
    <col min="52" max="52" width="15.140625" style="3" customWidth="1"/>
    <col min="53" max="53" width="19.5703125" style="3" customWidth="1"/>
    <col min="54" max="54" width="18" style="3" customWidth="1"/>
    <col min="55" max="55" width="19.140625" style="3" customWidth="1" collapsed="1"/>
    <col min="56" max="56" width="18.28515625" style="3" customWidth="1" collapsed="1"/>
    <col min="57" max="58" width="19.42578125" style="3" customWidth="1" collapsed="1"/>
    <col min="59" max="77" width="12" style="3" customWidth="1"/>
    <col min="78" max="79" width="12" style="3" customWidth="1" collapsed="1"/>
    <col min="80" max="81" width="12" style="3" customWidth="1"/>
    <col min="82" max="82" width="34.5703125" style="3" customWidth="1"/>
    <col min="83" max="83" width="29.28515625" style="3" customWidth="1"/>
    <col min="84" max="84" width="14.28515625" style="3" customWidth="1" collapsed="1"/>
    <col min="85" max="85" width="17.42578125" style="3" customWidth="1" collapsed="1"/>
    <col min="86" max="86" width="11.42578125" style="3" bestFit="1" customWidth="1" collapsed="1"/>
    <col min="87" max="87" width="11.42578125" style="3" customWidth="1"/>
    <col min="88" max="88" width="15.5703125" style="3" bestFit="1" customWidth="1"/>
    <col min="89" max="89" width="36.85546875" style="3" customWidth="1"/>
    <col min="90" max="90" width="10" style="3" customWidth="1"/>
    <col min="91" max="91" width="19.28515625" style="3" customWidth="1"/>
    <col min="92" max="92" width="21.5703125" style="3" customWidth="1" collapsed="1"/>
    <col min="93" max="93" width="9.7109375" style="4" customWidth="1" collapsed="1"/>
    <col min="94" max="114" width="9.7109375" style="4" customWidth="1"/>
    <col min="115" max="115" width="12" style="3" customWidth="1" collapsed="1"/>
    <col min="116" max="116" width="14.28515625" style="3" bestFit="1" customWidth="1" collapsed="1"/>
    <col min="117" max="117" width="17.42578125" style="3" bestFit="1" customWidth="1"/>
    <col min="118" max="118" width="17" style="3" bestFit="1" customWidth="1"/>
    <col min="119" max="119" width="14.7109375" style="3" bestFit="1" customWidth="1"/>
    <col min="120" max="16384" width="11.42578125" style="3"/>
  </cols>
  <sheetData>
    <row r="1" spans="1:114" s="5" customFormat="1" ht="30" x14ac:dyDescent="0.25">
      <c r="A1" s="2" t="s">
        <v>0</v>
      </c>
      <c r="B1" s="2" t="s">
        <v>45</v>
      </c>
      <c r="C1" s="2" t="s">
        <v>18</v>
      </c>
      <c r="D1" s="2" t="s">
        <v>1</v>
      </c>
      <c r="E1" s="2" t="s">
        <v>2</v>
      </c>
      <c r="F1" s="2" t="s">
        <v>3</v>
      </c>
      <c r="G1" s="2" t="s">
        <v>55</v>
      </c>
      <c r="H1" s="2" t="s">
        <v>56</v>
      </c>
      <c r="I1" s="2" t="s">
        <v>51</v>
      </c>
      <c r="J1" s="2" t="s">
        <v>17</v>
      </c>
      <c r="K1" s="2" t="s">
        <v>16</v>
      </c>
      <c r="L1" s="2" t="s">
        <v>15</v>
      </c>
      <c r="M1" s="2" t="s">
        <v>87</v>
      </c>
      <c r="N1" s="2" t="s">
        <v>57</v>
      </c>
      <c r="O1" s="2" t="s">
        <v>58</v>
      </c>
      <c r="P1" s="2" t="s">
        <v>88</v>
      </c>
      <c r="Q1" s="2" t="s">
        <v>61</v>
      </c>
      <c r="R1" s="2" t="s">
        <v>59</v>
      </c>
      <c r="S1" s="2" t="s">
        <v>60</v>
      </c>
      <c r="T1" s="2" t="s">
        <v>62</v>
      </c>
      <c r="U1" s="2" t="s">
        <v>89</v>
      </c>
      <c r="V1" s="2" t="s">
        <v>63</v>
      </c>
      <c r="W1" s="2" t="s">
        <v>64</v>
      </c>
      <c r="X1" s="2" t="s">
        <v>65</v>
      </c>
      <c r="Y1" s="2" t="s">
        <v>66</v>
      </c>
      <c r="Z1" s="2" t="s">
        <v>67</v>
      </c>
      <c r="AA1" s="2" t="s">
        <v>68</v>
      </c>
      <c r="AB1" s="2" t="s">
        <v>69</v>
      </c>
      <c r="AC1" s="2" t="s">
        <v>70</v>
      </c>
      <c r="AD1" s="2" t="s">
        <v>71</v>
      </c>
      <c r="AE1" s="2" t="s">
        <v>72</v>
      </c>
      <c r="AF1" s="2" t="s">
        <v>73</v>
      </c>
      <c r="AG1" s="2" t="s">
        <v>74</v>
      </c>
      <c r="AH1" s="2" t="s">
        <v>75</v>
      </c>
      <c r="AI1" s="2" t="s">
        <v>76</v>
      </c>
      <c r="AJ1" s="2" t="s">
        <v>77</v>
      </c>
      <c r="AK1" s="2" t="s">
        <v>78</v>
      </c>
      <c r="AL1" s="2" t="s">
        <v>79</v>
      </c>
      <c r="AM1" s="2" t="s">
        <v>80</v>
      </c>
      <c r="AN1" s="2" t="s">
        <v>81</v>
      </c>
      <c r="AO1" s="2" t="s">
        <v>82</v>
      </c>
      <c r="AP1" s="2" t="s">
        <v>83</v>
      </c>
      <c r="AQ1" s="2" t="s">
        <v>84</v>
      </c>
      <c r="AR1" s="2" t="s">
        <v>85</v>
      </c>
      <c r="AS1" s="2" t="s">
        <v>86</v>
      </c>
      <c r="AT1" s="2" t="s">
        <v>46</v>
      </c>
    </row>
    <row r="2" spans="1:114" ht="90" x14ac:dyDescent="0.25">
      <c r="A2" s="2" t="s">
        <v>6</v>
      </c>
      <c r="B2" s="8" t="s">
        <v>111</v>
      </c>
      <c r="C2" s="8" t="s">
        <v>109</v>
      </c>
      <c r="D2" s="1" t="s">
        <v>108</v>
      </c>
      <c r="E2" s="1" t="s">
        <v>110</v>
      </c>
      <c r="F2" s="6">
        <v>66640</v>
      </c>
      <c r="G2" s="6">
        <v>63357.31</v>
      </c>
      <c r="H2" s="6">
        <f>IF(Tableau_Lancer_la_requête_à_partir_de_Excel_Files3[[#This Row],[Coût total Eligible FEDER]]="",Tableau_Lancer_la_requête_à_partir_de_Excel_Files3[[#This Row],[Coût total déposé]],Tableau_Lancer_la_requête_à_partir_de_Excel_Files3[[#This Row],[Coût total Eligible FEDER]])</f>
        <v>63357.31</v>
      </c>
      <c r="I2" s="6">
        <f>Tableau_Lancer_la_requête_à_partir_de_Excel_Files3[[#This Row],[Aide Massif Obtenu]]+Tableau_Lancer_la_requête_à_partir_de_Excel_Files3[[#This Row],[''Autre Public'']]</f>
        <v>63357.31</v>
      </c>
      <c r="J2" s="7">
        <f>Tableau_Lancer_la_requête_à_partir_de_Excel_Files3[[#This Row],[Aide Publique Obtenue]]/Tableau_Lancer_la_requête_à_partir_de_Excel_Files3[[#This Row],[Coût total]]</f>
        <v>1</v>
      </c>
      <c r="K2" s="6">
        <f>Tableau_Lancer_la_requête_à_partir_de_Excel_Files3[[#This Row],[Etat]]+Tableau_Lancer_la_requête_à_partir_de_Excel_Files3[[#This Row],[Régions]]+Tableau_Lancer_la_requête_à_partir_de_Excel_Files3[[#This Row],[Départements]]+Tableau_Lancer_la_requête_à_partir_de_Excel_Files3[[#This Row],[''FEDER'']]</f>
        <v>63357.31</v>
      </c>
      <c r="L2" s="7">
        <f>Tableau_Lancer_la_requête_à_partir_de_Excel_Files3[[#This Row],[Aide Massif Obtenu]]/Tableau_Lancer_la_requête_à_partir_de_Excel_Files3[[#This Row],[Coût total]]</f>
        <v>1</v>
      </c>
      <c r="M2" s="9">
        <f>Tableau_Lancer_la_requête_à_partir_de_Excel_Files3[[#This Row],[''FNADT'']]+Tableau_Lancer_la_requête_à_partir_de_Excel_Files3[[#This Row],[''Agriculture'']]</f>
        <v>0</v>
      </c>
      <c r="N2" s="6"/>
      <c r="O2" s="6"/>
      <c r="P2" s="6">
        <f>Tableau_Lancer_la_requête_à_partir_de_Excel_Files3[[#This Row],[''ALPC'']]+Tableau_Lancer_la_requête_à_partir_de_Excel_Files3[[#This Row],[''AURA'']]+Tableau_Lancer_la_requête_à_partir_de_Excel_Files3[[#This Row],[''BFC'']]+Tableau_Lancer_la_requête_à_partir_de_Excel_Files3[[#This Row],[''LRMP'']]</f>
        <v>33320</v>
      </c>
      <c r="Q2" s="6"/>
      <c r="R2" s="6">
        <v>33320</v>
      </c>
      <c r="S2" s="6"/>
      <c r="T2" s="6"/>
      <c r="U2" s="6">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2" s="6"/>
      <c r="W2" s="6"/>
      <c r="X2" s="6"/>
      <c r="Y2" s="6"/>
      <c r="Z2" s="6"/>
      <c r="AA2" s="6"/>
      <c r="AB2" s="6"/>
      <c r="AC2" s="6"/>
      <c r="AD2" s="6"/>
      <c r="AE2" s="6"/>
      <c r="AF2" s="6"/>
      <c r="AG2" s="6"/>
      <c r="AH2" s="6"/>
      <c r="AI2" s="6"/>
      <c r="AJ2" s="6"/>
      <c r="AK2" s="6"/>
      <c r="AL2" s="6"/>
      <c r="AM2" s="6"/>
      <c r="AN2" s="6"/>
      <c r="AO2" s="6"/>
      <c r="AP2" s="6"/>
      <c r="AQ2" s="6"/>
      <c r="AR2" s="6">
        <v>30037.31</v>
      </c>
      <c r="AS2" s="6">
        <v>0</v>
      </c>
      <c r="AT2" s="6"/>
      <c r="CO2" s="3"/>
      <c r="CP2" s="3"/>
      <c r="CQ2" s="3"/>
      <c r="CR2" s="3"/>
      <c r="CS2" s="3"/>
      <c r="CT2" s="3"/>
      <c r="CU2" s="3"/>
      <c r="CV2" s="3"/>
      <c r="CW2" s="3"/>
      <c r="CX2" s="3"/>
      <c r="CY2" s="3"/>
      <c r="CZ2" s="3"/>
      <c r="DA2" s="3"/>
      <c r="DB2" s="3"/>
      <c r="DC2" s="3"/>
      <c r="DD2" s="3"/>
      <c r="DE2" s="3"/>
      <c r="DF2" s="3"/>
      <c r="DG2" s="3"/>
      <c r="DH2" s="3"/>
      <c r="DI2" s="3"/>
      <c r="DJ2" s="3"/>
    </row>
    <row r="3" spans="1:114" ht="45" x14ac:dyDescent="0.25">
      <c r="A3" s="2" t="s">
        <v>5</v>
      </c>
      <c r="B3" s="8" t="s">
        <v>112</v>
      </c>
      <c r="C3" s="8" t="s">
        <v>112</v>
      </c>
      <c r="D3" s="1" t="s">
        <v>9</v>
      </c>
      <c r="E3" s="1" t="s">
        <v>113</v>
      </c>
      <c r="F3" s="6">
        <v>115699.59997731155</v>
      </c>
      <c r="G3" s="6"/>
      <c r="H3" s="6">
        <f>IF(Tableau_Lancer_la_requête_à_partir_de_Excel_Files3[[#This Row],[Coût total Eligible FEDER]]="",Tableau_Lancer_la_requête_à_partir_de_Excel_Files3[[#This Row],[Coût total déposé]],Tableau_Lancer_la_requête_à_partir_de_Excel_Files3[[#This Row],[Coût total Eligible FEDER]])</f>
        <v>115699.59997731155</v>
      </c>
      <c r="I3" s="6">
        <f>Tableau_Lancer_la_requête_à_partir_de_Excel_Files3[[#This Row],[Aide Massif Obtenu]]+Tableau_Lancer_la_requête_à_partir_de_Excel_Files3[[#This Row],[''Autre Public'']]</f>
        <v>70900</v>
      </c>
      <c r="J3" s="7">
        <f>Tableau_Lancer_la_requête_à_partir_de_Excel_Files3[[#This Row],[Aide Publique Obtenue]]/Tableau_Lancer_la_requête_à_partir_de_Excel_Files3[[#This Row],[Coût total]]</f>
        <v>0.61279382136069049</v>
      </c>
      <c r="K3" s="6">
        <f>Tableau_Lancer_la_requête_à_partir_de_Excel_Files3[[#This Row],[Etat]]+Tableau_Lancer_la_requête_à_partir_de_Excel_Files3[[#This Row],[Régions]]+Tableau_Lancer_la_requête_à_partir_de_Excel_Files3[[#This Row],[Départements]]+Tableau_Lancer_la_requête_à_partir_de_Excel_Files3[[#This Row],[''FEDER'']]</f>
        <v>70900</v>
      </c>
      <c r="L3" s="7">
        <f>Tableau_Lancer_la_requête_à_partir_de_Excel_Files3[[#This Row],[Aide Massif Obtenu]]/Tableau_Lancer_la_requête_à_partir_de_Excel_Files3[[#This Row],[Coût total]]</f>
        <v>0.61279382136069049</v>
      </c>
      <c r="M3" s="9">
        <f>Tableau_Lancer_la_requête_à_partir_de_Excel_Files3[[#This Row],[''FNADT'']]+Tableau_Lancer_la_requête_à_partir_de_Excel_Files3[[#This Row],[''Agriculture'']]</f>
        <v>50900</v>
      </c>
      <c r="N3" s="6">
        <v>50900</v>
      </c>
      <c r="O3" s="6"/>
      <c r="P3" s="6">
        <f>Tableau_Lancer_la_requête_à_partir_de_Excel_Files3[[#This Row],[''ALPC'']]+Tableau_Lancer_la_requête_à_partir_de_Excel_Files3[[#This Row],[''AURA'']]+Tableau_Lancer_la_requête_à_partir_de_Excel_Files3[[#This Row],[''BFC'']]+Tableau_Lancer_la_requête_à_partir_de_Excel_Files3[[#This Row],[''LRMP'']]</f>
        <v>20000</v>
      </c>
      <c r="Q3" s="6"/>
      <c r="R3" s="6">
        <v>20000</v>
      </c>
      <c r="S3" s="6"/>
      <c r="T3" s="6"/>
      <c r="U3" s="6">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3" s="6"/>
      <c r="W3" s="6"/>
      <c r="X3" s="6"/>
      <c r="Y3" s="6"/>
      <c r="Z3" s="6"/>
      <c r="AA3" s="6"/>
      <c r="AB3" s="6"/>
      <c r="AC3" s="6"/>
      <c r="AD3" s="6"/>
      <c r="AE3" s="6"/>
      <c r="AF3" s="6"/>
      <c r="AG3" s="6"/>
      <c r="AH3" s="6"/>
      <c r="AI3" s="6"/>
      <c r="AJ3" s="6"/>
      <c r="AK3" s="6"/>
      <c r="AL3" s="6"/>
      <c r="AM3" s="6"/>
      <c r="AN3" s="6"/>
      <c r="AO3" s="6"/>
      <c r="AP3" s="6"/>
      <c r="AQ3" s="6"/>
      <c r="AR3" s="6">
        <v>0</v>
      </c>
      <c r="AS3" s="6">
        <v>0</v>
      </c>
      <c r="CO3" s="3"/>
      <c r="CP3" s="3"/>
      <c r="CQ3" s="3"/>
      <c r="CR3" s="3"/>
      <c r="CS3" s="3"/>
      <c r="CT3" s="3"/>
      <c r="CU3" s="3"/>
      <c r="CV3" s="3"/>
      <c r="CW3" s="3"/>
      <c r="CX3" s="3"/>
      <c r="CY3" s="3"/>
      <c r="CZ3" s="3"/>
      <c r="DA3" s="3"/>
      <c r="DB3" s="3"/>
      <c r="DC3" s="3"/>
      <c r="DD3" s="3"/>
      <c r="DE3" s="3"/>
      <c r="DF3" s="3"/>
      <c r="DG3" s="3"/>
      <c r="DH3" s="3"/>
      <c r="DI3" s="3"/>
      <c r="DJ3" s="3"/>
    </row>
    <row r="4" spans="1:114" ht="60" x14ac:dyDescent="0.25">
      <c r="A4" s="2" t="s">
        <v>6</v>
      </c>
      <c r="B4" s="8" t="s">
        <v>116</v>
      </c>
      <c r="C4" s="8" t="s">
        <v>114</v>
      </c>
      <c r="D4" s="1" t="s">
        <v>8</v>
      </c>
      <c r="E4" s="1" t="s">
        <v>115</v>
      </c>
      <c r="F4" s="6">
        <v>63672.42</v>
      </c>
      <c r="G4" s="6">
        <v>31836.21</v>
      </c>
      <c r="H4" s="6">
        <f>IF(Tableau_Lancer_la_requête_à_partir_de_Excel_Files3[[#This Row],[Coût total Eligible FEDER]]="",Tableau_Lancer_la_requête_à_partir_de_Excel_Files3[[#This Row],[Coût total déposé]],Tableau_Lancer_la_requête_à_partir_de_Excel_Files3[[#This Row],[Coût total Eligible FEDER]])</f>
        <v>31836.21</v>
      </c>
      <c r="I4" s="6">
        <f>Tableau_Lancer_la_requête_à_partir_de_Excel_Files3[[#This Row],[Aide Massif Obtenu]]+Tableau_Lancer_la_requête_à_partir_de_Excel_Files3[[#This Row],[''Autre Public'']]</f>
        <v>22285.35</v>
      </c>
      <c r="J4" s="7">
        <f>Tableau_Lancer_la_requête_à_partir_de_Excel_Files3[[#This Row],[Aide Publique Obtenue]]/Tableau_Lancer_la_requête_à_partir_de_Excel_Files3[[#This Row],[Coût total]]</f>
        <v>0.70000009423232223</v>
      </c>
      <c r="K4" s="6">
        <f>Tableau_Lancer_la_requête_à_partir_de_Excel_Files3[[#This Row],[Etat]]+Tableau_Lancer_la_requête_à_partir_de_Excel_Files3[[#This Row],[Régions]]+Tableau_Lancer_la_requête_à_partir_de_Excel_Files3[[#This Row],[Départements]]+Tableau_Lancer_la_requête_à_partir_de_Excel_Files3[[#This Row],[''FEDER'']]</f>
        <v>22285.35</v>
      </c>
      <c r="L4" s="7">
        <f>Tableau_Lancer_la_requête_à_partir_de_Excel_Files3[[#This Row],[Aide Massif Obtenu]]/Tableau_Lancer_la_requête_à_partir_de_Excel_Files3[[#This Row],[Coût total]]</f>
        <v>0.70000009423232223</v>
      </c>
      <c r="M4" s="9">
        <f>Tableau_Lancer_la_requête_à_partir_de_Excel_Files3[[#This Row],[''FNADT'']]+Tableau_Lancer_la_requête_à_partir_de_Excel_Files3[[#This Row],[''Agriculture'']]</f>
        <v>6367.24</v>
      </c>
      <c r="N4" s="6">
        <v>6367.24</v>
      </c>
      <c r="O4" s="6"/>
      <c r="P4" s="9">
        <f>Tableau_Lancer_la_requête_à_partir_de_Excel_Files3[[#This Row],[''ALPC'']]+Tableau_Lancer_la_requête_à_partir_de_Excel_Files3[[#This Row],[''AURA'']]+Tableau_Lancer_la_requête_à_partir_de_Excel_Files3[[#This Row],[''BFC'']]+Tableau_Lancer_la_requête_à_partir_de_Excel_Files3[[#This Row],[''LRMP'']]</f>
        <v>0</v>
      </c>
      <c r="Q4" s="6"/>
      <c r="R4" s="6"/>
      <c r="S4" s="6"/>
      <c r="T4" s="6"/>
      <c r="U4"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4" s="6"/>
      <c r="W4" s="6"/>
      <c r="X4" s="6"/>
      <c r="Y4" s="6"/>
      <c r="Z4" s="6"/>
      <c r="AA4" s="6"/>
      <c r="AB4" s="6"/>
      <c r="AC4" s="6"/>
      <c r="AD4" s="6"/>
      <c r="AE4" s="6"/>
      <c r="AF4" s="6"/>
      <c r="AG4" s="6"/>
      <c r="AH4" s="6"/>
      <c r="AI4" s="6"/>
      <c r="AJ4" s="6"/>
      <c r="AK4" s="6"/>
      <c r="AL4" s="6"/>
      <c r="AM4" s="6"/>
      <c r="AN4" s="6"/>
      <c r="AO4" s="6"/>
      <c r="AP4" s="6"/>
      <c r="AQ4" s="6"/>
      <c r="AR4" s="6">
        <v>15918.11</v>
      </c>
      <c r="AS4" s="6">
        <v>0</v>
      </c>
      <c r="AT4" s="6" t="s">
        <v>99</v>
      </c>
      <c r="CO4" s="3"/>
      <c r="CP4" s="3"/>
      <c r="CQ4" s="3"/>
      <c r="CR4" s="3"/>
      <c r="CS4" s="3"/>
      <c r="CT4" s="3"/>
      <c r="CU4" s="3"/>
      <c r="CV4" s="3"/>
      <c r="CW4" s="3"/>
      <c r="CX4" s="3"/>
      <c r="CY4" s="3"/>
      <c r="CZ4" s="3"/>
      <c r="DA4" s="3"/>
      <c r="DB4" s="3"/>
      <c r="DC4" s="3"/>
      <c r="DD4" s="3"/>
      <c r="DE4" s="3"/>
      <c r="DF4" s="3"/>
      <c r="DG4" s="3"/>
      <c r="DH4" s="3"/>
      <c r="DI4" s="3"/>
      <c r="DJ4" s="3"/>
    </row>
    <row r="5" spans="1:114" ht="60" x14ac:dyDescent="0.25">
      <c r="A5" s="2" t="s">
        <v>6</v>
      </c>
      <c r="B5" s="8" t="s">
        <v>118</v>
      </c>
      <c r="C5" s="8" t="s">
        <v>114</v>
      </c>
      <c r="D5" s="11" t="s">
        <v>117</v>
      </c>
      <c r="E5" s="1" t="s">
        <v>115</v>
      </c>
      <c r="F5" s="6">
        <v>248439.94</v>
      </c>
      <c r="G5" s="6">
        <v>123323.97</v>
      </c>
      <c r="H5" s="6">
        <f>IF(Tableau_Lancer_la_requête_à_partir_de_Excel_Files3[[#This Row],[Coût total Eligible FEDER]]="",Tableau_Lancer_la_requête_à_partir_de_Excel_Files3[[#This Row],[Coût total déposé]],Tableau_Lancer_la_requête_à_partir_de_Excel_Files3[[#This Row],[Coût total Eligible FEDER]])</f>
        <v>123323.97</v>
      </c>
      <c r="I5" s="6">
        <f>Tableau_Lancer_la_requête_à_partir_de_Excel_Files3[[#This Row],[Aide Massif Obtenu]]+Tableau_Lancer_la_requête_à_partir_de_Excel_Files3[[#This Row],[''Autre Public'']]</f>
        <v>85538.44</v>
      </c>
      <c r="J5" s="7">
        <f>Tableau_Lancer_la_requête_à_partir_de_Excel_Files3[[#This Row],[Aide Publique Obtenue]]/Tableau_Lancer_la_requête_à_partir_de_Excel_Files3[[#This Row],[Coût total]]</f>
        <v>0.69360757685630781</v>
      </c>
      <c r="K5" s="6">
        <f>Tableau_Lancer_la_requête_à_partir_de_Excel_Files3[[#This Row],[Etat]]+Tableau_Lancer_la_requête_à_partir_de_Excel_Files3[[#This Row],[Régions]]+Tableau_Lancer_la_requête_à_partir_de_Excel_Files3[[#This Row],[Départements]]+Tableau_Lancer_la_requête_à_partir_de_Excel_Files3[[#This Row],[''FEDER'']]</f>
        <v>85538.44</v>
      </c>
      <c r="L5" s="7">
        <f>Tableau_Lancer_la_requête_à_partir_de_Excel_Files3[[#This Row],[Aide Massif Obtenu]]/Tableau_Lancer_la_requête_à_partir_de_Excel_Files3[[#This Row],[Coût total]]</f>
        <v>0.69360757685630781</v>
      </c>
      <c r="M5" s="9">
        <f>Tableau_Lancer_la_requête_à_partir_de_Excel_Files3[[#This Row],[''FNADT'']]+Tableau_Lancer_la_requête_à_partir_de_Excel_Files3[[#This Row],[''Agriculture'']]</f>
        <v>37363</v>
      </c>
      <c r="N5" s="6">
        <v>37363</v>
      </c>
      <c r="O5" s="6"/>
      <c r="P5" s="9">
        <f>Tableau_Lancer_la_requête_à_partir_de_Excel_Files3[[#This Row],[''ALPC'']]+Tableau_Lancer_la_requête_à_partir_de_Excel_Files3[[#This Row],[''AURA'']]+Tableau_Lancer_la_requête_à_partir_de_Excel_Files3[[#This Row],[''BFC'']]+Tableau_Lancer_la_requête_à_partir_de_Excel_Files3[[#This Row],[''LRMP'']]</f>
        <v>11913.44</v>
      </c>
      <c r="Q5" s="6">
        <v>5956.72</v>
      </c>
      <c r="R5" s="6">
        <v>5956.72</v>
      </c>
      <c r="S5" s="6"/>
      <c r="T5" s="6"/>
      <c r="U5"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5" s="6"/>
      <c r="W5" s="6"/>
      <c r="X5" s="6"/>
      <c r="Y5" s="6"/>
      <c r="Z5" s="6"/>
      <c r="AA5" s="6"/>
      <c r="AB5" s="6"/>
      <c r="AC5" s="6"/>
      <c r="AD5" s="6"/>
      <c r="AE5" s="6"/>
      <c r="AF5" s="6"/>
      <c r="AG5" s="6"/>
      <c r="AH5" s="6"/>
      <c r="AI5" s="6"/>
      <c r="AJ5" s="6"/>
      <c r="AK5" s="6"/>
      <c r="AL5" s="6"/>
      <c r="AM5" s="6"/>
      <c r="AN5" s="6"/>
      <c r="AO5" s="6"/>
      <c r="AP5" s="6"/>
      <c r="AQ5" s="6"/>
      <c r="AR5" s="6">
        <v>36262</v>
      </c>
      <c r="AS5" s="6">
        <v>0</v>
      </c>
      <c r="AT5" s="6" t="s">
        <v>99</v>
      </c>
      <c r="CO5" s="3"/>
      <c r="CP5" s="3"/>
      <c r="CQ5" s="3"/>
      <c r="CR5" s="3"/>
      <c r="CS5" s="3"/>
      <c r="CT5" s="3"/>
      <c r="CU5" s="3"/>
      <c r="CV5" s="3"/>
      <c r="CW5" s="3"/>
      <c r="CX5" s="3"/>
      <c r="CY5" s="3"/>
      <c r="CZ5" s="3"/>
      <c r="DA5" s="3"/>
      <c r="DB5" s="3"/>
      <c r="DC5" s="3"/>
      <c r="DD5" s="3"/>
      <c r="DE5" s="3"/>
      <c r="DF5" s="3"/>
      <c r="DG5" s="3"/>
      <c r="DH5" s="3"/>
      <c r="DI5" s="3"/>
      <c r="DJ5" s="3"/>
    </row>
    <row r="6" spans="1:114" ht="60" x14ac:dyDescent="0.25">
      <c r="A6" s="2" t="s">
        <v>6</v>
      </c>
      <c r="B6" s="8" t="s">
        <v>120</v>
      </c>
      <c r="C6" s="8" t="s">
        <v>114</v>
      </c>
      <c r="D6" s="11" t="s">
        <v>119</v>
      </c>
      <c r="E6" s="1" t="s">
        <v>115</v>
      </c>
      <c r="F6" s="6">
        <v>62991.9</v>
      </c>
      <c r="G6" s="6">
        <v>31047.95</v>
      </c>
      <c r="H6" s="6">
        <f>IF(Tableau_Lancer_la_requête_à_partir_de_Excel_Files3[[#This Row],[Coût total Eligible FEDER]]="",Tableau_Lancer_la_requête_à_partir_de_Excel_Files3[[#This Row],[Coût total déposé]],Tableau_Lancer_la_requête_à_partir_de_Excel_Files3[[#This Row],[Coût total Eligible FEDER]])</f>
        <v>31047.95</v>
      </c>
      <c r="I6" s="6">
        <f>Tableau_Lancer_la_requête_à_partir_de_Excel_Files3[[#This Row],[Aide Massif Obtenu]]+Tableau_Lancer_la_requête_à_partir_de_Excel_Files3[[#This Row],[''Autre Public'']]</f>
        <v>21733.57</v>
      </c>
      <c r="J6" s="7">
        <f>Tableau_Lancer_la_requête_à_partir_de_Excel_Files3[[#This Row],[Aide Publique Obtenue]]/Tableau_Lancer_la_requête_à_partir_de_Excel_Files3[[#This Row],[Coût total]]</f>
        <v>0.70000016104122809</v>
      </c>
      <c r="K6" s="6">
        <f>Tableau_Lancer_la_requête_à_partir_de_Excel_Files3[[#This Row],[Etat]]+Tableau_Lancer_la_requête_à_partir_de_Excel_Files3[[#This Row],[Régions]]+Tableau_Lancer_la_requête_à_partir_de_Excel_Files3[[#This Row],[Départements]]+Tableau_Lancer_la_requête_à_partir_de_Excel_Files3[[#This Row],[''FEDER'']]</f>
        <v>21733.57</v>
      </c>
      <c r="L6" s="7">
        <f>Tableau_Lancer_la_requête_à_partir_de_Excel_Files3[[#This Row],[Aide Massif Obtenu]]/Tableau_Lancer_la_requête_à_partir_de_Excel_Files3[[#This Row],[Coût total]]</f>
        <v>0.70000016104122809</v>
      </c>
      <c r="M6" s="9">
        <f>Tableau_Lancer_la_requête_à_partir_de_Excel_Files3[[#This Row],[''FNADT'']]+Tableau_Lancer_la_requête_à_partir_de_Excel_Files3[[#This Row],[''Agriculture'']]</f>
        <v>6209.59</v>
      </c>
      <c r="N6" s="6">
        <v>6209.59</v>
      </c>
      <c r="O6" s="6"/>
      <c r="P6" s="9">
        <f>Tableau_Lancer_la_requête_à_partir_de_Excel_Files3[[#This Row],[''ALPC'']]+Tableau_Lancer_la_requête_à_partir_de_Excel_Files3[[#This Row],[''AURA'']]+Tableau_Lancer_la_requête_à_partir_de_Excel_Files3[[#This Row],[''BFC'']]+Tableau_Lancer_la_requête_à_partir_de_Excel_Files3[[#This Row],[''LRMP'']]</f>
        <v>0</v>
      </c>
      <c r="Q6" s="6"/>
      <c r="R6" s="6"/>
      <c r="S6" s="6"/>
      <c r="T6" s="6"/>
      <c r="U6"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6" s="6"/>
      <c r="W6" s="6"/>
      <c r="X6" s="6"/>
      <c r="Y6" s="6"/>
      <c r="Z6" s="6"/>
      <c r="AA6" s="6"/>
      <c r="AB6" s="6"/>
      <c r="AC6" s="6"/>
      <c r="AD6" s="6"/>
      <c r="AE6" s="6"/>
      <c r="AF6" s="6"/>
      <c r="AG6" s="6"/>
      <c r="AH6" s="6"/>
      <c r="AI6" s="6"/>
      <c r="AJ6" s="6"/>
      <c r="AK6" s="6"/>
      <c r="AL6" s="6"/>
      <c r="AM6" s="6"/>
      <c r="AN6" s="6"/>
      <c r="AO6" s="6"/>
      <c r="AP6" s="6"/>
      <c r="AQ6" s="6"/>
      <c r="AR6" s="6">
        <v>15523.98</v>
      </c>
      <c r="AS6" s="6">
        <v>0</v>
      </c>
      <c r="CO6" s="3"/>
      <c r="CP6" s="3"/>
      <c r="CQ6" s="3"/>
      <c r="CR6" s="3"/>
      <c r="CS6" s="3"/>
      <c r="CT6" s="3"/>
      <c r="CU6" s="3"/>
      <c r="CV6" s="3"/>
      <c r="CW6" s="3"/>
      <c r="CX6" s="3"/>
      <c r="CY6" s="3"/>
      <c r="CZ6" s="3"/>
      <c r="DA6" s="3"/>
      <c r="DB6" s="3"/>
      <c r="DC6" s="3"/>
      <c r="DD6" s="3"/>
      <c r="DE6" s="3"/>
      <c r="DF6" s="3"/>
      <c r="DG6" s="3"/>
      <c r="DH6" s="3"/>
      <c r="DI6" s="3"/>
      <c r="DJ6" s="3"/>
    </row>
    <row r="7" spans="1:114" ht="60" x14ac:dyDescent="0.25">
      <c r="A7" s="2" t="s">
        <v>6</v>
      </c>
      <c r="B7" s="8" t="s">
        <v>122</v>
      </c>
      <c r="C7" s="8" t="s">
        <v>114</v>
      </c>
      <c r="D7" s="11" t="s">
        <v>121</v>
      </c>
      <c r="E7" s="1" t="s">
        <v>115</v>
      </c>
      <c r="F7" s="6">
        <v>62991.64</v>
      </c>
      <c r="G7" s="6">
        <v>31047.82</v>
      </c>
      <c r="H7" s="6">
        <f>IF(Tableau_Lancer_la_requête_à_partir_de_Excel_Files3[[#This Row],[Coût total Eligible FEDER]]="",Tableau_Lancer_la_requête_à_partir_de_Excel_Files3[[#This Row],[Coût total déposé]],Tableau_Lancer_la_requête_à_partir_de_Excel_Files3[[#This Row],[Coût total Eligible FEDER]])</f>
        <v>31047.82</v>
      </c>
      <c r="I7" s="6">
        <f>Tableau_Lancer_la_requête_à_partir_de_Excel_Files3[[#This Row],[Aide Massif Obtenu]]+Tableau_Lancer_la_requête_à_partir_de_Excel_Files3[[#This Row],[''Autre Public'']]</f>
        <v>21733.47</v>
      </c>
      <c r="J7" s="7">
        <f>Tableau_Lancer_la_requête_à_partir_de_Excel_Files3[[#This Row],[Aide Publique Obtenue]]/Tableau_Lancer_la_requête_à_partir_de_Excel_Files3[[#This Row],[Coût total]]</f>
        <v>0.6999998711664781</v>
      </c>
      <c r="K7" s="6">
        <f>Tableau_Lancer_la_requête_à_partir_de_Excel_Files3[[#This Row],[Etat]]+Tableau_Lancer_la_requête_à_partir_de_Excel_Files3[[#This Row],[Régions]]+Tableau_Lancer_la_requête_à_partir_de_Excel_Files3[[#This Row],[Départements]]+Tableau_Lancer_la_requête_à_partir_de_Excel_Files3[[#This Row],[''FEDER'']]</f>
        <v>21733.47</v>
      </c>
      <c r="L7" s="7">
        <f>Tableau_Lancer_la_requête_à_partir_de_Excel_Files3[[#This Row],[Aide Massif Obtenu]]/Tableau_Lancer_la_requête_à_partir_de_Excel_Files3[[#This Row],[Coût total]]</f>
        <v>0.6999998711664781</v>
      </c>
      <c r="M7" s="9">
        <f>Tableau_Lancer_la_requête_à_partir_de_Excel_Files3[[#This Row],[''FNADT'']]+Tableau_Lancer_la_requête_à_partir_de_Excel_Files3[[#This Row],[''Agriculture'']]</f>
        <v>6209.56</v>
      </c>
      <c r="N7" s="6">
        <v>6209.56</v>
      </c>
      <c r="O7" s="6"/>
      <c r="P7" s="9">
        <f>Tableau_Lancer_la_requête_à_partir_de_Excel_Files3[[#This Row],[''ALPC'']]+Tableau_Lancer_la_requête_à_partir_de_Excel_Files3[[#This Row],[''AURA'']]+Tableau_Lancer_la_requête_à_partir_de_Excel_Files3[[#This Row],[''BFC'']]+Tableau_Lancer_la_requête_à_partir_de_Excel_Files3[[#This Row],[''LRMP'']]</f>
        <v>0</v>
      </c>
      <c r="Q7" s="6"/>
      <c r="R7" s="6"/>
      <c r="S7" s="6"/>
      <c r="T7" s="6"/>
      <c r="U7"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7" s="6"/>
      <c r="W7" s="6"/>
      <c r="X7" s="6"/>
      <c r="Y7" s="6"/>
      <c r="Z7" s="6"/>
      <c r="AA7" s="6"/>
      <c r="AB7" s="6"/>
      <c r="AC7" s="6"/>
      <c r="AD7" s="6"/>
      <c r="AE7" s="6"/>
      <c r="AF7" s="6"/>
      <c r="AG7" s="6"/>
      <c r="AH7" s="6"/>
      <c r="AI7" s="6"/>
      <c r="AJ7" s="6"/>
      <c r="AK7" s="6"/>
      <c r="AL7" s="6"/>
      <c r="AM7" s="6"/>
      <c r="AN7" s="6"/>
      <c r="AO7" s="6"/>
      <c r="AP7" s="6"/>
      <c r="AQ7" s="6"/>
      <c r="AR7" s="6">
        <v>15523.91</v>
      </c>
      <c r="AS7" s="6">
        <v>0</v>
      </c>
      <c r="CO7" s="3"/>
      <c r="CP7" s="3"/>
      <c r="CQ7" s="3"/>
      <c r="CR7" s="3"/>
      <c r="CS7" s="3"/>
      <c r="CT7" s="3"/>
      <c r="CU7" s="3"/>
      <c r="CV7" s="3"/>
      <c r="CW7" s="3"/>
      <c r="CX7" s="3"/>
      <c r="CY7" s="3"/>
      <c r="CZ7" s="3"/>
      <c r="DA7" s="3"/>
      <c r="DB7" s="3"/>
      <c r="DC7" s="3"/>
      <c r="DD7" s="3"/>
      <c r="DE7" s="3"/>
      <c r="DF7" s="3"/>
      <c r="DG7" s="3"/>
      <c r="DH7" s="3"/>
      <c r="DI7" s="3"/>
      <c r="DJ7" s="3"/>
    </row>
    <row r="8" spans="1:114" ht="60" x14ac:dyDescent="0.25">
      <c r="A8" s="2" t="s">
        <v>6</v>
      </c>
      <c r="B8" s="8" t="s">
        <v>124</v>
      </c>
      <c r="C8" s="8" t="s">
        <v>114</v>
      </c>
      <c r="D8" s="11" t="s">
        <v>123</v>
      </c>
      <c r="E8" s="1" t="s">
        <v>115</v>
      </c>
      <c r="F8" s="6">
        <v>62991.3</v>
      </c>
      <c r="G8" s="6">
        <v>31047.65</v>
      </c>
      <c r="H8" s="6">
        <f>IF(Tableau_Lancer_la_requête_à_partir_de_Excel_Files3[[#This Row],[Coût total Eligible FEDER]]="",Tableau_Lancer_la_requête_à_partir_de_Excel_Files3[[#This Row],[Coût total déposé]],Tableau_Lancer_la_requête_à_partir_de_Excel_Files3[[#This Row],[Coût total Eligible FEDER]])</f>
        <v>31047.65</v>
      </c>
      <c r="I8" s="6">
        <f>Tableau_Lancer_la_requête_à_partir_de_Excel_Files3[[#This Row],[Aide Massif Obtenu]]+Tableau_Lancer_la_requête_à_partir_de_Excel_Files3[[#This Row],[''Autre Public'']]</f>
        <v>21733.360000000001</v>
      </c>
      <c r="J8" s="7">
        <f>Tableau_Lancer_la_requête_à_partir_de_Excel_Files3[[#This Row],[Aide Publique Obtenue]]/Tableau_Lancer_la_requête_à_partir_de_Excel_Files3[[#This Row],[Coût total]]</f>
        <v>0.70000016104278417</v>
      </c>
      <c r="K8" s="6">
        <f>Tableau_Lancer_la_requête_à_partir_de_Excel_Files3[[#This Row],[Etat]]+Tableau_Lancer_la_requête_à_partir_de_Excel_Files3[[#This Row],[Régions]]+Tableau_Lancer_la_requête_à_partir_de_Excel_Files3[[#This Row],[Départements]]+Tableau_Lancer_la_requête_à_partir_de_Excel_Files3[[#This Row],[''FEDER'']]</f>
        <v>21733.360000000001</v>
      </c>
      <c r="L8" s="7">
        <f>Tableau_Lancer_la_requête_à_partir_de_Excel_Files3[[#This Row],[Aide Massif Obtenu]]/Tableau_Lancer_la_requête_à_partir_de_Excel_Files3[[#This Row],[Coût total]]</f>
        <v>0.70000016104278417</v>
      </c>
      <c r="M8" s="9">
        <f>Tableau_Lancer_la_requête_à_partir_de_Excel_Files3[[#This Row],[''FNADT'']]+Tableau_Lancer_la_requête_à_partir_de_Excel_Files3[[#This Row],[''Agriculture'']]</f>
        <v>6209.53</v>
      </c>
      <c r="N8" s="6">
        <v>6209.53</v>
      </c>
      <c r="O8" s="6"/>
      <c r="P8" s="9">
        <f>Tableau_Lancer_la_requête_à_partir_de_Excel_Files3[[#This Row],[''ALPC'']]+Tableau_Lancer_la_requête_à_partir_de_Excel_Files3[[#This Row],[''AURA'']]+Tableau_Lancer_la_requête_à_partir_de_Excel_Files3[[#This Row],[''BFC'']]+Tableau_Lancer_la_requête_à_partir_de_Excel_Files3[[#This Row],[''LRMP'']]</f>
        <v>0</v>
      </c>
      <c r="Q8" s="6"/>
      <c r="R8" s="6"/>
      <c r="S8" s="6"/>
      <c r="T8" s="6"/>
      <c r="U8"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8" s="6"/>
      <c r="W8" s="6"/>
      <c r="X8" s="6"/>
      <c r="Y8" s="6"/>
      <c r="Z8" s="6"/>
      <c r="AA8" s="6"/>
      <c r="AB8" s="6"/>
      <c r="AC8" s="6"/>
      <c r="AD8" s="6"/>
      <c r="AE8" s="6"/>
      <c r="AF8" s="6"/>
      <c r="AG8" s="6"/>
      <c r="AH8" s="6"/>
      <c r="AI8" s="6"/>
      <c r="AJ8" s="6"/>
      <c r="AK8" s="6"/>
      <c r="AL8" s="6"/>
      <c r="AM8" s="6"/>
      <c r="AN8" s="6"/>
      <c r="AO8" s="6"/>
      <c r="AP8" s="6"/>
      <c r="AQ8" s="6"/>
      <c r="AR8" s="6">
        <v>15523.83</v>
      </c>
      <c r="AS8" s="6">
        <v>0</v>
      </c>
      <c r="AT8" s="6" t="s">
        <v>99</v>
      </c>
      <c r="CO8" s="3"/>
      <c r="CP8" s="3"/>
      <c r="CQ8" s="3"/>
      <c r="CR8" s="3"/>
      <c r="CS8" s="3"/>
      <c r="CT8" s="3"/>
      <c r="CU8" s="3"/>
      <c r="CV8" s="3"/>
      <c r="CW8" s="3"/>
      <c r="CX8" s="3"/>
      <c r="CY8" s="3"/>
      <c r="CZ8" s="3"/>
      <c r="DA8" s="3"/>
      <c r="DB8" s="3"/>
      <c r="DC8" s="3"/>
      <c r="DD8" s="3"/>
      <c r="DE8" s="3"/>
      <c r="DF8" s="3"/>
      <c r="DG8" s="3"/>
      <c r="DH8" s="3"/>
      <c r="DI8" s="3"/>
      <c r="DJ8" s="3"/>
    </row>
    <row r="9" spans="1:114" ht="30" x14ac:dyDescent="0.25">
      <c r="A9" s="2" t="s">
        <v>6</v>
      </c>
      <c r="B9" s="8" t="s">
        <v>128</v>
      </c>
      <c r="C9" s="8" t="s">
        <v>125</v>
      </c>
      <c r="D9" s="11" t="s">
        <v>126</v>
      </c>
      <c r="E9" s="1" t="s">
        <v>127</v>
      </c>
      <c r="F9" s="6">
        <v>99999.85</v>
      </c>
      <c r="G9" s="6">
        <v>96509.28</v>
      </c>
      <c r="H9" s="6">
        <f>IF(Tableau_Lancer_la_requête_à_partir_de_Excel_Files3[[#This Row],[Coût total Eligible FEDER]]="",Tableau_Lancer_la_requête_à_partir_de_Excel_Files3[[#This Row],[Coût total déposé]],Tableau_Lancer_la_requête_à_partir_de_Excel_Files3[[#This Row],[Coût total Eligible FEDER]])</f>
        <v>96509.28</v>
      </c>
      <c r="I9" s="6">
        <f>Tableau_Lancer_la_requête_à_partir_de_Excel_Files3[[#This Row],[Aide Massif Obtenu]]+Tableau_Lancer_la_requête_à_partir_de_Excel_Files3[[#This Row],[''Autre Public'']]</f>
        <v>67556</v>
      </c>
      <c r="J9" s="7">
        <f>Tableau_Lancer_la_requête_à_partir_de_Excel_Files3[[#This Row],[Aide Publique Obtenue]]/Tableau_Lancer_la_requête_à_partir_de_Excel_Files3[[#This Row],[Coût total]]</f>
        <v>0.69999486059786165</v>
      </c>
      <c r="K9" s="6">
        <f>Tableau_Lancer_la_requête_à_partir_de_Excel_Files3[[#This Row],[Etat]]+Tableau_Lancer_la_requête_à_partir_de_Excel_Files3[[#This Row],[Régions]]+Tableau_Lancer_la_requête_à_partir_de_Excel_Files3[[#This Row],[Départements]]+Tableau_Lancer_la_requête_à_partir_de_Excel_Files3[[#This Row],[''FEDER'']]</f>
        <v>67556</v>
      </c>
      <c r="L9" s="7">
        <f>Tableau_Lancer_la_requête_à_partir_de_Excel_Files3[[#This Row],[Aide Massif Obtenu]]/Tableau_Lancer_la_requête_à_partir_de_Excel_Files3[[#This Row],[Coût total]]</f>
        <v>0.69999486059786165</v>
      </c>
      <c r="M9" s="9">
        <f>Tableau_Lancer_la_requête_à_partir_de_Excel_Files3[[#This Row],[''FNADT'']]+Tableau_Lancer_la_requête_à_partir_de_Excel_Files3[[#This Row],[''Agriculture'']]</f>
        <v>30000</v>
      </c>
      <c r="N9" s="6">
        <v>30000</v>
      </c>
      <c r="O9" s="6"/>
      <c r="P9" s="9">
        <f>Tableau_Lancer_la_requête_à_partir_de_Excel_Files3[[#This Row],[''ALPC'']]+Tableau_Lancer_la_requête_à_partir_de_Excel_Files3[[#This Row],[''AURA'']]+Tableau_Lancer_la_requête_à_partir_de_Excel_Files3[[#This Row],[''BFC'']]+Tableau_Lancer_la_requête_à_partir_de_Excel_Files3[[#This Row],[''LRMP'']]</f>
        <v>0</v>
      </c>
      <c r="Q9" s="6"/>
      <c r="R9" s="6"/>
      <c r="S9" s="6"/>
      <c r="T9" s="6"/>
      <c r="U9"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10000</v>
      </c>
      <c r="V9" s="6"/>
      <c r="W9" s="6"/>
      <c r="X9" s="6"/>
      <c r="Y9" s="6"/>
      <c r="Z9" s="6"/>
      <c r="AA9" s="6"/>
      <c r="AB9" s="6"/>
      <c r="AC9" s="6"/>
      <c r="AD9" s="6"/>
      <c r="AE9" s="6"/>
      <c r="AF9" s="6"/>
      <c r="AG9" s="6"/>
      <c r="AH9" s="6"/>
      <c r="AI9" s="6">
        <v>10000</v>
      </c>
      <c r="AJ9" s="6"/>
      <c r="AK9" s="6"/>
      <c r="AL9" s="6"/>
      <c r="AM9" s="6"/>
      <c r="AN9" s="6"/>
      <c r="AO9" s="6"/>
      <c r="AP9" s="6"/>
      <c r="AQ9" s="6"/>
      <c r="AR9" s="6">
        <v>27556</v>
      </c>
      <c r="AS9" s="6">
        <v>0</v>
      </c>
      <c r="CO9" s="3"/>
      <c r="CP9" s="3"/>
      <c r="CQ9" s="3"/>
      <c r="CR9" s="3"/>
      <c r="CS9" s="3"/>
      <c r="CT9" s="3"/>
      <c r="CU9" s="3"/>
      <c r="CV9" s="3"/>
      <c r="CW9" s="3"/>
      <c r="CX9" s="3"/>
      <c r="CY9" s="3"/>
      <c r="CZ9" s="3"/>
      <c r="DA9" s="3"/>
      <c r="DB9" s="3"/>
      <c r="DC9" s="3"/>
      <c r="DD9" s="3"/>
      <c r="DE9" s="3"/>
      <c r="DF9" s="3"/>
      <c r="DG9" s="3"/>
      <c r="DH9" s="3"/>
      <c r="DI9" s="3"/>
      <c r="DJ9" s="3"/>
    </row>
    <row r="10" spans="1:114" ht="45" x14ac:dyDescent="0.25">
      <c r="A10" s="2" t="s">
        <v>6</v>
      </c>
      <c r="B10" s="8" t="s">
        <v>97</v>
      </c>
      <c r="C10" s="8" t="s">
        <v>95</v>
      </c>
      <c r="D10" s="1" t="s">
        <v>91</v>
      </c>
      <c r="E10" s="1" t="s">
        <v>96</v>
      </c>
      <c r="F10" s="6">
        <v>107000</v>
      </c>
      <c r="G10" s="6">
        <v>107000</v>
      </c>
      <c r="H10" s="6">
        <f>IF(Tableau_Lancer_la_requête_à_partir_de_Excel_Files3[[#This Row],[Coût total Eligible FEDER]]="",Tableau_Lancer_la_requête_à_partir_de_Excel_Files3[[#This Row],[Coût total déposé]],Tableau_Lancer_la_requête_à_partir_de_Excel_Files3[[#This Row],[Coût total Eligible FEDER]])</f>
        <v>107000</v>
      </c>
      <c r="I10" s="6">
        <f>Tableau_Lancer_la_requête_à_partir_de_Excel_Files3[[#This Row],[Aide Massif Obtenu]]+Tableau_Lancer_la_requête_à_partir_de_Excel_Files3[[#This Row],[''Autre Public'']]</f>
        <v>74900</v>
      </c>
      <c r="J10" s="7">
        <f>Tableau_Lancer_la_requête_à_partir_de_Excel_Files3[[#This Row],[Aide Publique Obtenue]]/Tableau_Lancer_la_requête_à_partir_de_Excel_Files3[[#This Row],[Coût total]]</f>
        <v>0.7</v>
      </c>
      <c r="K10" s="6">
        <f>Tableau_Lancer_la_requête_à_partir_de_Excel_Files3[[#This Row],[Etat]]+Tableau_Lancer_la_requête_à_partir_de_Excel_Files3[[#This Row],[Régions]]+Tableau_Lancer_la_requête_à_partir_de_Excel_Files3[[#This Row],[Départements]]+Tableau_Lancer_la_requête_à_partir_de_Excel_Files3[[#This Row],[''FEDER'']]</f>
        <v>74900</v>
      </c>
      <c r="L10" s="7">
        <f>Tableau_Lancer_la_requête_à_partir_de_Excel_Files3[[#This Row],[Aide Massif Obtenu]]/Tableau_Lancer_la_requête_à_partir_de_Excel_Files3[[#This Row],[Coût total]]</f>
        <v>0.7</v>
      </c>
      <c r="M10" s="10">
        <f>Tableau_Lancer_la_requête_à_partir_de_Excel_Files3[[#This Row],[''FNADT'']]+Tableau_Lancer_la_requête_à_partir_de_Excel_Files3[[#This Row],[''Agriculture'']]</f>
        <v>0</v>
      </c>
      <c r="N10" s="6"/>
      <c r="O10" s="6"/>
      <c r="P10" s="9">
        <f>Tableau_Lancer_la_requête_à_partir_de_Excel_Files3[[#This Row],[''ALPC'']]+Tableau_Lancer_la_requête_à_partir_de_Excel_Files3[[#This Row],[''AURA'']]+Tableau_Lancer_la_requête_à_partir_de_Excel_Files3[[#This Row],[''BFC'']]+Tableau_Lancer_la_requête_à_partir_de_Excel_Files3[[#This Row],[''LRMP'']]</f>
        <v>32100</v>
      </c>
      <c r="Q10" s="6"/>
      <c r="R10" s="6"/>
      <c r="S10" s="6">
        <v>32100</v>
      </c>
      <c r="T10" s="6"/>
      <c r="U10"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10" s="6"/>
      <c r="W10" s="6"/>
      <c r="X10" s="6"/>
      <c r="Y10" s="6"/>
      <c r="Z10" s="6"/>
      <c r="AA10" s="6"/>
      <c r="AB10" s="6"/>
      <c r="AC10" s="6"/>
      <c r="AD10" s="6"/>
      <c r="AE10" s="6"/>
      <c r="AF10" s="6"/>
      <c r="AG10" s="6"/>
      <c r="AH10" s="6"/>
      <c r="AI10" s="6"/>
      <c r="AJ10" s="6"/>
      <c r="AK10" s="6"/>
      <c r="AL10" s="6"/>
      <c r="AM10" s="6"/>
      <c r="AN10" s="6"/>
      <c r="AO10" s="6"/>
      <c r="AP10" s="6"/>
      <c r="AQ10" s="6"/>
      <c r="AR10" s="6">
        <v>42800</v>
      </c>
      <c r="AS10" s="6">
        <v>0</v>
      </c>
      <c r="AT10" s="6"/>
      <c r="CO10" s="3"/>
      <c r="CP10" s="3"/>
      <c r="CQ10" s="3"/>
      <c r="CR10" s="3"/>
      <c r="CS10" s="3"/>
      <c r="CT10" s="3"/>
      <c r="CU10" s="3"/>
      <c r="CV10" s="3"/>
      <c r="CW10" s="3"/>
      <c r="CX10" s="3"/>
      <c r="CY10" s="3"/>
      <c r="CZ10" s="3"/>
      <c r="DA10" s="3"/>
      <c r="DB10" s="3"/>
      <c r="DC10" s="3"/>
      <c r="DD10" s="3"/>
      <c r="DE10" s="3"/>
      <c r="DF10" s="3"/>
      <c r="DG10" s="3"/>
      <c r="DH10" s="3"/>
      <c r="DI10" s="3"/>
      <c r="DJ10" s="3"/>
    </row>
    <row r="11" spans="1:114" ht="75" x14ac:dyDescent="0.25">
      <c r="A11" s="2" t="s">
        <v>6</v>
      </c>
      <c r="B11" s="8" t="s">
        <v>92</v>
      </c>
      <c r="C11" s="8" t="s">
        <v>242</v>
      </c>
      <c r="D11" s="1" t="s">
        <v>93</v>
      </c>
      <c r="E11" s="1" t="s">
        <v>94</v>
      </c>
      <c r="F11" s="6">
        <v>102244</v>
      </c>
      <c r="G11" s="6">
        <v>102244</v>
      </c>
      <c r="H11" s="6">
        <f>IF(Tableau_Lancer_la_requête_à_partir_de_Excel_Files3[[#This Row],[Coût total Eligible FEDER]]="",Tableau_Lancer_la_requête_à_partir_de_Excel_Files3[[#This Row],[Coût total déposé]],Tableau_Lancer_la_requête_à_partir_de_Excel_Files3[[#This Row],[Coût total Eligible FEDER]])</f>
        <v>102244</v>
      </c>
      <c r="I11" s="6">
        <f>Tableau_Lancer_la_requête_à_partir_de_Excel_Files3[[#This Row],[Aide Massif Obtenu]]+Tableau_Lancer_la_requête_à_partir_de_Excel_Files3[[#This Row],[''Autre Public'']]</f>
        <v>71570.8</v>
      </c>
      <c r="J11" s="7">
        <f>Tableau_Lancer_la_requête_à_partir_de_Excel_Files3[[#This Row],[Aide Publique Obtenue]]/Tableau_Lancer_la_requête_à_partir_de_Excel_Files3[[#This Row],[Coût total]]</f>
        <v>0.70000000000000007</v>
      </c>
      <c r="K11" s="6">
        <f>Tableau_Lancer_la_requête_à_partir_de_Excel_Files3[[#This Row],[Etat]]+Tableau_Lancer_la_requête_à_partir_de_Excel_Files3[[#This Row],[Régions]]+Tableau_Lancer_la_requête_à_partir_de_Excel_Files3[[#This Row],[Départements]]+Tableau_Lancer_la_requête_à_partir_de_Excel_Files3[[#This Row],[''FEDER'']]</f>
        <v>30673.200000000001</v>
      </c>
      <c r="L11" s="7">
        <f>Tableau_Lancer_la_requête_à_partir_de_Excel_Files3[[#This Row],[Aide Massif Obtenu]]/Tableau_Lancer_la_requête_à_partir_de_Excel_Files3[[#This Row],[Coût total]]</f>
        <v>0.3</v>
      </c>
      <c r="M11" s="9">
        <f>Tableau_Lancer_la_requête_à_partir_de_Excel_Files3[[#This Row],[''FNADT'']]+Tableau_Lancer_la_requête_à_partir_de_Excel_Files3[[#This Row],[''Agriculture'']]</f>
        <v>0</v>
      </c>
      <c r="N11" s="6"/>
      <c r="O11" s="6"/>
      <c r="P11" s="9">
        <f>Tableau_Lancer_la_requête_à_partir_de_Excel_Files3[[#This Row],[''ALPC'']]+Tableau_Lancer_la_requête_à_partir_de_Excel_Files3[[#This Row],[''AURA'']]+Tableau_Lancer_la_requête_à_partir_de_Excel_Files3[[#This Row],[''BFC'']]+Tableau_Lancer_la_requête_à_partir_de_Excel_Files3[[#This Row],[''LRMP'']]</f>
        <v>0</v>
      </c>
      <c r="Q11" s="6"/>
      <c r="R11" s="6"/>
      <c r="S11" s="6"/>
      <c r="T11" s="6"/>
      <c r="U11"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11" s="6"/>
      <c r="W11" s="6"/>
      <c r="X11" s="6"/>
      <c r="Y11" s="6"/>
      <c r="Z11" s="6"/>
      <c r="AA11" s="6"/>
      <c r="AB11" s="6"/>
      <c r="AC11" s="6"/>
      <c r="AD11" s="6"/>
      <c r="AE11" s="6"/>
      <c r="AF11" s="6"/>
      <c r="AG11" s="6"/>
      <c r="AH11" s="6"/>
      <c r="AI11" s="6"/>
      <c r="AJ11" s="6"/>
      <c r="AK11" s="6"/>
      <c r="AL11" s="6"/>
      <c r="AM11" s="6"/>
      <c r="AN11" s="6"/>
      <c r="AO11" s="6"/>
      <c r="AP11" s="6"/>
      <c r="AQ11" s="6"/>
      <c r="AR11" s="6">
        <v>30673.200000000001</v>
      </c>
      <c r="AS11" s="6">
        <v>40897.599999999999</v>
      </c>
      <c r="AT11" s="6"/>
      <c r="CO11" s="3"/>
      <c r="CP11" s="3"/>
      <c r="CQ11" s="3"/>
      <c r="CR11" s="3"/>
      <c r="CS11" s="3"/>
      <c r="CT11" s="3"/>
      <c r="CU11" s="3"/>
      <c r="CV11" s="3"/>
      <c r="CW11" s="3"/>
      <c r="CX11" s="3"/>
      <c r="CY11" s="3"/>
      <c r="CZ11" s="3"/>
      <c r="DA11" s="3"/>
      <c r="DB11" s="3"/>
      <c r="DC11" s="3"/>
      <c r="DD11" s="3"/>
      <c r="DE11" s="3"/>
      <c r="DF11" s="3"/>
      <c r="DG11" s="3"/>
      <c r="DH11" s="3"/>
      <c r="DI11" s="3"/>
      <c r="DJ11" s="3"/>
    </row>
    <row r="12" spans="1:114" ht="30" x14ac:dyDescent="0.25">
      <c r="A12" s="2" t="s">
        <v>6</v>
      </c>
      <c r="B12" s="8" t="s">
        <v>132</v>
      </c>
      <c r="C12" s="8" t="s">
        <v>129</v>
      </c>
      <c r="D12" s="1" t="s">
        <v>130</v>
      </c>
      <c r="E12" s="1" t="s">
        <v>131</v>
      </c>
      <c r="F12" s="6">
        <v>75000</v>
      </c>
      <c r="G12" s="6">
        <v>72060.490000000005</v>
      </c>
      <c r="H12" s="6">
        <f>IF(Tableau_Lancer_la_requête_à_partir_de_Excel_Files3[[#This Row],[Coût total Eligible FEDER]]="",Tableau_Lancer_la_requête_à_partir_de_Excel_Files3[[#This Row],[Coût total déposé]],Tableau_Lancer_la_requête_à_partir_de_Excel_Files3[[#This Row],[Coût total Eligible FEDER]])</f>
        <v>72060.490000000005</v>
      </c>
      <c r="I12" s="6">
        <f>Tableau_Lancer_la_requête_à_partir_de_Excel_Files3[[#This Row],[Aide Massif Obtenu]]+Tableau_Lancer_la_requête_à_partir_de_Excel_Files3[[#This Row],[''Autre Public'']]</f>
        <v>50442</v>
      </c>
      <c r="J12" s="7">
        <f>Tableau_Lancer_la_requête_à_partir_de_Excel_Files3[[#This Row],[Aide Publique Obtenue]]/Tableau_Lancer_la_requête_à_partir_de_Excel_Files3[[#This Row],[Coût total]]</f>
        <v>0.69999524011007974</v>
      </c>
      <c r="K12" s="6">
        <f>Tableau_Lancer_la_requête_à_partir_de_Excel_Files3[[#This Row],[Etat]]+Tableau_Lancer_la_requête_à_partir_de_Excel_Files3[[#This Row],[Régions]]+Tableau_Lancer_la_requête_à_partir_de_Excel_Files3[[#This Row],[Départements]]+Tableau_Lancer_la_requête_à_partir_de_Excel_Files3[[#This Row],[''FEDER'']]</f>
        <v>50442</v>
      </c>
      <c r="L12" s="7">
        <f>Tableau_Lancer_la_requête_à_partir_de_Excel_Files3[[#This Row],[Aide Massif Obtenu]]/Tableau_Lancer_la_requête_à_partir_de_Excel_Files3[[#This Row],[Coût total]]</f>
        <v>0.69999524011007974</v>
      </c>
      <c r="M12" s="9">
        <f>Tableau_Lancer_la_requête_à_partir_de_Excel_Files3[[#This Row],[''FNADT'']]+Tableau_Lancer_la_requête_à_partir_de_Excel_Files3[[#This Row],[''Agriculture'']]</f>
        <v>0</v>
      </c>
      <c r="N12" s="6"/>
      <c r="O12" s="6"/>
      <c r="P12" s="9">
        <f>Tableau_Lancer_la_requête_à_partir_de_Excel_Files3[[#This Row],[''ALPC'']]+Tableau_Lancer_la_requête_à_partir_de_Excel_Files3[[#This Row],[''AURA'']]+Tableau_Lancer_la_requête_à_partir_de_Excel_Files3[[#This Row],[''BFC'']]+Tableau_Lancer_la_requête_à_partir_de_Excel_Files3[[#This Row],[''LRMP'']]</f>
        <v>0</v>
      </c>
      <c r="Q12" s="6"/>
      <c r="R12" s="6"/>
      <c r="S12" s="6"/>
      <c r="T12" s="6"/>
      <c r="U12"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12" s="6"/>
      <c r="W12" s="6"/>
      <c r="X12" s="6"/>
      <c r="Y12" s="6"/>
      <c r="Z12" s="6"/>
      <c r="AA12" s="6"/>
      <c r="AB12" s="6"/>
      <c r="AC12" s="6"/>
      <c r="AD12" s="6"/>
      <c r="AE12" s="6"/>
      <c r="AF12" s="6"/>
      <c r="AG12" s="6"/>
      <c r="AH12" s="6"/>
      <c r="AI12" s="6"/>
      <c r="AJ12" s="6"/>
      <c r="AK12" s="6"/>
      <c r="AL12" s="6"/>
      <c r="AM12" s="6"/>
      <c r="AN12" s="6"/>
      <c r="AO12" s="6"/>
      <c r="AP12" s="6"/>
      <c r="AQ12" s="6"/>
      <c r="AR12" s="6">
        <v>50442</v>
      </c>
      <c r="AS12" s="6">
        <v>0</v>
      </c>
      <c r="AT12" s="6"/>
      <c r="CO12" s="3"/>
      <c r="CP12" s="3"/>
      <c r="CQ12" s="3"/>
      <c r="CR12" s="3"/>
      <c r="CS12" s="3"/>
      <c r="CT12" s="3"/>
      <c r="CU12" s="3"/>
      <c r="CV12" s="3"/>
      <c r="CW12" s="3"/>
      <c r="CX12" s="3"/>
      <c r="CY12" s="3"/>
      <c r="CZ12" s="3"/>
      <c r="DA12" s="3"/>
      <c r="DB12" s="3"/>
      <c r="DC12" s="3"/>
      <c r="DD12" s="3"/>
      <c r="DE12" s="3"/>
      <c r="DF12" s="3"/>
      <c r="DG12" s="3"/>
      <c r="DH12" s="3"/>
      <c r="DI12" s="3"/>
      <c r="DJ12" s="3"/>
    </row>
    <row r="13" spans="1:114" ht="30" x14ac:dyDescent="0.25">
      <c r="A13" s="2" t="s">
        <v>5</v>
      </c>
      <c r="B13" s="8" t="s">
        <v>133</v>
      </c>
      <c r="C13" s="8" t="s">
        <v>133</v>
      </c>
      <c r="D13" s="1" t="s">
        <v>134</v>
      </c>
      <c r="E13" s="1" t="s">
        <v>135</v>
      </c>
      <c r="F13" s="6">
        <v>79696.639999999999</v>
      </c>
      <c r="G13" s="6"/>
      <c r="H13" s="6">
        <f>IF(Tableau_Lancer_la_requête_à_partir_de_Excel_Files3[[#This Row],[Coût total Eligible FEDER]]="",Tableau_Lancer_la_requête_à_partir_de_Excel_Files3[[#This Row],[Coût total déposé]],Tableau_Lancer_la_requête_à_partir_de_Excel_Files3[[#This Row],[Coût total Eligible FEDER]])</f>
        <v>79696.639999999999</v>
      </c>
      <c r="I13" s="6">
        <f>Tableau_Lancer_la_requête_à_partir_de_Excel_Files3[[#This Row],[Aide Massif Obtenu]]+Tableau_Lancer_la_requête_à_partir_de_Excel_Files3[[#This Row],[''Autre Public'']]</f>
        <v>55787</v>
      </c>
      <c r="J13" s="7">
        <f>Tableau_Lancer_la_requête_à_partir_de_Excel_Files3[[#This Row],[Aide Publique Obtenue]]/Tableau_Lancer_la_requête_à_partir_de_Excel_Files3[[#This Row],[Coût total]]</f>
        <v>0.69999186916788458</v>
      </c>
      <c r="K13" s="6">
        <f>Tableau_Lancer_la_requête_à_partir_de_Excel_Files3[[#This Row],[Etat]]+Tableau_Lancer_la_requête_à_partir_de_Excel_Files3[[#This Row],[Régions]]+Tableau_Lancer_la_requête_à_partir_de_Excel_Files3[[#This Row],[Départements]]+Tableau_Lancer_la_requête_à_partir_de_Excel_Files3[[#This Row],[''FEDER'']]</f>
        <v>55787</v>
      </c>
      <c r="L13" s="7">
        <f>Tableau_Lancer_la_requête_à_partir_de_Excel_Files3[[#This Row],[Aide Massif Obtenu]]/Tableau_Lancer_la_requête_à_partir_de_Excel_Files3[[#This Row],[Coût total]]</f>
        <v>0.69999186916788458</v>
      </c>
      <c r="M13" s="9">
        <f>Tableau_Lancer_la_requête_à_partir_de_Excel_Files3[[#This Row],[''FNADT'']]+Tableau_Lancer_la_requête_à_partir_de_Excel_Files3[[#This Row],[''Agriculture'']]</f>
        <v>39787</v>
      </c>
      <c r="N13" s="6">
        <v>39787</v>
      </c>
      <c r="O13" s="6"/>
      <c r="P13" s="9">
        <f>Tableau_Lancer_la_requête_à_partir_de_Excel_Files3[[#This Row],[''ALPC'']]+Tableau_Lancer_la_requête_à_partir_de_Excel_Files3[[#This Row],[''AURA'']]+Tableau_Lancer_la_requête_à_partir_de_Excel_Files3[[#This Row],[''BFC'']]+Tableau_Lancer_la_requête_à_partir_de_Excel_Files3[[#This Row],[''LRMP'']]</f>
        <v>16000</v>
      </c>
      <c r="Q13" s="6"/>
      <c r="R13" s="6">
        <v>16000</v>
      </c>
      <c r="S13" s="6"/>
      <c r="T13" s="6"/>
      <c r="U13"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13" s="6"/>
      <c r="W13" s="6"/>
      <c r="X13" s="6"/>
      <c r="Y13" s="6"/>
      <c r="Z13" s="6"/>
      <c r="AA13" s="6"/>
      <c r="AB13" s="6"/>
      <c r="AC13" s="6"/>
      <c r="AD13" s="6"/>
      <c r="AE13" s="6"/>
      <c r="AF13" s="6"/>
      <c r="AG13" s="6"/>
      <c r="AH13" s="6"/>
      <c r="AI13" s="6"/>
      <c r="AJ13" s="6"/>
      <c r="AK13" s="6"/>
      <c r="AL13" s="6"/>
      <c r="AM13" s="6"/>
      <c r="AN13" s="6"/>
      <c r="AO13" s="6"/>
      <c r="AP13" s="6"/>
      <c r="AQ13" s="6"/>
      <c r="AR13" s="6">
        <v>0</v>
      </c>
      <c r="AS13" s="6">
        <v>0</v>
      </c>
      <c r="AT13" s="6"/>
      <c r="CO13" s="3"/>
      <c r="CP13" s="3"/>
      <c r="CQ13" s="3"/>
      <c r="CR13" s="3"/>
      <c r="CS13" s="3"/>
      <c r="CT13" s="3"/>
      <c r="CU13" s="3"/>
      <c r="CV13" s="3"/>
      <c r="CW13" s="3"/>
      <c r="CX13" s="3"/>
      <c r="CY13" s="3"/>
      <c r="CZ13" s="3"/>
      <c r="DA13" s="3"/>
      <c r="DB13" s="3"/>
      <c r="DC13" s="3"/>
      <c r="DD13" s="3"/>
      <c r="DE13" s="3"/>
      <c r="DF13" s="3"/>
      <c r="DG13" s="3"/>
      <c r="DH13" s="3"/>
      <c r="DI13" s="3"/>
      <c r="DJ13" s="3"/>
    </row>
    <row r="14" spans="1:114" ht="45" x14ac:dyDescent="0.25">
      <c r="A14" s="2" t="s">
        <v>6</v>
      </c>
      <c r="B14" s="8" t="s">
        <v>137</v>
      </c>
      <c r="C14" s="8" t="s">
        <v>243</v>
      </c>
      <c r="D14" s="1" t="s">
        <v>7</v>
      </c>
      <c r="E14" s="1" t="s">
        <v>136</v>
      </c>
      <c r="F14" s="6">
        <v>82880</v>
      </c>
      <c r="G14" s="6">
        <v>82880</v>
      </c>
      <c r="H14" s="6">
        <f>IF(Tableau_Lancer_la_requête_à_partir_de_Excel_Files3[[#This Row],[Coût total Eligible FEDER]]="",Tableau_Lancer_la_requête_à_partir_de_Excel_Files3[[#This Row],[Coût total déposé]],Tableau_Lancer_la_requête_à_partir_de_Excel_Files3[[#This Row],[Coût total Eligible FEDER]])</f>
        <v>82880</v>
      </c>
      <c r="I14" s="6">
        <f>Tableau_Lancer_la_requête_à_partir_de_Excel_Files3[[#This Row],[Aide Massif Obtenu]]+Tableau_Lancer_la_requête_à_partir_de_Excel_Files3[[#This Row],[''Autre Public'']]</f>
        <v>57880</v>
      </c>
      <c r="J14" s="7">
        <f>Tableau_Lancer_la_requête_à_partir_de_Excel_Files3[[#This Row],[Aide Publique Obtenue]]/Tableau_Lancer_la_requête_à_partir_de_Excel_Files3[[#This Row],[Coût total]]</f>
        <v>0.69835907335907332</v>
      </c>
      <c r="K14" s="6">
        <f>Tableau_Lancer_la_requête_à_partir_de_Excel_Files3[[#This Row],[Etat]]+Tableau_Lancer_la_requête_à_partir_de_Excel_Files3[[#This Row],[Régions]]+Tableau_Lancer_la_requête_à_partir_de_Excel_Files3[[#This Row],[Départements]]+Tableau_Lancer_la_requête_à_partir_de_Excel_Files3[[#This Row],[''FEDER'']]</f>
        <v>57880</v>
      </c>
      <c r="L14" s="7">
        <f>Tableau_Lancer_la_requête_à_partir_de_Excel_Files3[[#This Row],[Aide Massif Obtenu]]/Tableau_Lancer_la_requête_à_partir_de_Excel_Files3[[#This Row],[Coût total]]</f>
        <v>0.69835907335907332</v>
      </c>
      <c r="M14" s="9">
        <f>Tableau_Lancer_la_requête_à_partir_de_Excel_Files3[[#This Row],[''FNADT'']]+Tableau_Lancer_la_requête_à_partir_de_Excel_Files3[[#This Row],[''Agriculture'']]</f>
        <v>16576</v>
      </c>
      <c r="N14" s="6">
        <v>16576</v>
      </c>
      <c r="O14" s="6"/>
      <c r="P14" s="9">
        <f>Tableau_Lancer_la_requête_à_partir_de_Excel_Files3[[#This Row],[''ALPC'']]+Tableau_Lancer_la_requête_à_partir_de_Excel_Files3[[#This Row],[''AURA'']]+Tableau_Lancer_la_requête_à_partir_de_Excel_Files3[[#This Row],[''BFC'']]+Tableau_Lancer_la_requête_à_partir_de_Excel_Files3[[#This Row],[''LRMP'']]</f>
        <v>0</v>
      </c>
      <c r="Q14" s="6"/>
      <c r="R14" s="6"/>
      <c r="S14" s="6"/>
      <c r="T14" s="6"/>
      <c r="U14"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14" s="6"/>
      <c r="W14" s="6"/>
      <c r="X14" s="6"/>
      <c r="Y14" s="6"/>
      <c r="Z14" s="6"/>
      <c r="AA14" s="6"/>
      <c r="AB14" s="6"/>
      <c r="AC14" s="6"/>
      <c r="AD14" s="6"/>
      <c r="AE14" s="6"/>
      <c r="AF14" s="6"/>
      <c r="AG14" s="6"/>
      <c r="AH14" s="6"/>
      <c r="AI14" s="6"/>
      <c r="AJ14" s="6"/>
      <c r="AK14" s="6"/>
      <c r="AL14" s="6"/>
      <c r="AM14" s="6"/>
      <c r="AN14" s="6"/>
      <c r="AO14" s="6"/>
      <c r="AP14" s="6"/>
      <c r="AQ14" s="6"/>
      <c r="AR14" s="6">
        <v>41304</v>
      </c>
      <c r="AS14" s="6">
        <v>0</v>
      </c>
      <c r="AT14" s="6"/>
      <c r="CO14" s="3"/>
      <c r="CP14" s="3"/>
      <c r="CQ14" s="3"/>
      <c r="CR14" s="3"/>
      <c r="CS14" s="3"/>
      <c r="CT14" s="3"/>
      <c r="CU14" s="3"/>
      <c r="CV14" s="3"/>
      <c r="CW14" s="3"/>
      <c r="CX14" s="3"/>
      <c r="CY14" s="3"/>
      <c r="CZ14" s="3"/>
      <c r="DA14" s="3"/>
      <c r="DB14" s="3"/>
      <c r="DC14" s="3"/>
      <c r="DD14" s="3"/>
      <c r="DE14" s="3"/>
      <c r="DF14" s="3"/>
      <c r="DG14" s="3"/>
      <c r="DH14" s="3"/>
      <c r="DI14" s="3"/>
      <c r="DJ14" s="3"/>
    </row>
    <row r="15" spans="1:114" ht="45" x14ac:dyDescent="0.25">
      <c r="A15" s="2" t="s">
        <v>6</v>
      </c>
      <c r="B15" s="8" t="s">
        <v>139</v>
      </c>
      <c r="C15" s="8" t="s">
        <v>244</v>
      </c>
      <c r="D15" s="1" t="s">
        <v>138</v>
      </c>
      <c r="E15" s="1" t="s">
        <v>136</v>
      </c>
      <c r="F15" s="6">
        <v>260000</v>
      </c>
      <c r="G15" s="6">
        <v>262696.65000000002</v>
      </c>
      <c r="H15" s="6">
        <f>IF(Tableau_Lancer_la_requête_à_partir_de_Excel_Files3[[#This Row],[Coût total Eligible FEDER]]="",Tableau_Lancer_la_requête_à_partir_de_Excel_Files3[[#This Row],[Coût total déposé]],Tableau_Lancer_la_requête_à_partir_de_Excel_Files3[[#This Row],[Coût total Eligible FEDER]])</f>
        <v>262696.65000000002</v>
      </c>
      <c r="I15" s="6">
        <f>Tableau_Lancer_la_requête_à_partir_de_Excel_Files3[[#This Row],[Aide Massif Obtenu]]+Tableau_Lancer_la_requête_à_partir_de_Excel_Files3[[#This Row],[''Autre Public'']]</f>
        <v>130674</v>
      </c>
      <c r="J15" s="7">
        <f>Tableau_Lancer_la_requête_à_partir_de_Excel_Files3[[#This Row],[Aide Publique Obtenue]]/Tableau_Lancer_la_requête_à_partir_de_Excel_Files3[[#This Row],[Coût total]]</f>
        <v>0.4974330658575204</v>
      </c>
      <c r="K15" s="6">
        <f>Tableau_Lancer_la_requête_à_partir_de_Excel_Files3[[#This Row],[Etat]]+Tableau_Lancer_la_requête_à_partir_de_Excel_Files3[[#This Row],[Régions]]+Tableau_Lancer_la_requête_à_partir_de_Excel_Files3[[#This Row],[Départements]]+Tableau_Lancer_la_requête_à_partir_de_Excel_Files3[[#This Row],[''FEDER'']]</f>
        <v>130674</v>
      </c>
      <c r="L15" s="7">
        <f>Tableau_Lancer_la_requête_à_partir_de_Excel_Files3[[#This Row],[Aide Massif Obtenu]]/Tableau_Lancer_la_requête_à_partir_de_Excel_Files3[[#This Row],[Coût total]]</f>
        <v>0.4974330658575204</v>
      </c>
      <c r="M15" s="9">
        <f>Tableau_Lancer_la_requête_à_partir_de_Excel_Files3[[#This Row],[''FNADT'']]+Tableau_Lancer_la_requête_à_partir_de_Excel_Files3[[#This Row],[''Agriculture'']]</f>
        <v>65000</v>
      </c>
      <c r="N15" s="6">
        <v>65000</v>
      </c>
      <c r="O15" s="6"/>
      <c r="P15" s="9">
        <f>Tableau_Lancer_la_requête_à_partir_de_Excel_Files3[[#This Row],[''ALPC'']]+Tableau_Lancer_la_requête_à_partir_de_Excel_Files3[[#This Row],[''AURA'']]+Tableau_Lancer_la_requête_à_partir_de_Excel_Files3[[#This Row],[''BFC'']]+Tableau_Lancer_la_requête_à_partir_de_Excel_Files3[[#This Row],[''LRMP'']]</f>
        <v>0</v>
      </c>
      <c r="Q15" s="6"/>
      <c r="R15" s="6"/>
      <c r="S15" s="6"/>
      <c r="T15" s="6"/>
      <c r="U15"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15" s="6"/>
      <c r="W15" s="6"/>
      <c r="X15" s="6"/>
      <c r="Y15" s="6"/>
      <c r="Z15" s="6"/>
      <c r="AA15" s="6"/>
      <c r="AB15" s="6"/>
      <c r="AC15" s="6"/>
      <c r="AD15" s="6"/>
      <c r="AE15" s="6"/>
      <c r="AF15" s="6"/>
      <c r="AG15" s="6"/>
      <c r="AH15" s="6"/>
      <c r="AI15" s="6"/>
      <c r="AJ15" s="6"/>
      <c r="AK15" s="6"/>
      <c r="AL15" s="6"/>
      <c r="AM15" s="6"/>
      <c r="AN15" s="6"/>
      <c r="AO15" s="6"/>
      <c r="AP15" s="6"/>
      <c r="AQ15" s="6"/>
      <c r="AR15" s="6">
        <v>65674</v>
      </c>
      <c r="AS15" s="6">
        <v>0</v>
      </c>
      <c r="AT15" s="6"/>
      <c r="CO15" s="3"/>
      <c r="CP15" s="3"/>
      <c r="CQ15" s="3"/>
      <c r="CR15" s="3"/>
      <c r="CS15" s="3"/>
      <c r="CT15" s="3"/>
      <c r="CU15" s="3"/>
      <c r="CV15" s="3"/>
      <c r="CW15" s="3"/>
      <c r="CX15" s="3"/>
      <c r="CY15" s="3"/>
      <c r="CZ15" s="3"/>
      <c r="DA15" s="3"/>
      <c r="DB15" s="3"/>
      <c r="DC15" s="3"/>
      <c r="DD15" s="3"/>
      <c r="DE15" s="3"/>
      <c r="DF15" s="3"/>
      <c r="DG15" s="3"/>
      <c r="DH15" s="3"/>
      <c r="DI15" s="3"/>
      <c r="DJ15" s="3"/>
    </row>
    <row r="16" spans="1:114" ht="30" x14ac:dyDescent="0.25">
      <c r="A16" s="2" t="s">
        <v>6</v>
      </c>
      <c r="B16" s="8" t="s">
        <v>143</v>
      </c>
      <c r="C16" s="8" t="s">
        <v>140</v>
      </c>
      <c r="D16" s="1" t="s">
        <v>141</v>
      </c>
      <c r="E16" s="1" t="s">
        <v>142</v>
      </c>
      <c r="F16" s="6">
        <v>126916.25</v>
      </c>
      <c r="G16" s="6">
        <v>126317</v>
      </c>
      <c r="H16" s="6">
        <f>IF(Tableau_Lancer_la_requête_à_partir_de_Excel_Files3[[#This Row],[Coût total Eligible FEDER]]="",Tableau_Lancer_la_requête_à_partir_de_Excel_Files3[[#This Row],[Coût total déposé]],Tableau_Lancer_la_requête_à_partir_de_Excel_Files3[[#This Row],[Coût total Eligible FEDER]])</f>
        <v>126317</v>
      </c>
      <c r="I16" s="6">
        <f>Tableau_Lancer_la_requête_à_partir_de_Excel_Files3[[#This Row],[Aide Massif Obtenu]]+Tableau_Lancer_la_requête_à_partir_de_Excel_Files3[[#This Row],[''Autre Public'']]</f>
        <v>75790</v>
      </c>
      <c r="J16" s="7">
        <f>Tableau_Lancer_la_requête_à_partir_de_Excel_Files3[[#This Row],[Aide Publique Obtenue]]/Tableau_Lancer_la_requête_à_partir_de_Excel_Files3[[#This Row],[Coût total]]</f>
        <v>0.59999841668184017</v>
      </c>
      <c r="K16" s="6">
        <f>Tableau_Lancer_la_requête_à_partir_de_Excel_Files3[[#This Row],[Etat]]+Tableau_Lancer_la_requête_à_partir_de_Excel_Files3[[#This Row],[Régions]]+Tableau_Lancer_la_requête_à_partir_de_Excel_Files3[[#This Row],[Départements]]+Tableau_Lancer_la_requête_à_partir_de_Excel_Files3[[#This Row],[''FEDER'']]</f>
        <v>75790</v>
      </c>
      <c r="L16" s="7">
        <f>Tableau_Lancer_la_requête_à_partir_de_Excel_Files3[[#This Row],[Aide Massif Obtenu]]/Tableau_Lancer_la_requête_à_partir_de_Excel_Files3[[#This Row],[Coût total]]</f>
        <v>0.59999841668184017</v>
      </c>
      <c r="M16" s="9">
        <f>Tableau_Lancer_la_requête_à_partir_de_Excel_Files3[[#This Row],[''FNADT'']]+Tableau_Lancer_la_requête_à_partir_de_Excel_Files3[[#This Row],[''Agriculture'']]</f>
        <v>0</v>
      </c>
      <c r="N16" s="6"/>
      <c r="O16" s="6"/>
      <c r="P16" s="9">
        <f>Tableau_Lancer_la_requête_à_partir_de_Excel_Files3[[#This Row],[''ALPC'']]+Tableau_Lancer_la_requête_à_partir_de_Excel_Files3[[#This Row],[''AURA'']]+Tableau_Lancer_la_requête_à_partir_de_Excel_Files3[[#This Row],[''BFC'']]+Tableau_Lancer_la_requête_à_partir_de_Excel_Files3[[#This Row],[''LRMP'']]</f>
        <v>25383</v>
      </c>
      <c r="Q16" s="6"/>
      <c r="R16" s="6">
        <v>25383</v>
      </c>
      <c r="S16" s="6"/>
      <c r="T16" s="6"/>
      <c r="U16"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16" s="6"/>
      <c r="W16" s="6"/>
      <c r="X16" s="6"/>
      <c r="Y16" s="6"/>
      <c r="Z16" s="6"/>
      <c r="AA16" s="6"/>
      <c r="AB16" s="6"/>
      <c r="AC16" s="6"/>
      <c r="AD16" s="6"/>
      <c r="AE16" s="6"/>
      <c r="AF16" s="6"/>
      <c r="AG16" s="6"/>
      <c r="AH16" s="6"/>
      <c r="AI16" s="6"/>
      <c r="AJ16" s="6"/>
      <c r="AK16" s="6"/>
      <c r="AL16" s="6"/>
      <c r="AM16" s="6"/>
      <c r="AN16" s="6"/>
      <c r="AO16" s="6"/>
      <c r="AP16" s="6"/>
      <c r="AQ16" s="6"/>
      <c r="AR16" s="6">
        <v>50407</v>
      </c>
      <c r="AS16" s="6">
        <v>0</v>
      </c>
      <c r="AT16" s="6"/>
      <c r="CO16" s="3"/>
      <c r="CP16" s="3"/>
      <c r="CQ16" s="3"/>
      <c r="CR16" s="3"/>
      <c r="CS16" s="3"/>
      <c r="CT16" s="3"/>
      <c r="CU16" s="3"/>
      <c r="CV16" s="3"/>
      <c r="CW16" s="3"/>
      <c r="CX16" s="3"/>
      <c r="CY16" s="3"/>
      <c r="CZ16" s="3"/>
      <c r="DA16" s="3"/>
      <c r="DB16" s="3"/>
      <c r="DC16" s="3"/>
      <c r="DD16" s="3"/>
      <c r="DE16" s="3"/>
      <c r="DF16" s="3"/>
      <c r="DG16" s="3"/>
      <c r="DH16" s="3"/>
      <c r="DI16" s="3"/>
      <c r="DJ16" s="3"/>
    </row>
    <row r="17" spans="1:114" x14ac:dyDescent="0.25">
      <c r="A17" s="2" t="s">
        <v>6</v>
      </c>
      <c r="B17" s="8" t="s">
        <v>147</v>
      </c>
      <c r="C17" s="8" t="s">
        <v>144</v>
      </c>
      <c r="D17" s="1" t="s">
        <v>145</v>
      </c>
      <c r="E17" s="1" t="s">
        <v>146</v>
      </c>
      <c r="F17" s="6">
        <v>378718.44</v>
      </c>
      <c r="G17" s="6">
        <v>379249.95</v>
      </c>
      <c r="H17" s="6">
        <f>IF(Tableau_Lancer_la_requête_à_partir_de_Excel_Files3[[#This Row],[Coût total Eligible FEDER]]="",Tableau_Lancer_la_requête_à_partir_de_Excel_Files3[[#This Row],[Coût total déposé]],Tableau_Lancer_la_requête_à_partir_de_Excel_Files3[[#This Row],[Coût total Eligible FEDER]])</f>
        <v>379249.95</v>
      </c>
      <c r="I17" s="6">
        <f>Tableau_Lancer_la_requête_à_partir_de_Excel_Files3[[#This Row],[Aide Massif Obtenu]]+Tableau_Lancer_la_requête_à_partir_de_Excel_Files3[[#This Row],[''Autre Public'']]</f>
        <v>262390.52</v>
      </c>
      <c r="J17" s="7">
        <f>Tableau_Lancer_la_requête_à_partir_de_Excel_Files3[[#This Row],[Aide Publique Obtenue]]/Tableau_Lancer_la_requête_à_partir_de_Excel_Files3[[#This Row],[Coût total]]</f>
        <v>0.69186698640303057</v>
      </c>
      <c r="K17" s="6">
        <f>Tableau_Lancer_la_requête_à_partir_de_Excel_Files3[[#This Row],[Etat]]+Tableau_Lancer_la_requête_à_partir_de_Excel_Files3[[#This Row],[Régions]]+Tableau_Lancer_la_requête_à_partir_de_Excel_Files3[[#This Row],[Départements]]+Tableau_Lancer_la_requête_à_partir_de_Excel_Files3[[#This Row],[''FEDER'']]</f>
        <v>225485.12</v>
      </c>
      <c r="L17" s="7">
        <f>Tableau_Lancer_la_requête_à_partir_de_Excel_Files3[[#This Row],[Aide Massif Obtenu]]/Tableau_Lancer_la_requête_à_partir_de_Excel_Files3[[#This Row],[Coût total]]</f>
        <v>0.59455543764738794</v>
      </c>
      <c r="M17" s="9">
        <f>Tableau_Lancer_la_requête_à_partir_de_Excel_Files3[[#This Row],[''FNADT'']]+Tableau_Lancer_la_requête_à_partir_de_Excel_Files3[[#This Row],[''Agriculture'']]</f>
        <v>90892</v>
      </c>
      <c r="N17" s="6">
        <v>90892</v>
      </c>
      <c r="O17" s="6"/>
      <c r="P17" s="9">
        <f>Tableau_Lancer_la_requête_à_partir_de_Excel_Files3[[#This Row],[''ALPC'']]+Tableau_Lancer_la_requête_à_partir_de_Excel_Files3[[#This Row],[''AURA'']]+Tableau_Lancer_la_requête_à_partir_de_Excel_Files3[[#This Row],[''BFC'']]+Tableau_Lancer_la_requête_à_partir_de_Excel_Files3[[#This Row],[''LRMP'']]</f>
        <v>34593.120000000003</v>
      </c>
      <c r="Q17" s="6"/>
      <c r="R17" s="6">
        <v>34593.120000000003</v>
      </c>
      <c r="S17" s="6"/>
      <c r="T17" s="6"/>
      <c r="U17"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17" s="6"/>
      <c r="W17" s="6"/>
      <c r="X17" s="6"/>
      <c r="Y17" s="6"/>
      <c r="Z17" s="6"/>
      <c r="AA17" s="6"/>
      <c r="AB17" s="6"/>
      <c r="AC17" s="6"/>
      <c r="AD17" s="6"/>
      <c r="AE17" s="6"/>
      <c r="AF17" s="6"/>
      <c r="AG17" s="6"/>
      <c r="AH17" s="6"/>
      <c r="AI17" s="6"/>
      <c r="AJ17" s="6"/>
      <c r="AK17" s="6"/>
      <c r="AL17" s="6"/>
      <c r="AM17" s="6"/>
      <c r="AN17" s="6"/>
      <c r="AO17" s="6"/>
      <c r="AP17" s="6"/>
      <c r="AQ17" s="6"/>
      <c r="AR17" s="6">
        <v>100000</v>
      </c>
      <c r="AS17" s="6">
        <v>36905.4</v>
      </c>
      <c r="AT17" s="6"/>
      <c r="CO17" s="3"/>
      <c r="CP17" s="3"/>
      <c r="CQ17" s="3"/>
      <c r="CR17" s="3"/>
      <c r="CS17" s="3"/>
      <c r="CT17" s="3"/>
      <c r="CU17" s="3"/>
      <c r="CV17" s="3"/>
      <c r="CW17" s="3"/>
      <c r="CX17" s="3"/>
      <c r="CY17" s="3"/>
      <c r="CZ17" s="3"/>
      <c r="DA17" s="3"/>
      <c r="DB17" s="3"/>
      <c r="DC17" s="3"/>
      <c r="DD17" s="3"/>
      <c r="DE17" s="3"/>
      <c r="DF17" s="3"/>
      <c r="DG17" s="3"/>
      <c r="DH17" s="3"/>
      <c r="DI17" s="3"/>
      <c r="DJ17" s="3"/>
    </row>
    <row r="18" spans="1:114" ht="30" x14ac:dyDescent="0.25">
      <c r="A18" s="2" t="s">
        <v>6</v>
      </c>
      <c r="B18" s="8" t="s">
        <v>107</v>
      </c>
      <c r="C18" s="8" t="s">
        <v>104</v>
      </c>
      <c r="D18" s="1" t="s">
        <v>105</v>
      </c>
      <c r="E18" s="1" t="s">
        <v>106</v>
      </c>
      <c r="F18" s="6">
        <v>142851.66</v>
      </c>
      <c r="G18" s="6">
        <v>173402</v>
      </c>
      <c r="H18" s="6">
        <f>IF(Tableau_Lancer_la_requête_à_partir_de_Excel_Files3[[#This Row],[Coût total Eligible FEDER]]="",Tableau_Lancer_la_requête_à_partir_de_Excel_Files3[[#This Row],[Coût total déposé]],Tableau_Lancer_la_requête_à_partir_de_Excel_Files3[[#This Row],[Coût total Eligible FEDER]])</f>
        <v>173402</v>
      </c>
      <c r="I18" s="6">
        <f>Tableau_Lancer_la_requête_à_partir_de_Excel_Files3[[#This Row],[Aide Massif Obtenu]]+Tableau_Lancer_la_requête_à_partir_de_Excel_Files3[[#This Row],[''Autre Public'']]</f>
        <v>108635</v>
      </c>
      <c r="J18" s="7">
        <f>Tableau_Lancer_la_requête_à_partir_de_Excel_Files3[[#This Row],[Aide Publique Obtenue]]/Tableau_Lancer_la_requête_à_partir_de_Excel_Files3[[#This Row],[Coût total]]</f>
        <v>0.62649219732183015</v>
      </c>
      <c r="K18" s="6">
        <f>Tableau_Lancer_la_requête_à_partir_de_Excel_Files3[[#This Row],[Etat]]+Tableau_Lancer_la_requête_à_partir_de_Excel_Files3[[#This Row],[Régions]]+Tableau_Lancer_la_requête_à_partir_de_Excel_Files3[[#This Row],[Départements]]+Tableau_Lancer_la_requête_à_partir_de_Excel_Files3[[#This Row],[''FEDER'']]</f>
        <v>108635</v>
      </c>
      <c r="L18" s="7">
        <f>Tableau_Lancer_la_requête_à_partir_de_Excel_Files3[[#This Row],[Aide Massif Obtenu]]/Tableau_Lancer_la_requête_à_partir_de_Excel_Files3[[#This Row],[Coût total]]</f>
        <v>0.62649219732183015</v>
      </c>
      <c r="M18" s="9">
        <f>Tableau_Lancer_la_requête_à_partir_de_Excel_Files3[[#This Row],[''FNADT'']]+Tableau_Lancer_la_requête_à_partir_de_Excel_Files3[[#This Row],[''Agriculture'']]</f>
        <v>0</v>
      </c>
      <c r="N18" s="6"/>
      <c r="O18" s="6"/>
      <c r="P18" s="9">
        <f>Tableau_Lancer_la_requête_à_partir_de_Excel_Files3[[#This Row],[''ALPC'']]+Tableau_Lancer_la_requête_à_partir_de_Excel_Files3[[#This Row],[''AURA'']]+Tableau_Lancer_la_requête_à_partir_de_Excel_Files3[[#This Row],[''BFC'']]+Tableau_Lancer_la_requête_à_partir_de_Excel_Files3[[#This Row],[''LRMP'']]</f>
        <v>21934</v>
      </c>
      <c r="Q18" s="6">
        <v>21934</v>
      </c>
      <c r="R18" s="6"/>
      <c r="S18" s="6"/>
      <c r="T18" s="6"/>
      <c r="U18"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18" s="6"/>
      <c r="W18" s="6"/>
      <c r="X18" s="6"/>
      <c r="Y18" s="6"/>
      <c r="Z18" s="6"/>
      <c r="AA18" s="6"/>
      <c r="AB18" s="6"/>
      <c r="AC18" s="6"/>
      <c r="AD18" s="6"/>
      <c r="AE18" s="6"/>
      <c r="AF18" s="6"/>
      <c r="AG18" s="6"/>
      <c r="AH18" s="6"/>
      <c r="AI18" s="6"/>
      <c r="AJ18" s="6"/>
      <c r="AK18" s="6"/>
      <c r="AL18" s="6"/>
      <c r="AM18" s="6"/>
      <c r="AN18" s="6"/>
      <c r="AO18" s="6"/>
      <c r="AP18" s="6"/>
      <c r="AQ18" s="6"/>
      <c r="AR18" s="6">
        <v>86701</v>
      </c>
      <c r="AS18" s="6">
        <v>0</v>
      </c>
      <c r="AT18" s="6"/>
      <c r="CO18" s="3"/>
      <c r="CP18" s="3"/>
      <c r="CQ18" s="3"/>
      <c r="CR18" s="3"/>
      <c r="CS18" s="3"/>
      <c r="CT18" s="3"/>
      <c r="CU18" s="3"/>
      <c r="CV18" s="3"/>
      <c r="CW18" s="3"/>
      <c r="CX18" s="3"/>
      <c r="CY18" s="3"/>
      <c r="CZ18" s="3"/>
      <c r="DA18" s="3"/>
      <c r="DB18" s="3"/>
      <c r="DC18" s="3"/>
      <c r="DD18" s="3"/>
      <c r="DE18" s="3"/>
      <c r="DF18" s="3"/>
      <c r="DG18" s="3"/>
      <c r="DH18" s="3"/>
      <c r="DI18" s="3"/>
      <c r="DJ18" s="3"/>
    </row>
    <row r="19" spans="1:114" ht="30" x14ac:dyDescent="0.25">
      <c r="A19" s="2" t="s">
        <v>6</v>
      </c>
      <c r="B19" s="8" t="s">
        <v>151</v>
      </c>
      <c r="C19" s="8" t="s">
        <v>148</v>
      </c>
      <c r="D19" s="1" t="s">
        <v>149</v>
      </c>
      <c r="E19" s="1" t="s">
        <v>150</v>
      </c>
      <c r="F19" s="6">
        <v>100000</v>
      </c>
      <c r="G19" s="6">
        <v>102795</v>
      </c>
      <c r="H19" s="6">
        <f>IF(Tableau_Lancer_la_requête_à_partir_de_Excel_Files3[[#This Row],[Coût total Eligible FEDER]]="",Tableau_Lancer_la_requête_à_partir_de_Excel_Files3[[#This Row],[Coût total déposé]],Tableau_Lancer_la_requête_à_partir_de_Excel_Files3[[#This Row],[Coût total Eligible FEDER]])</f>
        <v>102795</v>
      </c>
      <c r="I19" s="6">
        <f>Tableau_Lancer_la_requête_à_partir_de_Excel_Files3[[#This Row],[Aide Massif Obtenu]]+Tableau_Lancer_la_requête_à_partir_de_Excel_Files3[[#This Row],[''Autre Public'']]</f>
        <v>61118</v>
      </c>
      <c r="J19" s="7">
        <f>Tableau_Lancer_la_requête_à_partir_de_Excel_Files3[[#This Row],[Aide Publique Obtenue]]/Tableau_Lancer_la_requête_à_partir_de_Excel_Files3[[#This Row],[Coût total]]</f>
        <v>0.59456199231480134</v>
      </c>
      <c r="K19" s="6">
        <f>Tableau_Lancer_la_requête_à_partir_de_Excel_Files3[[#This Row],[Etat]]+Tableau_Lancer_la_requête_à_partir_de_Excel_Files3[[#This Row],[Régions]]+Tableau_Lancer_la_requête_à_partir_de_Excel_Files3[[#This Row],[Départements]]+Tableau_Lancer_la_requête_à_partir_de_Excel_Files3[[#This Row],[''FEDER'']]</f>
        <v>61118</v>
      </c>
      <c r="L19" s="7">
        <f>Tableau_Lancer_la_requête_à_partir_de_Excel_Files3[[#This Row],[Aide Massif Obtenu]]/Tableau_Lancer_la_requête_à_partir_de_Excel_Files3[[#This Row],[Coût total]]</f>
        <v>0.59456199231480134</v>
      </c>
      <c r="M19" s="9">
        <f>Tableau_Lancer_la_requête_à_partir_de_Excel_Files3[[#This Row],[''FNADT'']]+Tableau_Lancer_la_requête_à_partir_de_Excel_Files3[[#This Row],[''Agriculture'']]</f>
        <v>20000</v>
      </c>
      <c r="N19" s="6">
        <v>20000</v>
      </c>
      <c r="O19" s="6"/>
      <c r="P19" s="9">
        <f>Tableau_Lancer_la_requête_à_partir_de_Excel_Files3[[#This Row],[''ALPC'']]+Tableau_Lancer_la_requête_à_partir_de_Excel_Files3[[#This Row],[''AURA'']]+Tableau_Lancer_la_requête_à_partir_de_Excel_Files3[[#This Row],[''BFC'']]+Tableau_Lancer_la_requête_à_partir_de_Excel_Files3[[#This Row],[''LRMP'']]</f>
        <v>0</v>
      </c>
      <c r="Q19" s="6"/>
      <c r="R19" s="6"/>
      <c r="S19" s="6"/>
      <c r="T19" s="6"/>
      <c r="U19"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19" s="6"/>
      <c r="W19" s="6"/>
      <c r="X19" s="6"/>
      <c r="Y19" s="6"/>
      <c r="Z19" s="6"/>
      <c r="AA19" s="6"/>
      <c r="AB19" s="6"/>
      <c r="AC19" s="6"/>
      <c r="AD19" s="6"/>
      <c r="AE19" s="6"/>
      <c r="AF19" s="6"/>
      <c r="AG19" s="6"/>
      <c r="AH19" s="6"/>
      <c r="AI19" s="6"/>
      <c r="AJ19" s="6"/>
      <c r="AK19" s="6"/>
      <c r="AL19" s="6"/>
      <c r="AM19" s="6"/>
      <c r="AN19" s="6"/>
      <c r="AO19" s="6"/>
      <c r="AP19" s="6"/>
      <c r="AQ19" s="6"/>
      <c r="AR19" s="6">
        <v>41118</v>
      </c>
      <c r="AS19" s="6">
        <v>0</v>
      </c>
      <c r="AT19" s="6"/>
      <c r="CO19" s="3"/>
      <c r="CP19" s="3"/>
      <c r="CQ19" s="3"/>
      <c r="CR19" s="3"/>
      <c r="CS19" s="3"/>
      <c r="CT19" s="3"/>
      <c r="CU19" s="3"/>
      <c r="CV19" s="3"/>
      <c r="CW19" s="3"/>
      <c r="CX19" s="3"/>
      <c r="CY19" s="3"/>
      <c r="CZ19" s="3"/>
      <c r="DA19" s="3"/>
      <c r="DB19" s="3"/>
      <c r="DC19" s="3"/>
      <c r="DD19" s="3"/>
      <c r="DE19" s="3"/>
      <c r="DF19" s="3"/>
      <c r="DG19" s="3"/>
      <c r="DH19" s="3"/>
      <c r="DI19" s="3"/>
      <c r="DJ19" s="3"/>
    </row>
    <row r="20" spans="1:114" ht="30" x14ac:dyDescent="0.25">
      <c r="A20" s="2" t="s">
        <v>6</v>
      </c>
      <c r="B20" s="8" t="s">
        <v>90</v>
      </c>
      <c r="C20" s="8" t="s">
        <v>100</v>
      </c>
      <c r="D20" s="1" t="s">
        <v>93</v>
      </c>
      <c r="E20" s="1" t="s">
        <v>98</v>
      </c>
      <c r="F20" s="6">
        <v>151050</v>
      </c>
      <c r="G20" s="6">
        <v>131679</v>
      </c>
      <c r="H20" s="6">
        <f>IF(Tableau_Lancer_la_requête_à_partir_de_Excel_Files3[[#This Row],[Coût total Eligible FEDER]]="",Tableau_Lancer_la_requête_à_partir_de_Excel_Files3[[#This Row],[Coût total déposé]],Tableau_Lancer_la_requête_à_partir_de_Excel_Files3[[#This Row],[Coût total Eligible FEDER]])</f>
        <v>131679</v>
      </c>
      <c r="I20" s="6">
        <f>Tableau_Lancer_la_requête_à_partir_de_Excel_Files3[[#This Row],[Aide Massif Obtenu]]+Tableau_Lancer_la_requête_à_partir_de_Excel_Files3[[#This Row],[''Autre Public'']]</f>
        <v>65839</v>
      </c>
      <c r="J20" s="7">
        <f>Tableau_Lancer_la_requête_à_partir_de_Excel_Files3[[#This Row],[Aide Publique Obtenue]]/Tableau_Lancer_la_requête_à_partir_de_Excel_Files3[[#This Row],[Coût total]]</f>
        <v>0.49999620288732449</v>
      </c>
      <c r="K20" s="6">
        <f>Tableau_Lancer_la_requête_à_partir_de_Excel_Files3[[#This Row],[Etat]]+Tableau_Lancer_la_requête_à_partir_de_Excel_Files3[[#This Row],[Régions]]+Tableau_Lancer_la_requête_à_partir_de_Excel_Files3[[#This Row],[Départements]]+Tableau_Lancer_la_requête_à_partir_de_Excel_Files3[[#This Row],[''FEDER'']]</f>
        <v>65839</v>
      </c>
      <c r="L20" s="7">
        <f>Tableau_Lancer_la_requête_à_partir_de_Excel_Files3[[#This Row],[Aide Massif Obtenu]]/Tableau_Lancer_la_requête_à_partir_de_Excel_Files3[[#This Row],[Coût total]]</f>
        <v>0.49999620288732449</v>
      </c>
      <c r="M20" s="9">
        <f>Tableau_Lancer_la_requête_à_partir_de_Excel_Files3[[#This Row],[''FNADT'']]+Tableau_Lancer_la_requête_à_partir_de_Excel_Files3[[#This Row],[''Agriculture'']]</f>
        <v>6681</v>
      </c>
      <c r="N20" s="6">
        <v>6681</v>
      </c>
      <c r="O20" s="6"/>
      <c r="P20" s="9">
        <f>Tableau_Lancer_la_requête_à_partir_de_Excel_Files3[[#This Row],[''ALPC'']]+Tableau_Lancer_la_requête_à_partir_de_Excel_Files3[[#This Row],[''AURA'']]+Tableau_Lancer_la_requête_à_partir_de_Excel_Files3[[#This Row],[''BFC'']]+Tableau_Lancer_la_requête_à_partir_de_Excel_Files3[[#This Row],[''LRMP'']]</f>
        <v>6620</v>
      </c>
      <c r="Q20" s="6"/>
      <c r="R20" s="6"/>
      <c r="S20" s="6">
        <v>6620</v>
      </c>
      <c r="T20" s="6"/>
      <c r="U20"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20" s="6"/>
      <c r="W20" s="6"/>
      <c r="X20" s="6"/>
      <c r="Y20" s="6"/>
      <c r="Z20" s="6"/>
      <c r="AA20" s="6"/>
      <c r="AB20" s="6"/>
      <c r="AC20" s="6"/>
      <c r="AD20" s="6"/>
      <c r="AE20" s="6"/>
      <c r="AF20" s="6"/>
      <c r="AG20" s="6"/>
      <c r="AH20" s="6"/>
      <c r="AI20" s="6"/>
      <c r="AJ20" s="6"/>
      <c r="AK20" s="6"/>
      <c r="AL20" s="6"/>
      <c r="AM20" s="6"/>
      <c r="AN20" s="6"/>
      <c r="AO20" s="6"/>
      <c r="AP20" s="6"/>
      <c r="AQ20" s="6"/>
      <c r="AR20" s="6">
        <v>52538</v>
      </c>
      <c r="AS20" s="6">
        <v>0</v>
      </c>
      <c r="AT20" s="6"/>
      <c r="CO20" s="3"/>
      <c r="CP20" s="3"/>
      <c r="CQ20" s="3"/>
      <c r="CR20" s="3"/>
      <c r="CS20" s="3"/>
      <c r="CT20" s="3"/>
      <c r="CU20" s="3"/>
      <c r="CV20" s="3"/>
      <c r="CW20" s="3"/>
      <c r="CX20" s="3"/>
      <c r="CY20" s="3"/>
      <c r="CZ20" s="3"/>
      <c r="DA20" s="3"/>
      <c r="DB20" s="3"/>
      <c r="DC20" s="3"/>
      <c r="DD20" s="3"/>
      <c r="DE20" s="3"/>
      <c r="DF20" s="3"/>
      <c r="DG20" s="3"/>
      <c r="DH20" s="3"/>
      <c r="DI20" s="3"/>
      <c r="DJ20" s="3"/>
    </row>
    <row r="21" spans="1:114" ht="30" x14ac:dyDescent="0.25">
      <c r="A21" s="2" t="s">
        <v>5</v>
      </c>
      <c r="B21" s="8" t="s">
        <v>152</v>
      </c>
      <c r="C21" s="8" t="s">
        <v>245</v>
      </c>
      <c r="D21" s="1" t="s">
        <v>153</v>
      </c>
      <c r="E21" s="1" t="s">
        <v>154</v>
      </c>
      <c r="F21" s="6">
        <v>93909.359999999986</v>
      </c>
      <c r="G21" s="6"/>
      <c r="H21" s="6">
        <f>IF(Tableau_Lancer_la_requête_à_partir_de_Excel_Files3[[#This Row],[Coût total Eligible FEDER]]="",Tableau_Lancer_la_requête_à_partir_de_Excel_Files3[[#This Row],[Coût total déposé]],Tableau_Lancer_la_requête_à_partir_de_Excel_Files3[[#This Row],[Coût total Eligible FEDER]])</f>
        <v>93909.359999999986</v>
      </c>
      <c r="I21" s="6">
        <f>Tableau_Lancer_la_requête_à_partir_de_Excel_Files3[[#This Row],[Aide Massif Obtenu]]+Tableau_Lancer_la_requête_à_partir_de_Excel_Files3[[#This Row],[''Autre Public'']]</f>
        <v>20000</v>
      </c>
      <c r="J21" s="7">
        <f>Tableau_Lancer_la_requête_à_partir_de_Excel_Files3[[#This Row],[Aide Publique Obtenue]]/Tableau_Lancer_la_requête_à_partir_de_Excel_Files3[[#This Row],[Coût total]]</f>
        <v>0.21297131617125281</v>
      </c>
      <c r="K21" s="6">
        <f>Tableau_Lancer_la_requête_à_partir_de_Excel_Files3[[#This Row],[Etat]]+Tableau_Lancer_la_requête_à_partir_de_Excel_Files3[[#This Row],[Régions]]+Tableau_Lancer_la_requête_à_partir_de_Excel_Files3[[#This Row],[Départements]]+Tableau_Lancer_la_requête_à_partir_de_Excel_Files3[[#This Row],[''FEDER'']]</f>
        <v>20000</v>
      </c>
      <c r="L21" s="7">
        <f>Tableau_Lancer_la_requête_à_partir_de_Excel_Files3[[#This Row],[Aide Massif Obtenu]]/Tableau_Lancer_la_requête_à_partir_de_Excel_Files3[[#This Row],[Coût total]]</f>
        <v>0.21297131617125281</v>
      </c>
      <c r="M21" s="9">
        <f>Tableau_Lancer_la_requête_à_partir_de_Excel_Files3[[#This Row],[''FNADT'']]+Tableau_Lancer_la_requête_à_partir_de_Excel_Files3[[#This Row],[''Agriculture'']]</f>
        <v>20000</v>
      </c>
      <c r="N21" s="6">
        <v>20000</v>
      </c>
      <c r="O21" s="6"/>
      <c r="P21" s="9">
        <f>Tableau_Lancer_la_requête_à_partir_de_Excel_Files3[[#This Row],[''ALPC'']]+Tableau_Lancer_la_requête_à_partir_de_Excel_Files3[[#This Row],[''AURA'']]+Tableau_Lancer_la_requête_à_partir_de_Excel_Files3[[#This Row],[''BFC'']]+Tableau_Lancer_la_requête_à_partir_de_Excel_Files3[[#This Row],[''LRMP'']]</f>
        <v>0</v>
      </c>
      <c r="Q21" s="6"/>
      <c r="R21" s="6"/>
      <c r="S21" s="6"/>
      <c r="T21" s="6"/>
      <c r="U21"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21" s="6"/>
      <c r="W21" s="6"/>
      <c r="X21" s="6"/>
      <c r="Y21" s="6"/>
      <c r="Z21" s="6"/>
      <c r="AA21" s="6"/>
      <c r="AB21" s="6"/>
      <c r="AC21" s="6"/>
      <c r="AD21" s="6"/>
      <c r="AE21" s="6"/>
      <c r="AF21" s="6"/>
      <c r="AG21" s="6"/>
      <c r="AH21" s="6"/>
      <c r="AI21" s="6"/>
      <c r="AJ21" s="6"/>
      <c r="AK21" s="6"/>
      <c r="AL21" s="6"/>
      <c r="AM21" s="6"/>
      <c r="AN21" s="6"/>
      <c r="AO21" s="6"/>
      <c r="AP21" s="6"/>
      <c r="AQ21" s="6"/>
      <c r="AR21" s="6">
        <v>0</v>
      </c>
      <c r="AS21" s="6">
        <v>0</v>
      </c>
      <c r="AT21" s="6"/>
      <c r="CO21" s="3"/>
      <c r="CP21" s="3"/>
      <c r="CQ21" s="3"/>
      <c r="CR21" s="3"/>
      <c r="CS21" s="3"/>
      <c r="CT21" s="3"/>
      <c r="CU21" s="3"/>
      <c r="CV21" s="3"/>
      <c r="CW21" s="3"/>
      <c r="CX21" s="3"/>
      <c r="CY21" s="3"/>
      <c r="CZ21" s="3"/>
      <c r="DA21" s="3"/>
      <c r="DB21" s="3"/>
      <c r="DC21" s="3"/>
      <c r="DD21" s="3"/>
      <c r="DE21" s="3"/>
      <c r="DF21" s="3"/>
      <c r="DG21" s="3"/>
      <c r="DH21" s="3"/>
      <c r="DI21" s="3"/>
      <c r="DJ21" s="3"/>
    </row>
    <row r="22" spans="1:114" ht="30" x14ac:dyDescent="0.25">
      <c r="A22" s="2" t="s">
        <v>6</v>
      </c>
      <c r="B22" s="8" t="s">
        <v>158</v>
      </c>
      <c r="C22" s="8" t="s">
        <v>155</v>
      </c>
      <c r="D22" s="1" t="s">
        <v>156</v>
      </c>
      <c r="E22" s="1" t="s">
        <v>157</v>
      </c>
      <c r="F22" s="6">
        <v>215469</v>
      </c>
      <c r="G22" s="6">
        <v>61403</v>
      </c>
      <c r="H22" s="6">
        <f>IF(Tableau_Lancer_la_requête_à_partir_de_Excel_Files3[[#This Row],[Coût total Eligible FEDER]]="",Tableau_Lancer_la_requête_à_partir_de_Excel_Files3[[#This Row],[Coût total déposé]],Tableau_Lancer_la_requête_à_partir_de_Excel_Files3[[#This Row],[Coût total Eligible FEDER]])</f>
        <v>61403</v>
      </c>
      <c r="I22" s="6">
        <f>Tableau_Lancer_la_requête_à_partir_de_Excel_Files3[[#This Row],[Aide Massif Obtenu]]+Tableau_Lancer_la_requête_à_partir_de_Excel_Files3[[#This Row],[''Autre Public'']]</f>
        <v>42982</v>
      </c>
      <c r="J22" s="7">
        <f>Tableau_Lancer_la_requête_à_partir_de_Excel_Files3[[#This Row],[Aide Publique Obtenue]]/Tableau_Lancer_la_requête_à_partir_de_Excel_Files3[[#This Row],[Coût total]]</f>
        <v>0.69999837141507748</v>
      </c>
      <c r="K22" s="6">
        <f>Tableau_Lancer_la_requête_à_partir_de_Excel_Files3[[#This Row],[Etat]]+Tableau_Lancer_la_requête_à_partir_de_Excel_Files3[[#This Row],[Régions]]+Tableau_Lancer_la_requête_à_partir_de_Excel_Files3[[#This Row],[Départements]]+Tableau_Lancer_la_requête_à_partir_de_Excel_Files3[[#This Row],[''FEDER'']]</f>
        <v>42982</v>
      </c>
      <c r="L22" s="7">
        <f>Tableau_Lancer_la_requête_à_partir_de_Excel_Files3[[#This Row],[Aide Massif Obtenu]]/Tableau_Lancer_la_requête_à_partir_de_Excel_Files3[[#This Row],[Coût total]]</f>
        <v>0.69999837141507748</v>
      </c>
      <c r="M22" s="9">
        <f>Tableau_Lancer_la_requête_à_partir_de_Excel_Files3[[#This Row],[''FNADT'']]+Tableau_Lancer_la_requête_à_partir_de_Excel_Files3[[#This Row],[''Agriculture'']]</f>
        <v>12281</v>
      </c>
      <c r="N22" s="6">
        <v>12281</v>
      </c>
      <c r="O22" s="6"/>
      <c r="P22" s="9">
        <f>Tableau_Lancer_la_requête_à_partir_de_Excel_Files3[[#This Row],[''ALPC'']]+Tableau_Lancer_la_requête_à_partir_de_Excel_Files3[[#This Row],[''AURA'']]+Tableau_Lancer_la_requête_à_partir_de_Excel_Files3[[#This Row],[''BFC'']]+Tableau_Lancer_la_requête_à_partir_de_Excel_Files3[[#This Row],[''LRMP'']]</f>
        <v>0</v>
      </c>
      <c r="Q22" s="6"/>
      <c r="R22" s="6"/>
      <c r="S22" s="6"/>
      <c r="T22" s="6"/>
      <c r="U22"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22" s="6"/>
      <c r="W22" s="6"/>
      <c r="X22" s="6"/>
      <c r="Y22" s="6"/>
      <c r="Z22" s="6"/>
      <c r="AA22" s="6"/>
      <c r="AB22" s="6"/>
      <c r="AC22" s="6"/>
      <c r="AD22" s="6"/>
      <c r="AE22" s="6"/>
      <c r="AF22" s="6"/>
      <c r="AG22" s="6"/>
      <c r="AH22" s="6"/>
      <c r="AI22" s="6"/>
      <c r="AJ22" s="6"/>
      <c r="AK22" s="6"/>
      <c r="AL22" s="6"/>
      <c r="AM22" s="6"/>
      <c r="AN22" s="6"/>
      <c r="AO22" s="6"/>
      <c r="AP22" s="6"/>
      <c r="AQ22" s="6"/>
      <c r="AR22" s="6">
        <v>30701</v>
      </c>
      <c r="AS22" s="6">
        <v>0</v>
      </c>
      <c r="AT22" s="6"/>
      <c r="CO22" s="3"/>
      <c r="CP22" s="3"/>
      <c r="CQ22" s="3"/>
      <c r="CR22" s="3"/>
      <c r="CS22" s="3"/>
      <c r="CT22" s="3"/>
      <c r="CU22" s="3"/>
      <c r="CV22" s="3"/>
      <c r="CW22" s="3"/>
      <c r="CX22" s="3"/>
      <c r="CY22" s="3"/>
      <c r="CZ22" s="3"/>
      <c r="DA22" s="3"/>
      <c r="DB22" s="3"/>
      <c r="DC22" s="3"/>
      <c r="DD22" s="3"/>
      <c r="DE22" s="3"/>
      <c r="DF22" s="3"/>
      <c r="DG22" s="3"/>
      <c r="DH22" s="3"/>
      <c r="DI22" s="3"/>
      <c r="DJ22" s="3"/>
    </row>
    <row r="23" spans="1:114" ht="45" x14ac:dyDescent="0.25">
      <c r="A23" s="2" t="s">
        <v>6</v>
      </c>
      <c r="B23" s="8" t="s">
        <v>162</v>
      </c>
      <c r="C23" s="8" t="s">
        <v>159</v>
      </c>
      <c r="D23" s="1" t="s">
        <v>160</v>
      </c>
      <c r="E23" s="1" t="s">
        <v>161</v>
      </c>
      <c r="F23" s="6">
        <v>80500</v>
      </c>
      <c r="G23" s="6">
        <v>78066.7</v>
      </c>
      <c r="H23" s="6">
        <f>IF(Tableau_Lancer_la_requête_à_partir_de_Excel_Files3[[#This Row],[Coût total Eligible FEDER]]="",Tableau_Lancer_la_requête_à_partir_de_Excel_Files3[[#This Row],[Coût total déposé]],Tableau_Lancer_la_requête_à_partir_de_Excel_Files3[[#This Row],[Coût total Eligible FEDER]])</f>
        <v>78066.7</v>
      </c>
      <c r="I23" s="6">
        <f>Tableau_Lancer_la_requête_à_partir_de_Excel_Files3[[#This Row],[Aide Massif Obtenu]]+Tableau_Lancer_la_requête_à_partir_de_Excel_Files3[[#This Row],[''Autre Public'']]</f>
        <v>46839</v>
      </c>
      <c r="J23" s="7">
        <f>Tableau_Lancer_la_requête_à_partir_de_Excel_Files3[[#This Row],[Aide Publique Obtenue]]/Tableau_Lancer_la_requête_à_partir_de_Excel_Files3[[#This Row],[Coût total]]</f>
        <v>0.59998693424981464</v>
      </c>
      <c r="K23" s="6">
        <f>Tableau_Lancer_la_requête_à_partir_de_Excel_Files3[[#This Row],[Etat]]+Tableau_Lancer_la_requête_à_partir_de_Excel_Files3[[#This Row],[Régions]]+Tableau_Lancer_la_requête_à_partir_de_Excel_Files3[[#This Row],[Départements]]+Tableau_Lancer_la_requête_à_partir_de_Excel_Files3[[#This Row],[''FEDER'']]</f>
        <v>46839</v>
      </c>
      <c r="L23" s="7">
        <f>Tableau_Lancer_la_requête_à_partir_de_Excel_Files3[[#This Row],[Aide Massif Obtenu]]/Tableau_Lancer_la_requête_à_partir_de_Excel_Files3[[#This Row],[Coût total]]</f>
        <v>0.59998693424981464</v>
      </c>
      <c r="M23" s="9">
        <f>Tableau_Lancer_la_requête_à_partir_de_Excel_Files3[[#This Row],[''FNADT'']]+Tableau_Lancer_la_requête_à_partir_de_Excel_Files3[[#This Row],[''Agriculture'']]</f>
        <v>15613</v>
      </c>
      <c r="N23" s="6">
        <v>15613</v>
      </c>
      <c r="O23" s="6"/>
      <c r="P23" s="9">
        <f>Tableau_Lancer_la_requête_à_partir_de_Excel_Files3[[#This Row],[''ALPC'']]+Tableau_Lancer_la_requête_à_partir_de_Excel_Files3[[#This Row],[''AURA'']]+Tableau_Lancer_la_requête_à_partir_de_Excel_Files3[[#This Row],[''BFC'']]+Tableau_Lancer_la_requête_à_partir_de_Excel_Files3[[#This Row],[''LRMP'']]</f>
        <v>0</v>
      </c>
      <c r="Q23" s="6"/>
      <c r="R23" s="6"/>
      <c r="S23" s="6"/>
      <c r="T23" s="6"/>
      <c r="U23"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23" s="6"/>
      <c r="W23" s="6"/>
      <c r="X23" s="6"/>
      <c r="Y23" s="6"/>
      <c r="Z23" s="6"/>
      <c r="AA23" s="6"/>
      <c r="AB23" s="6"/>
      <c r="AC23" s="6"/>
      <c r="AD23" s="6"/>
      <c r="AE23" s="6"/>
      <c r="AF23" s="6"/>
      <c r="AG23" s="6"/>
      <c r="AH23" s="6"/>
      <c r="AI23" s="6"/>
      <c r="AJ23" s="6"/>
      <c r="AK23" s="6"/>
      <c r="AL23" s="6"/>
      <c r="AM23" s="6"/>
      <c r="AN23" s="6"/>
      <c r="AO23" s="6"/>
      <c r="AP23" s="6"/>
      <c r="AQ23" s="6"/>
      <c r="AR23" s="6">
        <v>31226</v>
      </c>
      <c r="AS23" s="6">
        <v>0</v>
      </c>
      <c r="AT23" s="6"/>
      <c r="CO23" s="3"/>
      <c r="CP23" s="3"/>
      <c r="CQ23" s="3"/>
      <c r="CR23" s="3"/>
      <c r="CS23" s="3"/>
      <c r="CT23" s="3"/>
      <c r="CU23" s="3"/>
      <c r="CV23" s="3"/>
      <c r="CW23" s="3"/>
      <c r="CX23" s="3"/>
      <c r="CY23" s="3"/>
      <c r="CZ23" s="3"/>
      <c r="DA23" s="3"/>
      <c r="DB23" s="3"/>
      <c r="DC23" s="3"/>
      <c r="DD23" s="3"/>
      <c r="DE23" s="3"/>
      <c r="DF23" s="3"/>
      <c r="DG23" s="3"/>
      <c r="DH23" s="3"/>
      <c r="DI23" s="3"/>
      <c r="DJ23" s="3"/>
    </row>
    <row r="24" spans="1:114" ht="45" x14ac:dyDescent="0.25">
      <c r="A24" s="2" t="s">
        <v>6</v>
      </c>
      <c r="B24" s="8" t="s">
        <v>165</v>
      </c>
      <c r="C24" s="8" t="s">
        <v>163</v>
      </c>
      <c r="D24" s="1" t="s">
        <v>164</v>
      </c>
      <c r="E24" s="1" t="s">
        <v>161</v>
      </c>
      <c r="F24" s="6">
        <v>80500</v>
      </c>
      <c r="G24" s="6">
        <v>78198.7</v>
      </c>
      <c r="H24" s="6">
        <f>IF(Tableau_Lancer_la_requête_à_partir_de_Excel_Files3[[#This Row],[Coût total Eligible FEDER]]="",Tableau_Lancer_la_requête_à_partir_de_Excel_Files3[[#This Row],[Coût total déposé]],Tableau_Lancer_la_requête_à_partir_de_Excel_Files3[[#This Row],[Coût total Eligible FEDER]])</f>
        <v>78198.7</v>
      </c>
      <c r="I24" s="6">
        <f>Tableau_Lancer_la_requête_à_partir_de_Excel_Files3[[#This Row],[Aide Massif Obtenu]]+Tableau_Lancer_la_requête_à_partir_de_Excel_Files3[[#This Row],[''Autre Public'']]</f>
        <v>44518</v>
      </c>
      <c r="J24" s="7">
        <f>Tableau_Lancer_la_requête_à_partir_de_Excel_Files3[[#This Row],[Aide Publique Obtenue]]/Tableau_Lancer_la_requête_à_partir_de_Excel_Files3[[#This Row],[Coût total]]</f>
        <v>0.56929335142400073</v>
      </c>
      <c r="K24" s="6">
        <f>Tableau_Lancer_la_requête_à_partir_de_Excel_Files3[[#This Row],[Etat]]+Tableau_Lancer_la_requête_à_partir_de_Excel_Files3[[#This Row],[Régions]]+Tableau_Lancer_la_requête_à_partir_de_Excel_Files3[[#This Row],[Départements]]+Tableau_Lancer_la_requête_à_partir_de_Excel_Files3[[#This Row],[''FEDER'']]</f>
        <v>44518</v>
      </c>
      <c r="L24" s="7">
        <f>Tableau_Lancer_la_requête_à_partir_de_Excel_Files3[[#This Row],[Aide Massif Obtenu]]/Tableau_Lancer_la_requête_à_partir_de_Excel_Files3[[#This Row],[Coût total]]</f>
        <v>0.56929335142400073</v>
      </c>
      <c r="M24" s="9">
        <f>Tableau_Lancer_la_requête_à_partir_de_Excel_Files3[[#This Row],[''FNADT'']]+Tableau_Lancer_la_requête_à_partir_de_Excel_Files3[[#This Row],[''Agriculture'']]</f>
        <v>13239</v>
      </c>
      <c r="N24" s="6">
        <v>13239</v>
      </c>
      <c r="O24" s="6"/>
      <c r="P24" s="9">
        <f>Tableau_Lancer_la_requête_à_partir_de_Excel_Files3[[#This Row],[''ALPC'']]+Tableau_Lancer_la_requête_à_partir_de_Excel_Files3[[#This Row],[''AURA'']]+Tableau_Lancer_la_requête_à_partir_de_Excel_Files3[[#This Row],[''BFC'']]+Tableau_Lancer_la_requête_à_partir_de_Excel_Files3[[#This Row],[''LRMP'']]</f>
        <v>0</v>
      </c>
      <c r="Q24" s="6"/>
      <c r="R24" s="6"/>
      <c r="S24" s="6"/>
      <c r="T24" s="6"/>
      <c r="U24"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24" s="6"/>
      <c r="W24" s="6"/>
      <c r="X24" s="6"/>
      <c r="Y24" s="6"/>
      <c r="Z24" s="6"/>
      <c r="AA24" s="6"/>
      <c r="AB24" s="6"/>
      <c r="AC24" s="6"/>
      <c r="AD24" s="6"/>
      <c r="AE24" s="6"/>
      <c r="AF24" s="6"/>
      <c r="AG24" s="6"/>
      <c r="AH24" s="6"/>
      <c r="AI24" s="6"/>
      <c r="AJ24" s="6"/>
      <c r="AK24" s="6"/>
      <c r="AL24" s="6"/>
      <c r="AM24" s="6"/>
      <c r="AN24" s="6"/>
      <c r="AO24" s="6"/>
      <c r="AP24" s="6"/>
      <c r="AQ24" s="6"/>
      <c r="AR24" s="6">
        <v>31279</v>
      </c>
      <c r="AS24" s="6">
        <v>0</v>
      </c>
      <c r="AT24" s="6"/>
      <c r="CO24" s="3"/>
      <c r="CP24" s="3"/>
      <c r="CQ24" s="3"/>
      <c r="CR24" s="3"/>
      <c r="CS24" s="3"/>
      <c r="CT24" s="3"/>
      <c r="CU24" s="3"/>
      <c r="CV24" s="3"/>
      <c r="CW24" s="3"/>
      <c r="CX24" s="3"/>
      <c r="CY24" s="3"/>
      <c r="CZ24" s="3"/>
      <c r="DA24" s="3"/>
      <c r="DB24" s="3"/>
      <c r="DC24" s="3"/>
      <c r="DD24" s="3"/>
      <c r="DE24" s="3"/>
      <c r="DF24" s="3"/>
      <c r="DG24" s="3"/>
      <c r="DH24" s="3"/>
      <c r="DI24" s="3"/>
      <c r="DJ24" s="3"/>
    </row>
    <row r="25" spans="1:114" ht="30" x14ac:dyDescent="0.25">
      <c r="A25" s="2" t="s">
        <v>6</v>
      </c>
      <c r="B25" s="8" t="s">
        <v>166</v>
      </c>
      <c r="C25" s="8" t="s">
        <v>246</v>
      </c>
      <c r="D25" s="1" t="s">
        <v>167</v>
      </c>
      <c r="E25" s="1" t="s">
        <v>168</v>
      </c>
      <c r="F25" s="6">
        <v>329512.9916666667</v>
      </c>
      <c r="G25" s="6">
        <v>330859.93</v>
      </c>
      <c r="H25" s="6">
        <f>IF(Tableau_Lancer_la_requête_à_partir_de_Excel_Files3[[#This Row],[Coût total Eligible FEDER]]="",Tableau_Lancer_la_requête_à_partir_de_Excel_Files3[[#This Row],[Coût total déposé]],Tableau_Lancer_la_requête_à_partir_de_Excel_Files3[[#This Row],[Coût total Eligible FEDER]])</f>
        <v>330859.93</v>
      </c>
      <c r="I25" s="6">
        <f>Tableau_Lancer_la_requête_à_partir_de_Excel_Files3[[#This Row],[Aide Massif Obtenu]]+Tableau_Lancer_la_requête_à_partir_de_Excel_Files3[[#This Row],[''Autre Public'']]</f>
        <v>198515</v>
      </c>
      <c r="J25" s="7">
        <f>Tableau_Lancer_la_requête_à_partir_de_Excel_Files3[[#This Row],[Aide Publique Obtenue]]/Tableau_Lancer_la_requête_à_partir_de_Excel_Files3[[#This Row],[Coût total]]</f>
        <v>0.59999710451489241</v>
      </c>
      <c r="K25" s="6">
        <f>Tableau_Lancer_la_requête_à_partir_de_Excel_Files3[[#This Row],[Etat]]+Tableau_Lancer_la_requête_à_partir_de_Excel_Files3[[#This Row],[Régions]]+Tableau_Lancer_la_requête_à_partir_de_Excel_Files3[[#This Row],[Départements]]+Tableau_Lancer_la_requête_à_partir_de_Excel_Files3[[#This Row],[''FEDER'']]</f>
        <v>198515</v>
      </c>
      <c r="L25" s="7">
        <f>Tableau_Lancer_la_requête_à_partir_de_Excel_Files3[[#This Row],[Aide Massif Obtenu]]/Tableau_Lancer_la_requête_à_partir_de_Excel_Files3[[#This Row],[Coût total]]</f>
        <v>0.59999710451489241</v>
      </c>
      <c r="M25" s="9">
        <f>Tableau_Lancer_la_requête_à_partir_de_Excel_Files3[[#This Row],[''FNADT'']]+Tableau_Lancer_la_requête_à_partir_de_Excel_Files3[[#This Row],[''Agriculture'']]</f>
        <v>0</v>
      </c>
      <c r="N25" s="6"/>
      <c r="O25" s="6"/>
      <c r="P25" s="9">
        <f>Tableau_Lancer_la_requête_à_partir_de_Excel_Files3[[#This Row],[''ALPC'']]+Tableau_Lancer_la_requête_à_partir_de_Excel_Files3[[#This Row],[''AURA'']]+Tableau_Lancer_la_requête_à_partir_de_Excel_Files3[[#This Row],[''BFC'']]+Tableau_Lancer_la_requête_à_partir_de_Excel_Files3[[#This Row],[''LRMP'']]</f>
        <v>0</v>
      </c>
      <c r="Q25" s="6"/>
      <c r="R25" s="6"/>
      <c r="S25" s="6"/>
      <c r="T25" s="6"/>
      <c r="U25"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25" s="6"/>
      <c r="W25" s="6"/>
      <c r="X25" s="6"/>
      <c r="Y25" s="6"/>
      <c r="Z25" s="6"/>
      <c r="AA25" s="6"/>
      <c r="AB25" s="6"/>
      <c r="AC25" s="6"/>
      <c r="AD25" s="6"/>
      <c r="AE25" s="6"/>
      <c r="AF25" s="6"/>
      <c r="AG25" s="6"/>
      <c r="AH25" s="6"/>
      <c r="AI25" s="6"/>
      <c r="AJ25" s="6"/>
      <c r="AK25" s="6"/>
      <c r="AL25" s="6"/>
      <c r="AM25" s="6"/>
      <c r="AN25" s="6"/>
      <c r="AO25" s="6"/>
      <c r="AP25" s="6"/>
      <c r="AQ25" s="6"/>
      <c r="AR25" s="6">
        <v>198515</v>
      </c>
      <c r="AS25" s="6">
        <v>0</v>
      </c>
      <c r="AT25" s="6"/>
      <c r="CO25" s="3"/>
      <c r="CP25" s="3"/>
      <c r="CQ25" s="3"/>
      <c r="CR25" s="3"/>
      <c r="CS25" s="3"/>
      <c r="CT25" s="3"/>
      <c r="CU25" s="3"/>
      <c r="CV25" s="3"/>
      <c r="CW25" s="3"/>
      <c r="CX25" s="3"/>
      <c r="CY25" s="3"/>
      <c r="CZ25" s="3"/>
      <c r="DA25" s="3"/>
      <c r="DB25" s="3"/>
      <c r="DC25" s="3"/>
      <c r="DD25" s="3"/>
      <c r="DE25" s="3"/>
      <c r="DF25" s="3"/>
      <c r="DG25" s="3"/>
      <c r="DH25" s="3"/>
      <c r="DI25" s="3"/>
      <c r="DJ25" s="3"/>
    </row>
    <row r="26" spans="1:114" ht="30" x14ac:dyDescent="0.25">
      <c r="A26" s="2" t="s">
        <v>6</v>
      </c>
      <c r="B26" s="8" t="s">
        <v>169</v>
      </c>
      <c r="C26" s="8" t="s">
        <v>247</v>
      </c>
      <c r="D26" s="1" t="s">
        <v>10</v>
      </c>
      <c r="E26" s="1" t="s">
        <v>170</v>
      </c>
      <c r="F26" s="6">
        <v>199703.22</v>
      </c>
      <c r="G26" s="6">
        <v>178308.45</v>
      </c>
      <c r="H26" s="6">
        <f>IF(Tableau_Lancer_la_requête_à_partir_de_Excel_Files3[[#This Row],[Coût total Eligible FEDER]]="",Tableau_Lancer_la_requête_à_partir_de_Excel_Files3[[#This Row],[Coût total déposé]],Tableau_Lancer_la_requête_à_partir_de_Excel_Files3[[#This Row],[Coût total Eligible FEDER]])</f>
        <v>178308.45</v>
      </c>
      <c r="I26" s="6">
        <f>Tableau_Lancer_la_requête_à_partir_de_Excel_Files3[[#This Row],[Aide Massif Obtenu]]+Tableau_Lancer_la_requête_à_partir_de_Excel_Files3[[#This Row],[''Autre Public'']]</f>
        <v>124815.69</v>
      </c>
      <c r="J26" s="7">
        <f>Tableau_Lancer_la_requête_à_partir_de_Excel_Files3[[#This Row],[Aide Publique Obtenue]]/Tableau_Lancer_la_requête_à_partir_de_Excel_Files3[[#This Row],[Coût total]]</f>
        <v>0.69999873814168645</v>
      </c>
      <c r="K26" s="6">
        <f>Tableau_Lancer_la_requête_à_partir_de_Excel_Files3[[#This Row],[Etat]]+Tableau_Lancer_la_requête_à_partir_de_Excel_Files3[[#This Row],[Régions]]+Tableau_Lancer_la_requête_à_partir_de_Excel_Files3[[#This Row],[Départements]]+Tableau_Lancer_la_requête_à_partir_de_Excel_Files3[[#This Row],[''FEDER'']]</f>
        <v>124815.69</v>
      </c>
      <c r="L26" s="7">
        <f>Tableau_Lancer_la_requête_à_partir_de_Excel_Files3[[#This Row],[Aide Massif Obtenu]]/Tableau_Lancer_la_requête_à_partir_de_Excel_Files3[[#This Row],[Coût total]]</f>
        <v>0.69999873814168645</v>
      </c>
      <c r="M26" s="9">
        <f>Tableau_Lancer_la_requête_à_partir_de_Excel_Files3[[#This Row],[''FNADT'']]+Tableau_Lancer_la_requête_à_partir_de_Excel_Files3[[#This Row],[''Agriculture'']]</f>
        <v>35661.69</v>
      </c>
      <c r="N26" s="6">
        <v>35661.69</v>
      </c>
      <c r="O26" s="6"/>
      <c r="P26" s="9">
        <f>Tableau_Lancer_la_requête_à_partir_de_Excel_Files3[[#This Row],[''ALPC'']]+Tableau_Lancer_la_requête_à_partir_de_Excel_Files3[[#This Row],[''AURA'']]+Tableau_Lancer_la_requête_à_partir_de_Excel_Files3[[#This Row],[''BFC'']]+Tableau_Lancer_la_requête_à_partir_de_Excel_Files3[[#This Row],[''LRMP'']]</f>
        <v>0</v>
      </c>
      <c r="Q26" s="6"/>
      <c r="R26" s="6"/>
      <c r="S26" s="6"/>
      <c r="T26" s="6"/>
      <c r="U26"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26" s="6"/>
      <c r="W26" s="6"/>
      <c r="X26" s="6"/>
      <c r="Y26" s="6"/>
      <c r="Z26" s="6"/>
      <c r="AA26" s="6"/>
      <c r="AB26" s="6"/>
      <c r="AC26" s="6"/>
      <c r="AD26" s="6"/>
      <c r="AE26" s="6"/>
      <c r="AF26" s="6"/>
      <c r="AG26" s="6"/>
      <c r="AH26" s="6"/>
      <c r="AI26" s="6"/>
      <c r="AJ26" s="6"/>
      <c r="AK26" s="6"/>
      <c r="AL26" s="6"/>
      <c r="AM26" s="6"/>
      <c r="AN26" s="6"/>
      <c r="AO26" s="6"/>
      <c r="AP26" s="6"/>
      <c r="AQ26" s="6"/>
      <c r="AR26" s="6">
        <v>89154</v>
      </c>
      <c r="AS26" s="6">
        <v>0</v>
      </c>
      <c r="AT26" s="6"/>
      <c r="CO26" s="3"/>
      <c r="CP26" s="3"/>
      <c r="CQ26" s="3"/>
      <c r="CR26" s="3"/>
      <c r="CS26" s="3"/>
      <c r="CT26" s="3"/>
      <c r="CU26" s="3"/>
      <c r="CV26" s="3"/>
      <c r="CW26" s="3"/>
      <c r="CX26" s="3"/>
      <c r="CY26" s="3"/>
      <c r="CZ26" s="3"/>
      <c r="DA26" s="3"/>
      <c r="DB26" s="3"/>
      <c r="DC26" s="3"/>
      <c r="DD26" s="3"/>
      <c r="DE26" s="3"/>
      <c r="DF26" s="3"/>
      <c r="DG26" s="3"/>
      <c r="DH26" s="3"/>
      <c r="DI26" s="3"/>
      <c r="DJ26" s="3"/>
    </row>
    <row r="27" spans="1:114" ht="30" x14ac:dyDescent="0.25">
      <c r="A27" s="2" t="s">
        <v>6</v>
      </c>
      <c r="B27" s="8" t="s">
        <v>171</v>
      </c>
      <c r="C27" s="8" t="s">
        <v>247</v>
      </c>
      <c r="D27" s="1" t="s">
        <v>11</v>
      </c>
      <c r="E27" s="1" t="s">
        <v>172</v>
      </c>
      <c r="F27" s="6">
        <v>325860.57928645902</v>
      </c>
      <c r="G27" s="6">
        <v>29951.95</v>
      </c>
      <c r="H27" s="6">
        <f>IF(Tableau_Lancer_la_requête_à_partir_de_Excel_Files3[[#This Row],[Coût total Eligible FEDER]]="",Tableau_Lancer_la_requête_à_partir_de_Excel_Files3[[#This Row],[Coût total déposé]],Tableau_Lancer_la_requête_à_partir_de_Excel_Files3[[#This Row],[Coût total Eligible FEDER]])</f>
        <v>29951.95</v>
      </c>
      <c r="I27" s="6">
        <f>Tableau_Lancer_la_requête_à_partir_de_Excel_Files3[[#This Row],[Aide Massif Obtenu]]+Tableau_Lancer_la_requête_à_partir_de_Excel_Files3[[#This Row],[''Autre Public'']]</f>
        <v>20966.39</v>
      </c>
      <c r="J27" s="7">
        <f>Tableau_Lancer_la_requête_à_partir_de_Excel_Files3[[#This Row],[Aide Publique Obtenue]]/Tableau_Lancer_la_requête_à_partir_de_Excel_Files3[[#This Row],[Coût total]]</f>
        <v>0.70000083467019669</v>
      </c>
      <c r="K27" s="6">
        <f>Tableau_Lancer_la_requête_à_partir_de_Excel_Files3[[#This Row],[Etat]]+Tableau_Lancer_la_requête_à_partir_de_Excel_Files3[[#This Row],[Régions]]+Tableau_Lancer_la_requête_à_partir_de_Excel_Files3[[#This Row],[Départements]]+Tableau_Lancer_la_requête_à_partir_de_Excel_Files3[[#This Row],[''FEDER'']]</f>
        <v>20966.39</v>
      </c>
      <c r="L27" s="7">
        <f>Tableau_Lancer_la_requête_à_partir_de_Excel_Files3[[#This Row],[Aide Massif Obtenu]]/Tableau_Lancer_la_requête_à_partir_de_Excel_Files3[[#This Row],[Coût total]]</f>
        <v>0.70000083467019669</v>
      </c>
      <c r="M27" s="9">
        <f>Tableau_Lancer_la_requête_à_partir_de_Excel_Files3[[#This Row],[''FNADT'']]+Tableau_Lancer_la_requête_à_partir_de_Excel_Files3[[#This Row],[''Agriculture'']]</f>
        <v>5990.39</v>
      </c>
      <c r="N27" s="6">
        <v>5990.39</v>
      </c>
      <c r="O27" s="6"/>
      <c r="P27" s="9">
        <f>Tableau_Lancer_la_requête_à_partir_de_Excel_Files3[[#This Row],[''ALPC'']]+Tableau_Lancer_la_requête_à_partir_de_Excel_Files3[[#This Row],[''AURA'']]+Tableau_Lancer_la_requête_à_partir_de_Excel_Files3[[#This Row],[''BFC'']]+Tableau_Lancer_la_requête_à_partir_de_Excel_Files3[[#This Row],[''LRMP'']]</f>
        <v>0</v>
      </c>
      <c r="Q27" s="6"/>
      <c r="R27" s="6"/>
      <c r="S27" s="6"/>
      <c r="T27" s="6"/>
      <c r="U27"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27" s="6"/>
      <c r="W27" s="6"/>
      <c r="X27" s="6"/>
      <c r="Y27" s="6"/>
      <c r="Z27" s="6"/>
      <c r="AA27" s="6"/>
      <c r="AB27" s="6"/>
      <c r="AC27" s="6"/>
      <c r="AD27" s="6"/>
      <c r="AE27" s="6"/>
      <c r="AF27" s="6"/>
      <c r="AG27" s="6"/>
      <c r="AH27" s="6"/>
      <c r="AI27" s="6"/>
      <c r="AJ27" s="6"/>
      <c r="AK27" s="6"/>
      <c r="AL27" s="6"/>
      <c r="AM27" s="6"/>
      <c r="AN27" s="6"/>
      <c r="AO27" s="6"/>
      <c r="AP27" s="6"/>
      <c r="AQ27" s="6"/>
      <c r="AR27" s="6">
        <v>14976</v>
      </c>
      <c r="AS27" s="6">
        <v>0</v>
      </c>
      <c r="AT27" s="6"/>
      <c r="CO27" s="3"/>
      <c r="CP27" s="3"/>
      <c r="CQ27" s="3"/>
      <c r="CR27" s="3"/>
      <c r="CS27" s="3"/>
      <c r="CT27" s="3"/>
      <c r="CU27" s="3"/>
      <c r="CV27" s="3"/>
      <c r="CW27" s="3"/>
      <c r="CX27" s="3"/>
      <c r="CY27" s="3"/>
      <c r="CZ27" s="3"/>
      <c r="DA27" s="3"/>
      <c r="DB27" s="3"/>
      <c r="DC27" s="3"/>
      <c r="DD27" s="3"/>
      <c r="DE27" s="3"/>
      <c r="DF27" s="3"/>
      <c r="DG27" s="3"/>
      <c r="DH27" s="3"/>
      <c r="DI27" s="3"/>
      <c r="DJ27" s="3"/>
    </row>
    <row r="28" spans="1:114" ht="30" x14ac:dyDescent="0.25">
      <c r="A28" s="2" t="s">
        <v>6</v>
      </c>
      <c r="B28" s="8" t="s">
        <v>173</v>
      </c>
      <c r="C28" s="8" t="s">
        <v>247</v>
      </c>
      <c r="D28" s="1" t="s">
        <v>174</v>
      </c>
      <c r="E28" s="1" t="s">
        <v>172</v>
      </c>
      <c r="F28" s="6">
        <v>136518.49699999997</v>
      </c>
      <c r="G28" s="6">
        <v>143108.35</v>
      </c>
      <c r="H28" s="6">
        <f>IF(Tableau_Lancer_la_requête_à_partir_de_Excel_Files3[[#This Row],[Coût total Eligible FEDER]]="",Tableau_Lancer_la_requête_à_partir_de_Excel_Files3[[#This Row],[Coût total déposé]],Tableau_Lancer_la_requête_à_partir_de_Excel_Files3[[#This Row],[Coût total Eligible FEDER]])</f>
        <v>143108.35</v>
      </c>
      <c r="I28" s="6">
        <f>Tableau_Lancer_la_requête_à_partir_de_Excel_Files3[[#This Row],[Aide Massif Obtenu]]+Tableau_Lancer_la_requête_à_partir_de_Excel_Files3[[#This Row],[''Autre Public'']]</f>
        <v>100175.67</v>
      </c>
      <c r="J28" s="7">
        <f>Tableau_Lancer_la_requête_à_partir_de_Excel_Files3[[#This Row],[Aide Publique Obtenue]]/Tableau_Lancer_la_requête_à_partir_de_Excel_Files3[[#This Row],[Coût total]]</f>
        <v>0.69999877715032</v>
      </c>
      <c r="K28" s="6">
        <f>Tableau_Lancer_la_requête_à_partir_de_Excel_Files3[[#This Row],[Etat]]+Tableau_Lancer_la_requête_à_partir_de_Excel_Files3[[#This Row],[Régions]]+Tableau_Lancer_la_requête_à_partir_de_Excel_Files3[[#This Row],[Départements]]+Tableau_Lancer_la_requête_à_partir_de_Excel_Files3[[#This Row],[''FEDER'']]</f>
        <v>100175.67</v>
      </c>
      <c r="L28" s="7">
        <f>Tableau_Lancer_la_requête_à_partir_de_Excel_Files3[[#This Row],[Aide Massif Obtenu]]/Tableau_Lancer_la_requête_à_partir_de_Excel_Files3[[#This Row],[Coût total]]</f>
        <v>0.69999877715032</v>
      </c>
      <c r="M28" s="9">
        <f>Tableau_Lancer_la_requête_à_partir_de_Excel_Files3[[#This Row],[''FNADT'']]+Tableau_Lancer_la_requête_à_partir_de_Excel_Files3[[#This Row],[''Agriculture'']]</f>
        <v>28621.67</v>
      </c>
      <c r="N28" s="6">
        <v>28621.67</v>
      </c>
      <c r="O28" s="6"/>
      <c r="P28" s="9">
        <f>Tableau_Lancer_la_requête_à_partir_de_Excel_Files3[[#This Row],[''ALPC'']]+Tableau_Lancer_la_requête_à_partir_de_Excel_Files3[[#This Row],[''AURA'']]+Tableau_Lancer_la_requête_à_partir_de_Excel_Files3[[#This Row],[''BFC'']]+Tableau_Lancer_la_requête_à_partir_de_Excel_Files3[[#This Row],[''LRMP'']]</f>
        <v>0</v>
      </c>
      <c r="Q28" s="6"/>
      <c r="R28" s="6"/>
      <c r="S28" s="6"/>
      <c r="T28" s="6"/>
      <c r="U28"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28" s="6"/>
      <c r="W28" s="6"/>
      <c r="X28" s="6"/>
      <c r="Y28" s="6"/>
      <c r="Z28" s="6"/>
      <c r="AA28" s="6"/>
      <c r="AB28" s="6"/>
      <c r="AC28" s="6"/>
      <c r="AD28" s="6"/>
      <c r="AE28" s="6"/>
      <c r="AF28" s="6"/>
      <c r="AG28" s="6"/>
      <c r="AH28" s="6"/>
      <c r="AI28" s="6"/>
      <c r="AJ28" s="6"/>
      <c r="AK28" s="6"/>
      <c r="AL28" s="6"/>
      <c r="AM28" s="6"/>
      <c r="AN28" s="6"/>
      <c r="AO28" s="6"/>
      <c r="AP28" s="6"/>
      <c r="AQ28" s="6"/>
      <c r="AR28" s="6">
        <v>71554</v>
      </c>
      <c r="AS28" s="6">
        <v>0</v>
      </c>
      <c r="AT28" s="6"/>
      <c r="CO28" s="3"/>
      <c r="CP28" s="3"/>
      <c r="CQ28" s="3"/>
      <c r="CR28" s="3"/>
      <c r="CS28" s="3"/>
      <c r="CT28" s="3"/>
      <c r="CU28" s="3"/>
      <c r="CV28" s="3"/>
      <c r="CW28" s="3"/>
      <c r="CX28" s="3"/>
      <c r="CY28" s="3"/>
      <c r="CZ28" s="3"/>
      <c r="DA28" s="3"/>
      <c r="DB28" s="3"/>
      <c r="DC28" s="3"/>
      <c r="DD28" s="3"/>
      <c r="DE28" s="3"/>
      <c r="DF28" s="3"/>
      <c r="DG28" s="3"/>
      <c r="DH28" s="3"/>
      <c r="DI28" s="3"/>
      <c r="DJ28" s="3"/>
    </row>
    <row r="29" spans="1:114" ht="30" x14ac:dyDescent="0.25">
      <c r="A29" s="2" t="s">
        <v>6</v>
      </c>
      <c r="B29" s="8" t="s">
        <v>175</v>
      </c>
      <c r="C29" s="8" t="s">
        <v>247</v>
      </c>
      <c r="D29" s="1" t="s">
        <v>176</v>
      </c>
      <c r="E29" s="1" t="s">
        <v>172</v>
      </c>
      <c r="F29" s="6">
        <v>500093.6</v>
      </c>
      <c r="G29" s="6">
        <v>500093.6</v>
      </c>
      <c r="H29" s="6">
        <f>IF(Tableau_Lancer_la_requête_à_partir_de_Excel_Files3[[#This Row],[Coût total Eligible FEDER]]="",Tableau_Lancer_la_requête_à_partir_de_Excel_Files3[[#This Row],[Coût total déposé]],Tableau_Lancer_la_requête_à_partir_de_Excel_Files3[[#This Row],[Coût total Eligible FEDER]])</f>
        <v>500093.6</v>
      </c>
      <c r="I29" s="6">
        <f>Tableau_Lancer_la_requête_à_partir_de_Excel_Files3[[#This Row],[Aide Massif Obtenu]]+Tableau_Lancer_la_requête_à_partir_de_Excel_Files3[[#This Row],[''Autre Public'']]</f>
        <v>350065.72</v>
      </c>
      <c r="J29" s="7">
        <f>Tableau_Lancer_la_requête_à_partir_de_Excel_Files3[[#This Row],[Aide Publique Obtenue]]/Tableau_Lancer_la_requête_à_partir_de_Excel_Files3[[#This Row],[Coût total]]</f>
        <v>0.70000039992513396</v>
      </c>
      <c r="K29" s="6">
        <f>Tableau_Lancer_la_requête_à_partir_de_Excel_Files3[[#This Row],[Etat]]+Tableau_Lancer_la_requête_à_partir_de_Excel_Files3[[#This Row],[Régions]]+Tableau_Lancer_la_requête_à_partir_de_Excel_Files3[[#This Row],[Départements]]+Tableau_Lancer_la_requête_à_partir_de_Excel_Files3[[#This Row],[''FEDER'']]</f>
        <v>350065.72</v>
      </c>
      <c r="L29" s="7">
        <f>Tableau_Lancer_la_requête_à_partir_de_Excel_Files3[[#This Row],[Aide Massif Obtenu]]/Tableau_Lancer_la_requête_à_partir_de_Excel_Files3[[#This Row],[Coût total]]</f>
        <v>0.70000039992513396</v>
      </c>
      <c r="M29" s="9">
        <f>Tableau_Lancer_la_requête_à_partir_de_Excel_Files3[[#This Row],[''FNADT'']]+Tableau_Lancer_la_requête_à_partir_de_Excel_Files3[[#This Row],[''Agriculture'']]</f>
        <v>100018.72</v>
      </c>
      <c r="N29" s="6">
        <v>100018.72</v>
      </c>
      <c r="O29" s="6"/>
      <c r="P29" s="9">
        <f>Tableau_Lancer_la_requête_à_partir_de_Excel_Files3[[#This Row],[''ALPC'']]+Tableau_Lancer_la_requête_à_partir_de_Excel_Files3[[#This Row],[''AURA'']]+Tableau_Lancer_la_requête_à_partir_de_Excel_Files3[[#This Row],[''BFC'']]+Tableau_Lancer_la_requête_à_partir_de_Excel_Files3[[#This Row],[''LRMP'']]</f>
        <v>0</v>
      </c>
      <c r="Q29" s="6"/>
      <c r="R29" s="6"/>
      <c r="S29" s="6"/>
      <c r="T29" s="6"/>
      <c r="U29"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29" s="6"/>
      <c r="W29" s="6"/>
      <c r="X29" s="6"/>
      <c r="Y29" s="6"/>
      <c r="Z29" s="6"/>
      <c r="AA29" s="6"/>
      <c r="AB29" s="6"/>
      <c r="AC29" s="6"/>
      <c r="AD29" s="6"/>
      <c r="AE29" s="6"/>
      <c r="AF29" s="6"/>
      <c r="AG29" s="6"/>
      <c r="AH29" s="6"/>
      <c r="AI29" s="6"/>
      <c r="AJ29" s="6"/>
      <c r="AK29" s="6"/>
      <c r="AL29" s="6"/>
      <c r="AM29" s="6"/>
      <c r="AN29" s="6"/>
      <c r="AO29" s="6"/>
      <c r="AP29" s="6"/>
      <c r="AQ29" s="6"/>
      <c r="AR29" s="6">
        <v>250047</v>
      </c>
      <c r="AS29" s="6">
        <v>0</v>
      </c>
      <c r="AT29" s="6"/>
      <c r="CO29" s="3"/>
      <c r="CP29" s="3"/>
      <c r="CQ29" s="3"/>
      <c r="CR29" s="3"/>
      <c r="CS29" s="3"/>
      <c r="CT29" s="3"/>
      <c r="CU29" s="3"/>
      <c r="CV29" s="3"/>
      <c r="CW29" s="3"/>
      <c r="CX29" s="3"/>
      <c r="CY29" s="3"/>
      <c r="CZ29" s="3"/>
      <c r="DA29" s="3"/>
      <c r="DB29" s="3"/>
      <c r="DC29" s="3"/>
      <c r="DD29" s="3"/>
      <c r="DE29" s="3"/>
      <c r="DF29" s="3"/>
      <c r="DG29" s="3"/>
      <c r="DH29" s="3"/>
      <c r="DI29" s="3"/>
      <c r="DJ29" s="3"/>
    </row>
    <row r="30" spans="1:114" ht="30" x14ac:dyDescent="0.25">
      <c r="A30" s="2" t="s">
        <v>6</v>
      </c>
      <c r="B30" s="8" t="s">
        <v>177</v>
      </c>
      <c r="C30" s="8" t="s">
        <v>247</v>
      </c>
      <c r="D30" s="1" t="s">
        <v>178</v>
      </c>
      <c r="E30" s="1" t="s">
        <v>172</v>
      </c>
      <c r="F30" s="6">
        <v>192427.82</v>
      </c>
      <c r="G30" s="6">
        <v>172475.92</v>
      </c>
      <c r="H30" s="6">
        <f>IF(Tableau_Lancer_la_requête_à_partir_de_Excel_Files3[[#This Row],[Coût total Eligible FEDER]]="",Tableau_Lancer_la_requête_à_partir_de_Excel_Files3[[#This Row],[Coût total déposé]],Tableau_Lancer_la_requête_à_partir_de_Excel_Files3[[#This Row],[Coût total Eligible FEDER]])</f>
        <v>172475.92</v>
      </c>
      <c r="I30" s="6">
        <f>Tableau_Lancer_la_requête_à_partir_de_Excel_Files3[[#This Row],[Aide Massif Obtenu]]+Tableau_Lancer_la_requête_à_partir_de_Excel_Files3[[#This Row],[''Autre Public'']]</f>
        <v>120733.18</v>
      </c>
      <c r="J30" s="7">
        <f>Tableau_Lancer_la_requête_à_partir_de_Excel_Files3[[#This Row],[Aide Publique Obtenue]]/Tableau_Lancer_la_requête_à_partir_de_Excel_Files3[[#This Row],[Coût total]]</f>
        <v>0.70000020872478885</v>
      </c>
      <c r="K30" s="6">
        <f>Tableau_Lancer_la_requête_à_partir_de_Excel_Files3[[#This Row],[Etat]]+Tableau_Lancer_la_requête_à_partir_de_Excel_Files3[[#This Row],[Régions]]+Tableau_Lancer_la_requête_à_partir_de_Excel_Files3[[#This Row],[Départements]]+Tableau_Lancer_la_requête_à_partir_de_Excel_Files3[[#This Row],[''FEDER'']]</f>
        <v>120733.18</v>
      </c>
      <c r="L30" s="7">
        <f>Tableau_Lancer_la_requête_à_partir_de_Excel_Files3[[#This Row],[Aide Massif Obtenu]]/Tableau_Lancer_la_requête_à_partir_de_Excel_Files3[[#This Row],[Coût total]]</f>
        <v>0.70000020872478885</v>
      </c>
      <c r="M30" s="9">
        <f>Tableau_Lancer_la_requête_à_partir_de_Excel_Files3[[#This Row],[''FNADT'']]+Tableau_Lancer_la_requête_à_partir_de_Excel_Files3[[#This Row],[''Agriculture'']]</f>
        <v>34495.18</v>
      </c>
      <c r="N30" s="6">
        <v>34495.18</v>
      </c>
      <c r="O30" s="6"/>
      <c r="P30" s="9">
        <f>Tableau_Lancer_la_requête_à_partir_de_Excel_Files3[[#This Row],[''ALPC'']]+Tableau_Lancer_la_requête_à_partir_de_Excel_Files3[[#This Row],[''AURA'']]+Tableau_Lancer_la_requête_à_partir_de_Excel_Files3[[#This Row],[''BFC'']]+Tableau_Lancer_la_requête_à_partir_de_Excel_Files3[[#This Row],[''LRMP'']]</f>
        <v>0</v>
      </c>
      <c r="Q30" s="6"/>
      <c r="R30" s="6"/>
      <c r="S30" s="6"/>
      <c r="T30" s="6"/>
      <c r="U30"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30" s="6"/>
      <c r="W30" s="6"/>
      <c r="X30" s="6"/>
      <c r="Y30" s="6"/>
      <c r="Z30" s="6"/>
      <c r="AA30" s="6"/>
      <c r="AB30" s="6"/>
      <c r="AC30" s="6"/>
      <c r="AD30" s="6"/>
      <c r="AE30" s="6"/>
      <c r="AF30" s="6"/>
      <c r="AG30" s="6"/>
      <c r="AH30" s="6"/>
      <c r="AI30" s="6"/>
      <c r="AJ30" s="6"/>
      <c r="AK30" s="6"/>
      <c r="AL30" s="6"/>
      <c r="AM30" s="6"/>
      <c r="AN30" s="6"/>
      <c r="AO30" s="6"/>
      <c r="AP30" s="6"/>
      <c r="AQ30" s="6"/>
      <c r="AR30" s="6">
        <v>86238</v>
      </c>
      <c r="AS30" s="6">
        <v>0</v>
      </c>
      <c r="AT30" s="6"/>
      <c r="CO30" s="3"/>
      <c r="CP30" s="3"/>
      <c r="CQ30" s="3"/>
      <c r="CR30" s="3"/>
      <c r="CS30" s="3"/>
      <c r="CT30" s="3"/>
      <c r="CU30" s="3"/>
      <c r="CV30" s="3"/>
      <c r="CW30" s="3"/>
      <c r="CX30" s="3"/>
      <c r="CY30" s="3"/>
      <c r="CZ30" s="3"/>
      <c r="DA30" s="3"/>
      <c r="DB30" s="3"/>
      <c r="DC30" s="3"/>
      <c r="DD30" s="3"/>
      <c r="DE30" s="3"/>
      <c r="DF30" s="3"/>
      <c r="DG30" s="3"/>
      <c r="DH30" s="3"/>
      <c r="DI30" s="3"/>
      <c r="DJ30" s="3"/>
    </row>
    <row r="31" spans="1:114" ht="30" x14ac:dyDescent="0.25">
      <c r="A31" s="2" t="s">
        <v>6</v>
      </c>
      <c r="B31" s="8" t="s">
        <v>179</v>
      </c>
      <c r="C31" s="8" t="s">
        <v>247</v>
      </c>
      <c r="D31" s="1" t="s">
        <v>180</v>
      </c>
      <c r="E31" s="1" t="s">
        <v>172</v>
      </c>
      <c r="F31" s="6">
        <v>186336.74</v>
      </c>
      <c r="G31" s="6">
        <v>183186.38</v>
      </c>
      <c r="H31" s="6">
        <f>IF(Tableau_Lancer_la_requête_à_partir_de_Excel_Files3[[#This Row],[Coût total Eligible FEDER]]="",Tableau_Lancer_la_requête_à_partir_de_Excel_Files3[[#This Row],[Coût total déposé]],Tableau_Lancer_la_requête_à_partir_de_Excel_Files3[[#This Row],[Coût total Eligible FEDER]])</f>
        <v>183186.38</v>
      </c>
      <c r="I31" s="6">
        <f>Tableau_Lancer_la_requête_à_partir_de_Excel_Files3[[#This Row],[Aide Massif Obtenu]]+Tableau_Lancer_la_requête_à_partir_de_Excel_Files3[[#This Row],[''Autre Public'']]</f>
        <v>128230.28</v>
      </c>
      <c r="J31" s="7">
        <f>Tableau_Lancer_la_requête_à_partir_de_Excel_Files3[[#This Row],[Aide Publique Obtenue]]/Tableau_Lancer_la_requête_à_partir_de_Excel_Files3[[#This Row],[Coût total]]</f>
        <v>0.69999898464067034</v>
      </c>
      <c r="K31" s="6">
        <f>Tableau_Lancer_la_requête_à_partir_de_Excel_Files3[[#This Row],[Etat]]+Tableau_Lancer_la_requête_à_partir_de_Excel_Files3[[#This Row],[Régions]]+Tableau_Lancer_la_requête_à_partir_de_Excel_Files3[[#This Row],[Départements]]+Tableau_Lancer_la_requête_à_partir_de_Excel_Files3[[#This Row],[''FEDER'']]</f>
        <v>128230.28</v>
      </c>
      <c r="L31" s="7">
        <f>Tableau_Lancer_la_requête_à_partir_de_Excel_Files3[[#This Row],[Aide Massif Obtenu]]/Tableau_Lancer_la_requête_à_partir_de_Excel_Files3[[#This Row],[Coût total]]</f>
        <v>0.69999898464067034</v>
      </c>
      <c r="M31" s="9">
        <f>Tableau_Lancer_la_requête_à_partir_de_Excel_Files3[[#This Row],[''FNADT'']]+Tableau_Lancer_la_requête_à_partir_de_Excel_Files3[[#This Row],[''Agriculture'']]</f>
        <v>36637.279999999999</v>
      </c>
      <c r="N31" s="6">
        <v>36637.279999999999</v>
      </c>
      <c r="O31" s="6"/>
      <c r="P31" s="9">
        <f>Tableau_Lancer_la_requête_à_partir_de_Excel_Files3[[#This Row],[''ALPC'']]+Tableau_Lancer_la_requête_à_partir_de_Excel_Files3[[#This Row],[''AURA'']]+Tableau_Lancer_la_requête_à_partir_de_Excel_Files3[[#This Row],[''BFC'']]+Tableau_Lancer_la_requête_à_partir_de_Excel_Files3[[#This Row],[''LRMP'']]</f>
        <v>0</v>
      </c>
      <c r="Q31" s="6"/>
      <c r="R31" s="6"/>
      <c r="S31" s="6"/>
      <c r="T31" s="6"/>
      <c r="U31"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31" s="6"/>
      <c r="W31" s="6"/>
      <c r="X31" s="6"/>
      <c r="Y31" s="6"/>
      <c r="Z31" s="6"/>
      <c r="AA31" s="6"/>
      <c r="AB31" s="6"/>
      <c r="AC31" s="6"/>
      <c r="AD31" s="6"/>
      <c r="AE31" s="6"/>
      <c r="AF31" s="6"/>
      <c r="AG31" s="6"/>
      <c r="AH31" s="6"/>
      <c r="AI31" s="6"/>
      <c r="AJ31" s="6"/>
      <c r="AK31" s="6"/>
      <c r="AL31" s="6"/>
      <c r="AM31" s="6"/>
      <c r="AN31" s="6"/>
      <c r="AO31" s="6"/>
      <c r="AP31" s="6"/>
      <c r="AQ31" s="6"/>
      <c r="AR31" s="6">
        <v>91593</v>
      </c>
      <c r="AS31" s="6">
        <v>0</v>
      </c>
      <c r="AT31" s="6"/>
      <c r="CO31" s="3"/>
      <c r="CP31" s="3"/>
      <c r="CQ31" s="3"/>
      <c r="CR31" s="3"/>
      <c r="CS31" s="3"/>
      <c r="CT31" s="3"/>
      <c r="CU31" s="3"/>
      <c r="CV31" s="3"/>
      <c r="CW31" s="3"/>
      <c r="CX31" s="3"/>
      <c r="CY31" s="3"/>
      <c r="CZ31" s="3"/>
      <c r="DA31" s="3"/>
      <c r="DB31" s="3"/>
      <c r="DC31" s="3"/>
      <c r="DD31" s="3"/>
      <c r="DE31" s="3"/>
      <c r="DF31" s="3"/>
      <c r="DG31" s="3"/>
      <c r="DH31" s="3"/>
      <c r="DI31" s="3"/>
      <c r="DJ31" s="3"/>
    </row>
    <row r="32" spans="1:114" ht="30" x14ac:dyDescent="0.25">
      <c r="A32" s="2" t="s">
        <v>6</v>
      </c>
      <c r="B32" s="8" t="s">
        <v>181</v>
      </c>
      <c r="C32" s="8" t="s">
        <v>247</v>
      </c>
      <c r="D32" s="1" t="s">
        <v>12</v>
      </c>
      <c r="E32" s="1" t="s">
        <v>172</v>
      </c>
      <c r="F32" s="6">
        <v>246000</v>
      </c>
      <c r="G32" s="6">
        <v>218250.06</v>
      </c>
      <c r="H32" s="6">
        <f>IF(Tableau_Lancer_la_requête_à_partir_de_Excel_Files3[[#This Row],[Coût total Eligible FEDER]]="",Tableau_Lancer_la_requête_à_partir_de_Excel_Files3[[#This Row],[Coût total déposé]],Tableau_Lancer_la_requête_à_partir_de_Excel_Files3[[#This Row],[Coût total Eligible FEDER]])</f>
        <v>218250.06</v>
      </c>
      <c r="I32" s="6">
        <f>Tableau_Lancer_la_requête_à_partir_de_Excel_Files3[[#This Row],[Aide Massif Obtenu]]+Tableau_Lancer_la_requête_à_partir_de_Excel_Files3[[#This Row],[''Autre Public'']]</f>
        <v>152775.01</v>
      </c>
      <c r="J32" s="7">
        <f>Tableau_Lancer_la_requête_à_partir_de_Excel_Files3[[#This Row],[Aide Publique Obtenue]]/Tableau_Lancer_la_requête_à_partir_de_Excel_Files3[[#This Row],[Coût total]]</f>
        <v>0.69999985337919268</v>
      </c>
      <c r="K32" s="6">
        <f>Tableau_Lancer_la_requête_à_partir_de_Excel_Files3[[#This Row],[Etat]]+Tableau_Lancer_la_requête_à_partir_de_Excel_Files3[[#This Row],[Régions]]+Tableau_Lancer_la_requête_à_partir_de_Excel_Files3[[#This Row],[Départements]]+Tableau_Lancer_la_requête_à_partir_de_Excel_Files3[[#This Row],[''FEDER'']]</f>
        <v>152775.01</v>
      </c>
      <c r="L32" s="7">
        <f>Tableau_Lancer_la_requête_à_partir_de_Excel_Files3[[#This Row],[Aide Massif Obtenu]]/Tableau_Lancer_la_requête_à_partir_de_Excel_Files3[[#This Row],[Coût total]]</f>
        <v>0.69999985337919268</v>
      </c>
      <c r="M32" s="9">
        <f>Tableau_Lancer_la_requête_à_partir_de_Excel_Files3[[#This Row],[''FNADT'']]+Tableau_Lancer_la_requête_à_partir_de_Excel_Files3[[#This Row],[''Agriculture'']]</f>
        <v>43650.01</v>
      </c>
      <c r="N32" s="6">
        <v>43650.01</v>
      </c>
      <c r="O32" s="6"/>
      <c r="P32" s="9">
        <f>Tableau_Lancer_la_requête_à_partir_de_Excel_Files3[[#This Row],[''ALPC'']]+Tableau_Lancer_la_requête_à_partir_de_Excel_Files3[[#This Row],[''AURA'']]+Tableau_Lancer_la_requête_à_partir_de_Excel_Files3[[#This Row],[''BFC'']]+Tableau_Lancer_la_requête_à_partir_de_Excel_Files3[[#This Row],[''LRMP'']]</f>
        <v>0</v>
      </c>
      <c r="Q32" s="6"/>
      <c r="R32" s="6"/>
      <c r="S32" s="6"/>
      <c r="T32" s="6"/>
      <c r="U32"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32" s="6"/>
      <c r="W32" s="6"/>
      <c r="X32" s="6"/>
      <c r="Y32" s="6"/>
      <c r="Z32" s="6"/>
      <c r="AA32" s="6"/>
      <c r="AB32" s="6"/>
      <c r="AC32" s="6"/>
      <c r="AD32" s="6"/>
      <c r="AE32" s="6"/>
      <c r="AF32" s="6"/>
      <c r="AG32" s="6"/>
      <c r="AH32" s="6"/>
      <c r="AI32" s="6"/>
      <c r="AJ32" s="6"/>
      <c r="AK32" s="6"/>
      <c r="AL32" s="6"/>
      <c r="AM32" s="6"/>
      <c r="AN32" s="6"/>
      <c r="AO32" s="6"/>
      <c r="AP32" s="6"/>
      <c r="AQ32" s="6"/>
      <c r="AR32" s="6">
        <v>109125</v>
      </c>
      <c r="AS32" s="6">
        <v>0</v>
      </c>
      <c r="AT32" s="6"/>
      <c r="CO32" s="3"/>
      <c r="CP32" s="3"/>
      <c r="CQ32" s="3"/>
      <c r="CR32" s="3"/>
      <c r="CS32" s="3"/>
      <c r="CT32" s="3"/>
      <c r="CU32" s="3"/>
      <c r="CV32" s="3"/>
      <c r="CW32" s="3"/>
      <c r="CX32" s="3"/>
      <c r="CY32" s="3"/>
      <c r="CZ32" s="3"/>
      <c r="DA32" s="3"/>
      <c r="DB32" s="3"/>
      <c r="DC32" s="3"/>
      <c r="DD32" s="3"/>
      <c r="DE32" s="3"/>
      <c r="DF32" s="3"/>
      <c r="DG32" s="3"/>
      <c r="DH32" s="3"/>
      <c r="DI32" s="3"/>
      <c r="DJ32" s="3"/>
    </row>
    <row r="33" spans="1:114" ht="30" x14ac:dyDescent="0.25">
      <c r="A33" s="2" t="s">
        <v>6</v>
      </c>
      <c r="B33" s="8" t="s">
        <v>182</v>
      </c>
      <c r="C33" s="8" t="s">
        <v>248</v>
      </c>
      <c r="D33" s="1" t="s">
        <v>183</v>
      </c>
      <c r="E33" s="1" t="s">
        <v>184</v>
      </c>
      <c r="F33" s="6">
        <v>260439.78644</v>
      </c>
      <c r="G33" s="6">
        <v>258758.82</v>
      </c>
      <c r="H33" s="6">
        <f>IF(Tableau_Lancer_la_requête_à_partir_de_Excel_Files3[[#This Row],[Coût total Eligible FEDER]]="",Tableau_Lancer_la_requête_à_partir_de_Excel_Files3[[#This Row],[Coût total déposé]],Tableau_Lancer_la_requête_à_partir_de_Excel_Files3[[#This Row],[Coût total Eligible FEDER]])</f>
        <v>258758.82</v>
      </c>
      <c r="I33" s="6">
        <f>Tableau_Lancer_la_requête_à_partir_de_Excel_Files3[[#This Row],[Aide Massif Obtenu]]+Tableau_Lancer_la_requête_à_partir_de_Excel_Files3[[#This Row],[''Autre Public'']]</f>
        <v>179494.8088458167</v>
      </c>
      <c r="J33" s="7">
        <f>Tableau_Lancer_la_requête_à_partir_de_Excel_Files3[[#This Row],[Aide Publique Obtenue]]/Tableau_Lancer_la_requête_à_partir_de_Excel_Files3[[#This Row],[Coût total]]</f>
        <v>0.69367609902463112</v>
      </c>
      <c r="K33" s="6">
        <f>Tableau_Lancer_la_requête_à_partir_de_Excel_Files3[[#This Row],[Etat]]+Tableau_Lancer_la_requête_à_partir_de_Excel_Files3[[#This Row],[Régions]]+Tableau_Lancer_la_requête_à_partir_de_Excel_Files3[[#This Row],[Départements]]+Tableau_Lancer_la_requête_à_partir_de_Excel_Files3[[#This Row],[''FEDER'']]</f>
        <v>179494.8088458167</v>
      </c>
      <c r="L33" s="7">
        <f>Tableau_Lancer_la_requête_à_partir_de_Excel_Files3[[#This Row],[Aide Massif Obtenu]]/Tableau_Lancer_la_requête_à_partir_de_Excel_Files3[[#This Row],[Coût total]]</f>
        <v>0.69367609902463112</v>
      </c>
      <c r="M33" s="9">
        <f>Tableau_Lancer_la_requête_à_partir_de_Excel_Files3[[#This Row],[''FNADT'']]+Tableau_Lancer_la_requête_à_partir_de_Excel_Files3[[#This Row],[''Agriculture'']]</f>
        <v>25757.67</v>
      </c>
      <c r="N33" s="6">
        <v>25757.67</v>
      </c>
      <c r="O33" s="6"/>
      <c r="P33" s="9">
        <f>Tableau_Lancer_la_requête_à_partir_de_Excel_Files3[[#This Row],[''ALPC'']]+Tableau_Lancer_la_requête_à_partir_de_Excel_Files3[[#This Row],[''AURA'']]+Tableau_Lancer_la_requête_à_partir_de_Excel_Files3[[#This Row],[''BFC'']]+Tableau_Lancer_la_requête_à_partir_de_Excel_Files3[[#This Row],[''LRMP'']]</f>
        <v>22571.09</v>
      </c>
      <c r="Q33" s="6"/>
      <c r="R33" s="6">
        <v>9655</v>
      </c>
      <c r="S33" s="6"/>
      <c r="T33" s="6">
        <v>12916.09</v>
      </c>
      <c r="U33"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28307.048845816713</v>
      </c>
      <c r="V33" s="6"/>
      <c r="W33" s="6"/>
      <c r="X33" s="6"/>
      <c r="Y33" s="6"/>
      <c r="Z33" s="6"/>
      <c r="AA33" s="6"/>
      <c r="AB33" s="6"/>
      <c r="AC33" s="6"/>
      <c r="AD33" s="6">
        <v>8941.9108349914513</v>
      </c>
      <c r="AE33" s="6"/>
      <c r="AF33" s="6"/>
      <c r="AG33" s="6">
        <v>10920</v>
      </c>
      <c r="AH33" s="6"/>
      <c r="AI33" s="6">
        <v>8445.1380108252597</v>
      </c>
      <c r="AJ33" s="6"/>
      <c r="AK33" s="6"/>
      <c r="AL33" s="6"/>
      <c r="AM33" s="6"/>
      <c r="AN33" s="6"/>
      <c r="AO33" s="6"/>
      <c r="AP33" s="6"/>
      <c r="AQ33" s="6"/>
      <c r="AR33" s="6">
        <v>102859</v>
      </c>
      <c r="AS33" s="6">
        <v>0</v>
      </c>
      <c r="AT33" s="6"/>
      <c r="CO33" s="3"/>
      <c r="CP33" s="3"/>
      <c r="CQ33" s="3"/>
      <c r="CR33" s="3"/>
      <c r="CS33" s="3"/>
      <c r="CT33" s="3"/>
      <c r="CU33" s="3"/>
      <c r="CV33" s="3"/>
      <c r="CW33" s="3"/>
      <c r="CX33" s="3"/>
      <c r="CY33" s="3"/>
      <c r="CZ33" s="3"/>
      <c r="DA33" s="3"/>
      <c r="DB33" s="3"/>
      <c r="DC33" s="3"/>
      <c r="DD33" s="3"/>
      <c r="DE33" s="3"/>
      <c r="DF33" s="3"/>
      <c r="DG33" s="3"/>
      <c r="DH33" s="3"/>
      <c r="DI33" s="3"/>
      <c r="DJ33" s="3"/>
    </row>
    <row r="34" spans="1:114" ht="30" x14ac:dyDescent="0.25">
      <c r="A34" s="2" t="s">
        <v>5</v>
      </c>
      <c r="B34" s="8" t="s">
        <v>185</v>
      </c>
      <c r="C34" s="8" t="s">
        <v>249</v>
      </c>
      <c r="D34" s="1" t="s">
        <v>186</v>
      </c>
      <c r="E34" s="1" t="s">
        <v>187</v>
      </c>
      <c r="F34" s="6">
        <v>96552.84</v>
      </c>
      <c r="G34" s="6"/>
      <c r="H34" s="6">
        <f>IF(Tableau_Lancer_la_requête_à_partir_de_Excel_Files3[[#This Row],[Coût total Eligible FEDER]]="",Tableau_Lancer_la_requête_à_partir_de_Excel_Files3[[#This Row],[Coût total déposé]],Tableau_Lancer_la_requête_à_partir_de_Excel_Files3[[#This Row],[Coût total Eligible FEDER]])</f>
        <v>96552.84</v>
      </c>
      <c r="I34" s="6">
        <f>Tableau_Lancer_la_requête_à_partir_de_Excel_Files3[[#This Row],[Aide Massif Obtenu]]+Tableau_Lancer_la_requête_à_partir_de_Excel_Files3[[#This Row],[''Autre Public'']]</f>
        <v>60000</v>
      </c>
      <c r="J34" s="7">
        <f>Tableau_Lancer_la_requête_à_partir_de_Excel_Files3[[#This Row],[Aide Publique Obtenue]]/Tableau_Lancer_la_requête_à_partir_de_Excel_Files3[[#This Row],[Coût total]]</f>
        <v>0.62142138957279769</v>
      </c>
      <c r="K34" s="6">
        <f>Tableau_Lancer_la_requête_à_partir_de_Excel_Files3[[#This Row],[Etat]]+Tableau_Lancer_la_requête_à_partir_de_Excel_Files3[[#This Row],[Régions]]+Tableau_Lancer_la_requête_à_partir_de_Excel_Files3[[#This Row],[Départements]]+Tableau_Lancer_la_requête_à_partir_de_Excel_Files3[[#This Row],[''FEDER'']]</f>
        <v>60000</v>
      </c>
      <c r="L34" s="7">
        <f>Tableau_Lancer_la_requête_à_partir_de_Excel_Files3[[#This Row],[Aide Massif Obtenu]]/Tableau_Lancer_la_requête_à_partir_de_Excel_Files3[[#This Row],[Coût total]]</f>
        <v>0.62142138957279769</v>
      </c>
      <c r="M34" s="9">
        <f>Tableau_Lancer_la_requête_à_partir_de_Excel_Files3[[#This Row],[''FNADT'']]+Tableau_Lancer_la_requête_à_partir_de_Excel_Files3[[#This Row],[''Agriculture'']]</f>
        <v>50344.72</v>
      </c>
      <c r="N34" s="6">
        <v>50344.72</v>
      </c>
      <c r="O34" s="6"/>
      <c r="P34" s="9">
        <f>Tableau_Lancer_la_requête_à_partir_de_Excel_Files3[[#This Row],[''ALPC'']]+Tableau_Lancer_la_requête_à_partir_de_Excel_Files3[[#This Row],[''AURA'']]+Tableau_Lancer_la_requête_à_partir_de_Excel_Files3[[#This Row],[''BFC'']]+Tableau_Lancer_la_requête_à_partir_de_Excel_Files3[[#This Row],[''LRMP'']]</f>
        <v>0</v>
      </c>
      <c r="Q34" s="6"/>
      <c r="R34" s="6"/>
      <c r="S34" s="6"/>
      <c r="T34" s="6"/>
      <c r="U34"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9655.2800000000007</v>
      </c>
      <c r="V34" s="6"/>
      <c r="W34" s="6">
        <v>9655.2800000000007</v>
      </c>
      <c r="X34" s="6"/>
      <c r="Y34" s="6"/>
      <c r="Z34" s="6"/>
      <c r="AA34" s="6"/>
      <c r="AB34" s="6"/>
      <c r="AC34" s="6"/>
      <c r="AD34" s="6"/>
      <c r="AE34" s="6"/>
      <c r="AF34" s="6"/>
      <c r="AG34" s="6"/>
      <c r="AH34" s="6"/>
      <c r="AI34" s="6"/>
      <c r="AJ34" s="6"/>
      <c r="AK34" s="6"/>
      <c r="AL34" s="6"/>
      <c r="AM34" s="6"/>
      <c r="AN34" s="6"/>
      <c r="AO34" s="6"/>
      <c r="AP34" s="6"/>
      <c r="AQ34" s="6"/>
      <c r="AR34" s="6">
        <v>0</v>
      </c>
      <c r="AS34" s="6">
        <v>0</v>
      </c>
      <c r="AT34" s="6"/>
      <c r="CO34" s="3"/>
      <c r="CP34" s="3"/>
      <c r="CQ34" s="3"/>
      <c r="CR34" s="3"/>
      <c r="CS34" s="3"/>
      <c r="CT34" s="3"/>
      <c r="CU34" s="3"/>
      <c r="CV34" s="3"/>
      <c r="CW34" s="3"/>
      <c r="CX34" s="3"/>
      <c r="CY34" s="3"/>
      <c r="CZ34" s="3"/>
      <c r="DA34" s="3"/>
      <c r="DB34" s="3"/>
      <c r="DC34" s="3"/>
      <c r="DD34" s="3"/>
      <c r="DE34" s="3"/>
      <c r="DF34" s="3"/>
      <c r="DG34" s="3"/>
      <c r="DH34" s="3"/>
      <c r="DI34" s="3"/>
      <c r="DJ34" s="3"/>
    </row>
    <row r="35" spans="1:114" x14ac:dyDescent="0.25">
      <c r="A35" s="2" t="s">
        <v>5</v>
      </c>
      <c r="B35" s="8" t="s">
        <v>188</v>
      </c>
      <c r="C35" s="8" t="s">
        <v>249</v>
      </c>
      <c r="D35" s="1" t="s">
        <v>189</v>
      </c>
      <c r="E35" s="1" t="s">
        <v>187</v>
      </c>
      <c r="F35" s="6">
        <v>100709.77799999999</v>
      </c>
      <c r="G35" s="6"/>
      <c r="H35" s="6">
        <f>IF(Tableau_Lancer_la_requête_à_partir_de_Excel_Files3[[#This Row],[Coût total Eligible FEDER]]="",Tableau_Lancer_la_requête_à_partir_de_Excel_Files3[[#This Row],[Coût total déposé]],Tableau_Lancer_la_requête_à_partir_de_Excel_Files3[[#This Row],[Coût total Eligible FEDER]])</f>
        <v>100709.77799999999</v>
      </c>
      <c r="I35" s="6">
        <f>Tableau_Lancer_la_requête_à_partir_de_Excel_Files3[[#This Row],[Aide Massif Obtenu]]+Tableau_Lancer_la_requête_à_partir_de_Excel_Files3[[#This Row],[''Autre Public'']]</f>
        <v>32400</v>
      </c>
      <c r="J35" s="7">
        <f>Tableau_Lancer_la_requête_à_partir_de_Excel_Files3[[#This Row],[Aide Publique Obtenue]]/Tableau_Lancer_la_requête_à_partir_de_Excel_Files3[[#This Row],[Coût total]]</f>
        <v>0.32171652686991331</v>
      </c>
      <c r="K35" s="6">
        <f>Tableau_Lancer_la_requête_à_partir_de_Excel_Files3[[#This Row],[Etat]]+Tableau_Lancer_la_requête_à_partir_de_Excel_Files3[[#This Row],[Régions]]+Tableau_Lancer_la_requête_à_partir_de_Excel_Files3[[#This Row],[Départements]]+Tableau_Lancer_la_requête_à_partir_de_Excel_Files3[[#This Row],[''FEDER'']]</f>
        <v>32400</v>
      </c>
      <c r="L35" s="7">
        <f>Tableau_Lancer_la_requête_à_partir_de_Excel_Files3[[#This Row],[Aide Massif Obtenu]]/Tableau_Lancer_la_requête_à_partir_de_Excel_Files3[[#This Row],[Coût total]]</f>
        <v>0.32171652686991331</v>
      </c>
      <c r="M35" s="9">
        <f>Tableau_Lancer_la_requête_à_partir_de_Excel_Files3[[#This Row],[''FNADT'']]+Tableau_Lancer_la_requête_à_partir_de_Excel_Files3[[#This Row],[''Agriculture'']]</f>
        <v>32400</v>
      </c>
      <c r="N35" s="6">
        <v>32400</v>
      </c>
      <c r="O35" s="6"/>
      <c r="P35" s="9">
        <f>Tableau_Lancer_la_requête_à_partir_de_Excel_Files3[[#This Row],[''ALPC'']]+Tableau_Lancer_la_requête_à_partir_de_Excel_Files3[[#This Row],[''AURA'']]+Tableau_Lancer_la_requête_à_partir_de_Excel_Files3[[#This Row],[''BFC'']]+Tableau_Lancer_la_requête_à_partir_de_Excel_Files3[[#This Row],[''LRMP'']]</f>
        <v>0</v>
      </c>
      <c r="Q35" s="6"/>
      <c r="R35" s="6"/>
      <c r="S35" s="6"/>
      <c r="T35" s="6"/>
      <c r="U35"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35" s="6"/>
      <c r="W35" s="6"/>
      <c r="X35" s="6"/>
      <c r="Y35" s="6"/>
      <c r="Z35" s="6"/>
      <c r="AA35" s="6"/>
      <c r="AB35" s="6"/>
      <c r="AC35" s="6"/>
      <c r="AD35" s="6"/>
      <c r="AE35" s="6"/>
      <c r="AF35" s="6"/>
      <c r="AG35" s="6"/>
      <c r="AH35" s="6"/>
      <c r="AI35" s="6"/>
      <c r="AJ35" s="6"/>
      <c r="AK35" s="6"/>
      <c r="AL35" s="6"/>
      <c r="AM35" s="6"/>
      <c r="AN35" s="6"/>
      <c r="AO35" s="6"/>
      <c r="AP35" s="6"/>
      <c r="AQ35" s="6"/>
      <c r="AR35" s="6">
        <v>0</v>
      </c>
      <c r="AS35" s="6">
        <v>0</v>
      </c>
      <c r="AT35" s="6"/>
      <c r="CO35" s="3"/>
      <c r="CP35" s="3"/>
      <c r="CQ35" s="3"/>
      <c r="CR35" s="3"/>
      <c r="CS35" s="3"/>
      <c r="CT35" s="3"/>
      <c r="CU35" s="3"/>
      <c r="CV35" s="3"/>
      <c r="CW35" s="3"/>
      <c r="CX35" s="3"/>
      <c r="CY35" s="3"/>
      <c r="CZ35" s="3"/>
      <c r="DA35" s="3"/>
      <c r="DB35" s="3"/>
      <c r="DC35" s="3"/>
      <c r="DD35" s="3"/>
      <c r="DE35" s="3"/>
      <c r="DF35" s="3"/>
      <c r="DG35" s="3"/>
      <c r="DH35" s="3"/>
      <c r="DI35" s="3"/>
      <c r="DJ35" s="3"/>
    </row>
    <row r="36" spans="1:114" x14ac:dyDescent="0.25">
      <c r="A36" s="2" t="s">
        <v>6</v>
      </c>
      <c r="B36" s="8" t="s">
        <v>190</v>
      </c>
      <c r="C36" s="8" t="s">
        <v>249</v>
      </c>
      <c r="D36" s="1" t="s">
        <v>191</v>
      </c>
      <c r="E36" s="1" t="s">
        <v>187</v>
      </c>
      <c r="F36" s="6">
        <v>102164.25</v>
      </c>
      <c r="G36" s="6">
        <v>45044.6</v>
      </c>
      <c r="H36" s="6">
        <f>IF(Tableau_Lancer_la_requête_à_partir_de_Excel_Files3[[#This Row],[Coût total Eligible FEDER]]="",Tableau_Lancer_la_requête_à_partir_de_Excel_Files3[[#This Row],[Coût total déposé]],Tableau_Lancer_la_requête_à_partir_de_Excel_Files3[[#This Row],[Coût total Eligible FEDER]])</f>
        <v>45044.6</v>
      </c>
      <c r="I36" s="6">
        <f>Tableau_Lancer_la_requête_à_partir_de_Excel_Files3[[#This Row],[Aide Massif Obtenu]]+Tableau_Lancer_la_requête_à_partir_de_Excel_Files3[[#This Row],[''Autre Public'']]</f>
        <v>33000</v>
      </c>
      <c r="J36" s="7">
        <f>Tableau_Lancer_la_requête_à_partir_de_Excel_Files3[[#This Row],[Aide Publique Obtenue]]/Tableau_Lancer_la_requête_à_partir_de_Excel_Files3[[#This Row],[Coût total]]</f>
        <v>0.73260723815951301</v>
      </c>
      <c r="K36" s="6">
        <f>Tableau_Lancer_la_requête_à_partir_de_Excel_Files3[[#This Row],[Etat]]+Tableau_Lancer_la_requête_à_partir_de_Excel_Files3[[#This Row],[Régions]]+Tableau_Lancer_la_requête_à_partir_de_Excel_Files3[[#This Row],[Départements]]+Tableau_Lancer_la_requête_à_partir_de_Excel_Files3[[#This Row],[''FEDER'']]</f>
        <v>33000</v>
      </c>
      <c r="L36" s="7">
        <f>Tableau_Lancer_la_requête_à_partir_de_Excel_Files3[[#This Row],[Aide Massif Obtenu]]/Tableau_Lancer_la_requête_à_partir_de_Excel_Files3[[#This Row],[Coût total]]</f>
        <v>0.73260723815951301</v>
      </c>
      <c r="M36" s="9">
        <f>Tableau_Lancer_la_requête_à_partir_de_Excel_Files3[[#This Row],[''FNADT'']]+Tableau_Lancer_la_requête_à_partir_de_Excel_Files3[[#This Row],[''Agriculture'']]</f>
        <v>21628.53</v>
      </c>
      <c r="N36" s="6">
        <v>21628.53</v>
      </c>
      <c r="O36" s="6"/>
      <c r="P36" s="9">
        <f>Tableau_Lancer_la_requête_à_partir_de_Excel_Files3[[#This Row],[''ALPC'']]+Tableau_Lancer_la_requête_à_partir_de_Excel_Files3[[#This Row],[''AURA'']]+Tableau_Lancer_la_requête_à_partir_de_Excel_Files3[[#This Row],[''BFC'']]+Tableau_Lancer_la_requête_à_partir_de_Excel_Files3[[#This Row],[''LRMP'']]</f>
        <v>0</v>
      </c>
      <c r="Q36" s="6"/>
      <c r="R36" s="6"/>
      <c r="S36" s="6"/>
      <c r="T36" s="6"/>
      <c r="U36"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36" s="6"/>
      <c r="W36" s="6"/>
      <c r="X36" s="6"/>
      <c r="Y36" s="6"/>
      <c r="Z36" s="6"/>
      <c r="AA36" s="6"/>
      <c r="AB36" s="6"/>
      <c r="AC36" s="6"/>
      <c r="AD36" s="6"/>
      <c r="AE36" s="6"/>
      <c r="AF36" s="6"/>
      <c r="AG36" s="6"/>
      <c r="AH36" s="6"/>
      <c r="AI36" s="6"/>
      <c r="AJ36" s="6"/>
      <c r="AK36" s="6"/>
      <c r="AL36" s="6"/>
      <c r="AM36" s="6"/>
      <c r="AN36" s="6"/>
      <c r="AO36" s="6"/>
      <c r="AP36" s="6"/>
      <c r="AQ36" s="6"/>
      <c r="AR36" s="6">
        <v>11371.47</v>
      </c>
      <c r="AS36" s="6">
        <v>0</v>
      </c>
      <c r="AT36" s="6"/>
      <c r="CO36" s="3"/>
      <c r="CP36" s="3"/>
      <c r="CQ36" s="3"/>
      <c r="CR36" s="3"/>
      <c r="CS36" s="3"/>
      <c r="CT36" s="3"/>
      <c r="CU36" s="3"/>
      <c r="CV36" s="3"/>
      <c r="CW36" s="3"/>
      <c r="CX36" s="3"/>
      <c r="CY36" s="3"/>
      <c r="CZ36" s="3"/>
      <c r="DA36" s="3"/>
      <c r="DB36" s="3"/>
      <c r="DC36" s="3"/>
      <c r="DD36" s="3"/>
      <c r="DE36" s="3"/>
      <c r="DF36" s="3"/>
      <c r="DG36" s="3"/>
      <c r="DH36" s="3"/>
      <c r="DI36" s="3"/>
      <c r="DJ36" s="3"/>
    </row>
    <row r="37" spans="1:114" x14ac:dyDescent="0.25">
      <c r="A37" s="2" t="s">
        <v>6</v>
      </c>
      <c r="B37" s="8" t="s">
        <v>192</v>
      </c>
      <c r="C37" s="8" t="s">
        <v>249</v>
      </c>
      <c r="D37" s="1" t="s">
        <v>193</v>
      </c>
      <c r="E37" s="1" t="s">
        <v>187</v>
      </c>
      <c r="F37" s="6">
        <v>79078.78</v>
      </c>
      <c r="G37" s="6">
        <v>42703.62</v>
      </c>
      <c r="H37" s="6">
        <f>IF(Tableau_Lancer_la_requête_à_partir_de_Excel_Files3[[#This Row],[Coût total Eligible FEDER]]="",Tableau_Lancer_la_requête_à_partir_de_Excel_Files3[[#This Row],[Coût total déposé]],Tableau_Lancer_la_requête_à_partir_de_Excel_Files3[[#This Row],[Coût total Eligible FEDER]])</f>
        <v>42703.62</v>
      </c>
      <c r="I37" s="6">
        <f>Tableau_Lancer_la_requête_à_partir_de_Excel_Files3[[#This Row],[Aide Massif Obtenu]]+Tableau_Lancer_la_requête_à_partir_de_Excel_Files3[[#This Row],[''Autre Public'']]</f>
        <v>31279.54</v>
      </c>
      <c r="J37" s="7">
        <f>Tableau_Lancer_la_requête_à_partir_de_Excel_Files3[[#This Row],[Aide Publique Obtenue]]/Tableau_Lancer_la_requête_à_partir_de_Excel_Files3[[#This Row],[Coût total]]</f>
        <v>0.73247982255368516</v>
      </c>
      <c r="K37" s="6">
        <f>Tableau_Lancer_la_requête_à_partir_de_Excel_Files3[[#This Row],[Etat]]+Tableau_Lancer_la_requête_à_partir_de_Excel_Files3[[#This Row],[Régions]]+Tableau_Lancer_la_requête_à_partir_de_Excel_Files3[[#This Row],[Départements]]+Tableau_Lancer_la_requête_à_partir_de_Excel_Files3[[#This Row],[''FEDER'']]</f>
        <v>31279.54</v>
      </c>
      <c r="L37" s="7">
        <f>Tableau_Lancer_la_requête_à_partir_de_Excel_Files3[[#This Row],[Aide Massif Obtenu]]/Tableau_Lancer_la_requête_à_partir_de_Excel_Files3[[#This Row],[Coût total]]</f>
        <v>0.73247982255368516</v>
      </c>
      <c r="M37" s="9">
        <f>Tableau_Lancer_la_requête_à_partir_de_Excel_Files3[[#This Row],[''FNADT'']]+Tableau_Lancer_la_requête_à_partir_de_Excel_Files3[[#This Row],[''Agriculture'']]</f>
        <v>20514.27</v>
      </c>
      <c r="N37" s="6">
        <v>20514.27</v>
      </c>
      <c r="O37" s="6"/>
      <c r="P37" s="9">
        <f>Tableau_Lancer_la_requête_à_partir_de_Excel_Files3[[#This Row],[''ALPC'']]+Tableau_Lancer_la_requête_à_partir_de_Excel_Files3[[#This Row],[''AURA'']]+Tableau_Lancer_la_requête_à_partir_de_Excel_Files3[[#This Row],[''BFC'']]+Tableau_Lancer_la_requête_à_partir_de_Excel_Files3[[#This Row],[''LRMP'']]</f>
        <v>0</v>
      </c>
      <c r="Q37" s="6"/>
      <c r="R37" s="6"/>
      <c r="S37" s="6"/>
      <c r="T37" s="6"/>
      <c r="U37"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37" s="6"/>
      <c r="W37" s="6"/>
      <c r="X37" s="6"/>
      <c r="Y37" s="6"/>
      <c r="Z37" s="6"/>
      <c r="AA37" s="6"/>
      <c r="AB37" s="6"/>
      <c r="AC37" s="6"/>
      <c r="AD37" s="6"/>
      <c r="AE37" s="6"/>
      <c r="AF37" s="6"/>
      <c r="AG37" s="6"/>
      <c r="AH37" s="6"/>
      <c r="AI37" s="6"/>
      <c r="AJ37" s="6"/>
      <c r="AK37" s="6"/>
      <c r="AL37" s="6"/>
      <c r="AM37" s="6"/>
      <c r="AN37" s="6"/>
      <c r="AO37" s="6"/>
      <c r="AP37" s="6"/>
      <c r="AQ37" s="6"/>
      <c r="AR37" s="6">
        <v>10765.27</v>
      </c>
      <c r="AS37" s="6">
        <v>0</v>
      </c>
      <c r="AT37" s="6"/>
      <c r="CO37" s="3"/>
      <c r="CP37" s="3"/>
      <c r="CQ37" s="3"/>
      <c r="CR37" s="3"/>
      <c r="CS37" s="3"/>
      <c r="CT37" s="3"/>
      <c r="CU37" s="3"/>
      <c r="CV37" s="3"/>
      <c r="CW37" s="3"/>
      <c r="CX37" s="3"/>
      <c r="CY37" s="3"/>
      <c r="CZ37" s="3"/>
      <c r="DA37" s="3"/>
      <c r="DB37" s="3"/>
      <c r="DC37" s="3"/>
      <c r="DD37" s="3"/>
      <c r="DE37" s="3"/>
      <c r="DF37" s="3"/>
      <c r="DG37" s="3"/>
      <c r="DH37" s="3"/>
      <c r="DI37" s="3"/>
      <c r="DJ37" s="3"/>
    </row>
    <row r="38" spans="1:114" x14ac:dyDescent="0.25">
      <c r="A38" s="2" t="s">
        <v>6</v>
      </c>
      <c r="B38" s="8" t="s">
        <v>194</v>
      </c>
      <c r="C38" s="8" t="s">
        <v>249</v>
      </c>
      <c r="D38" s="1" t="s">
        <v>195</v>
      </c>
      <c r="E38" s="1" t="s">
        <v>187</v>
      </c>
      <c r="F38" s="6">
        <v>134313.15765624651</v>
      </c>
      <c r="G38" s="6">
        <v>116706.45</v>
      </c>
      <c r="H38" s="6">
        <f>IF(Tableau_Lancer_la_requête_à_partir_de_Excel_Files3[[#This Row],[Coût total Eligible FEDER]]="",Tableau_Lancer_la_requête_à_partir_de_Excel_Files3[[#This Row],[Coût total déposé]],Tableau_Lancer_la_requête_à_partir_de_Excel_Files3[[#This Row],[Coût total Eligible FEDER]])</f>
        <v>116706.45</v>
      </c>
      <c r="I38" s="6">
        <f>Tableau_Lancer_la_requête_à_partir_de_Excel_Files3[[#This Row],[Aide Massif Obtenu]]+Tableau_Lancer_la_requête_à_partir_de_Excel_Files3[[#This Row],[''Autre Public'']]</f>
        <v>85500</v>
      </c>
      <c r="J38" s="7">
        <f>Tableau_Lancer_la_requête_à_partir_de_Excel_Files3[[#This Row],[Aide Publique Obtenue]]/Tableau_Lancer_la_requête_à_partir_de_Excel_Files3[[#This Row],[Coût total]]</f>
        <v>0.7326073237597408</v>
      </c>
      <c r="K38" s="6">
        <f>Tableau_Lancer_la_requête_à_partir_de_Excel_Files3[[#This Row],[Etat]]+Tableau_Lancer_la_requête_à_partir_de_Excel_Files3[[#This Row],[Régions]]+Tableau_Lancer_la_requête_à_partir_de_Excel_Files3[[#This Row],[Départements]]+Tableau_Lancer_la_requête_à_partir_de_Excel_Files3[[#This Row],[''FEDER'']]</f>
        <v>85500</v>
      </c>
      <c r="L38" s="7">
        <f>Tableau_Lancer_la_requête_à_partir_de_Excel_Files3[[#This Row],[Aide Massif Obtenu]]/Tableau_Lancer_la_requête_à_partir_de_Excel_Files3[[#This Row],[Coût total]]</f>
        <v>0.7326073237597408</v>
      </c>
      <c r="M38" s="9">
        <f>Tableau_Lancer_la_requête_à_partir_de_Excel_Files3[[#This Row],[''FNADT'']]+Tableau_Lancer_la_requête_à_partir_de_Excel_Files3[[#This Row],[''Agriculture'']]</f>
        <v>15743.6</v>
      </c>
      <c r="N38" s="6">
        <v>15743.6</v>
      </c>
      <c r="O38" s="6"/>
      <c r="P38" s="9">
        <f>Tableau_Lancer_la_requête_à_partir_de_Excel_Files3[[#This Row],[''ALPC'']]+Tableau_Lancer_la_requête_à_partir_de_Excel_Files3[[#This Row],[''AURA'']]+Tableau_Lancer_la_requête_à_partir_de_Excel_Files3[[#This Row],[''BFC'']]+Tableau_Lancer_la_requête_à_partir_de_Excel_Files3[[#This Row],[''LRMP'']]</f>
        <v>40293.949999999997</v>
      </c>
      <c r="Q38" s="6"/>
      <c r="R38" s="6">
        <v>40293.949999999997</v>
      </c>
      <c r="S38" s="6"/>
      <c r="T38" s="6"/>
      <c r="U38"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38" s="6"/>
      <c r="W38" s="6"/>
      <c r="X38" s="6"/>
      <c r="Y38" s="6"/>
      <c r="Z38" s="6"/>
      <c r="AA38" s="6"/>
      <c r="AB38" s="6"/>
      <c r="AC38" s="6"/>
      <c r="AD38" s="6"/>
      <c r="AE38" s="6"/>
      <c r="AF38" s="6"/>
      <c r="AG38" s="6"/>
      <c r="AH38" s="6"/>
      <c r="AI38" s="6"/>
      <c r="AJ38" s="6"/>
      <c r="AK38" s="6"/>
      <c r="AL38" s="6"/>
      <c r="AM38" s="6"/>
      <c r="AN38" s="6"/>
      <c r="AO38" s="6"/>
      <c r="AP38" s="6"/>
      <c r="AQ38" s="6"/>
      <c r="AR38" s="6">
        <v>29462.45</v>
      </c>
      <c r="AS38" s="6">
        <v>0</v>
      </c>
      <c r="AT38" s="6"/>
      <c r="CO38" s="3"/>
      <c r="CP38" s="3"/>
      <c r="CQ38" s="3"/>
      <c r="CR38" s="3"/>
      <c r="CS38" s="3"/>
      <c r="CT38" s="3"/>
      <c r="CU38" s="3"/>
      <c r="CV38" s="3"/>
      <c r="CW38" s="3"/>
      <c r="CX38" s="3"/>
      <c r="CY38" s="3"/>
      <c r="CZ38" s="3"/>
      <c r="DA38" s="3"/>
      <c r="DB38" s="3"/>
      <c r="DC38" s="3"/>
      <c r="DD38" s="3"/>
      <c r="DE38" s="3"/>
      <c r="DF38" s="3"/>
      <c r="DG38" s="3"/>
      <c r="DH38" s="3"/>
      <c r="DI38" s="3"/>
      <c r="DJ38" s="3"/>
    </row>
    <row r="39" spans="1:114" ht="30" x14ac:dyDescent="0.25">
      <c r="A39" s="2" t="s">
        <v>6</v>
      </c>
      <c r="B39" s="8" t="s">
        <v>199</v>
      </c>
      <c r="C39" s="8" t="s">
        <v>196</v>
      </c>
      <c r="D39" s="1" t="s">
        <v>197</v>
      </c>
      <c r="E39" s="1" t="s">
        <v>198</v>
      </c>
      <c r="F39" s="6">
        <v>288621.685</v>
      </c>
      <c r="G39" s="6">
        <v>270620.49</v>
      </c>
      <c r="H39" s="6">
        <f>IF(Tableau_Lancer_la_requête_à_partir_de_Excel_Files3[[#This Row],[Coût total Eligible FEDER]]="",Tableau_Lancer_la_requête_à_partir_de_Excel_Files3[[#This Row],[Coût total déposé]],Tableau_Lancer_la_requête_à_partir_de_Excel_Files3[[#This Row],[Coût total Eligible FEDER]])</f>
        <v>270620.49</v>
      </c>
      <c r="I39" s="6">
        <f>Tableau_Lancer_la_requête_à_partir_de_Excel_Files3[[#This Row],[Aide Massif Obtenu]]+Tableau_Lancer_la_requête_à_partir_de_Excel_Files3[[#This Row],[''Autre Public'']]</f>
        <v>135310.25</v>
      </c>
      <c r="J39" s="7">
        <f>Tableau_Lancer_la_requête_à_partir_de_Excel_Files3[[#This Row],[Aide Publique Obtenue]]/Tableau_Lancer_la_requête_à_partir_de_Excel_Files3[[#This Row],[Coût total]]</f>
        <v>0.50000001847605846</v>
      </c>
      <c r="K39" s="6">
        <f>Tableau_Lancer_la_requête_à_partir_de_Excel_Files3[[#This Row],[Etat]]+Tableau_Lancer_la_requête_à_partir_de_Excel_Files3[[#This Row],[Régions]]+Tableau_Lancer_la_requête_à_partir_de_Excel_Files3[[#This Row],[Départements]]+Tableau_Lancer_la_requête_à_partir_de_Excel_Files3[[#This Row],[''FEDER'']]</f>
        <v>135310.25</v>
      </c>
      <c r="L39" s="7">
        <f>Tableau_Lancer_la_requête_à_partir_de_Excel_Files3[[#This Row],[Aide Massif Obtenu]]/Tableau_Lancer_la_requête_à_partir_de_Excel_Files3[[#This Row],[Coût total]]</f>
        <v>0.50000001847605846</v>
      </c>
      <c r="M39" s="9">
        <f>Tableau_Lancer_la_requête_à_partir_de_Excel_Files3[[#This Row],[''FNADT'']]+Tableau_Lancer_la_requête_à_partir_de_Excel_Files3[[#This Row],[''Agriculture'']]</f>
        <v>35310.25</v>
      </c>
      <c r="N39" s="6">
        <v>35310.25</v>
      </c>
      <c r="O39" s="6"/>
      <c r="P39" s="9">
        <f>Tableau_Lancer_la_requête_à_partir_de_Excel_Files3[[#This Row],[''ALPC'']]+Tableau_Lancer_la_requête_à_partir_de_Excel_Files3[[#This Row],[''AURA'']]+Tableau_Lancer_la_requête_à_partir_de_Excel_Files3[[#This Row],[''BFC'']]+Tableau_Lancer_la_requête_à_partir_de_Excel_Files3[[#This Row],[''LRMP'']]</f>
        <v>0</v>
      </c>
      <c r="Q39" s="6"/>
      <c r="R39" s="6"/>
      <c r="S39" s="6"/>
      <c r="T39" s="6"/>
      <c r="U39"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39" s="6"/>
      <c r="W39" s="6"/>
      <c r="X39" s="6"/>
      <c r="Y39" s="6"/>
      <c r="Z39" s="6"/>
      <c r="AA39" s="6"/>
      <c r="AB39" s="6"/>
      <c r="AC39" s="6"/>
      <c r="AD39" s="6"/>
      <c r="AE39" s="6"/>
      <c r="AF39" s="6"/>
      <c r="AG39" s="6"/>
      <c r="AH39" s="6"/>
      <c r="AI39" s="6"/>
      <c r="AJ39" s="6"/>
      <c r="AK39" s="6"/>
      <c r="AL39" s="6"/>
      <c r="AM39" s="6"/>
      <c r="AN39" s="6"/>
      <c r="AO39" s="6"/>
      <c r="AP39" s="6"/>
      <c r="AQ39" s="6"/>
      <c r="AR39" s="6">
        <v>100000</v>
      </c>
      <c r="AS39" s="6">
        <v>0</v>
      </c>
      <c r="AT39" s="6"/>
      <c r="CO39" s="3"/>
      <c r="CP39" s="3"/>
      <c r="CQ39" s="3"/>
      <c r="CR39" s="3"/>
      <c r="CS39" s="3"/>
      <c r="CT39" s="3"/>
      <c r="CU39" s="3"/>
      <c r="CV39" s="3"/>
      <c r="CW39" s="3"/>
      <c r="CX39" s="3"/>
      <c r="CY39" s="3"/>
      <c r="CZ39" s="3"/>
      <c r="DA39" s="3"/>
      <c r="DB39" s="3"/>
      <c r="DC39" s="3"/>
      <c r="DD39" s="3"/>
      <c r="DE39" s="3"/>
      <c r="DF39" s="3"/>
      <c r="DG39" s="3"/>
      <c r="DH39" s="3"/>
      <c r="DI39" s="3"/>
      <c r="DJ39" s="3"/>
    </row>
    <row r="40" spans="1:114" ht="45" x14ac:dyDescent="0.25">
      <c r="A40" s="2" t="s">
        <v>6</v>
      </c>
      <c r="B40" s="8" t="s">
        <v>101</v>
      </c>
      <c r="C40" s="8" t="s">
        <v>250</v>
      </c>
      <c r="D40" s="1" t="s">
        <v>102</v>
      </c>
      <c r="E40" s="1" t="s">
        <v>103</v>
      </c>
      <c r="F40" s="6">
        <v>382962.56</v>
      </c>
      <c r="G40" s="6">
        <v>245746.12</v>
      </c>
      <c r="H40" s="6">
        <f>IF(Tableau_Lancer_la_requête_à_partir_de_Excel_Files3[[#This Row],[Coût total Eligible FEDER]]="",Tableau_Lancer_la_requête_à_partir_de_Excel_Files3[[#This Row],[Coût total déposé]],Tableau_Lancer_la_requête_à_partir_de_Excel_Files3[[#This Row],[Coût total Eligible FEDER]])</f>
        <v>245746.12</v>
      </c>
      <c r="I40" s="6">
        <f>Tableau_Lancer_la_requête_à_partir_de_Excel_Files3[[#This Row],[Aide Massif Obtenu]]+Tableau_Lancer_la_requête_à_partir_de_Excel_Files3[[#This Row],[''Autre Public'']]</f>
        <v>100000</v>
      </c>
      <c r="J40" s="7">
        <f>Tableau_Lancer_la_requête_à_partir_de_Excel_Files3[[#This Row],[Aide Publique Obtenue]]/Tableau_Lancer_la_requête_à_partir_de_Excel_Files3[[#This Row],[Coût total]]</f>
        <v>0.40692402386658233</v>
      </c>
      <c r="K40" s="6">
        <f>Tableau_Lancer_la_requête_à_partir_de_Excel_Files3[[#This Row],[Etat]]+Tableau_Lancer_la_requête_à_partir_de_Excel_Files3[[#This Row],[Régions]]+Tableau_Lancer_la_requête_à_partir_de_Excel_Files3[[#This Row],[Départements]]+Tableau_Lancer_la_requête_à_partir_de_Excel_Files3[[#This Row],[''FEDER'']]</f>
        <v>100000</v>
      </c>
      <c r="L40" s="7">
        <f>Tableau_Lancer_la_requête_à_partir_de_Excel_Files3[[#This Row],[Aide Massif Obtenu]]/Tableau_Lancer_la_requête_à_partir_de_Excel_Files3[[#This Row],[Coût total]]</f>
        <v>0.40692402386658233</v>
      </c>
      <c r="M40" s="9">
        <f>Tableau_Lancer_la_requête_à_partir_de_Excel_Files3[[#This Row],[''FNADT'']]+Tableau_Lancer_la_requête_à_partir_de_Excel_Files3[[#This Row],[''Agriculture'']]</f>
        <v>0</v>
      </c>
      <c r="N40" s="6"/>
      <c r="O40" s="6"/>
      <c r="P40" s="9">
        <f>Tableau_Lancer_la_requête_à_partir_de_Excel_Files3[[#This Row],[''ALPC'']]+Tableau_Lancer_la_requête_à_partir_de_Excel_Files3[[#This Row],[''AURA'']]+Tableau_Lancer_la_requête_à_partir_de_Excel_Files3[[#This Row],[''BFC'']]+Tableau_Lancer_la_requête_à_partir_de_Excel_Files3[[#This Row],[''LRMP'']]</f>
        <v>0</v>
      </c>
      <c r="Q40" s="6"/>
      <c r="R40" s="6"/>
      <c r="S40" s="6"/>
      <c r="T40" s="6"/>
      <c r="U40"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40" s="6"/>
      <c r="W40" s="6"/>
      <c r="X40" s="6"/>
      <c r="Y40" s="6"/>
      <c r="Z40" s="6"/>
      <c r="AA40" s="6"/>
      <c r="AB40" s="6"/>
      <c r="AC40" s="6"/>
      <c r="AD40" s="6"/>
      <c r="AE40" s="6"/>
      <c r="AF40" s="6"/>
      <c r="AG40" s="6"/>
      <c r="AH40" s="6"/>
      <c r="AI40" s="6"/>
      <c r="AJ40" s="6"/>
      <c r="AK40" s="6"/>
      <c r="AL40" s="6"/>
      <c r="AM40" s="6"/>
      <c r="AN40" s="6"/>
      <c r="AO40" s="6"/>
      <c r="AP40" s="6"/>
      <c r="AQ40" s="6"/>
      <c r="AR40" s="6">
        <v>100000</v>
      </c>
      <c r="AS40" s="6">
        <v>0</v>
      </c>
      <c r="AT40" s="6"/>
      <c r="CO40" s="3"/>
      <c r="CP40" s="3"/>
      <c r="CQ40" s="3"/>
      <c r="CR40" s="3"/>
      <c r="CS40" s="3"/>
      <c r="CT40" s="3"/>
      <c r="CU40" s="3"/>
      <c r="CV40" s="3"/>
      <c r="CW40" s="3"/>
      <c r="CX40" s="3"/>
      <c r="CY40" s="3"/>
      <c r="CZ40" s="3"/>
      <c r="DA40" s="3"/>
      <c r="DB40" s="3"/>
      <c r="DC40" s="3"/>
      <c r="DD40" s="3"/>
      <c r="DE40" s="3"/>
      <c r="DF40" s="3"/>
      <c r="DG40" s="3"/>
      <c r="DH40" s="3"/>
      <c r="DI40" s="3"/>
      <c r="DJ40" s="3"/>
    </row>
    <row r="41" spans="1:114" x14ac:dyDescent="0.25">
      <c r="A41" s="1" t="s">
        <v>19</v>
      </c>
      <c r="B41" s="1"/>
      <c r="C41" s="1">
        <f>SUBTOTAL(103,Tableau_Lancer_la_requête_à_partir_de_Excel_Files3[ID_Synergie])</f>
        <v>39</v>
      </c>
      <c r="D41" s="1"/>
      <c r="E41" s="1"/>
      <c r="F41" s="6">
        <f>SUBTOTAL(109,Tableau_Lancer_la_requête_à_partir_de_Excel_Files3[Coût total déposé])</f>
        <v>6421458.2850266835</v>
      </c>
      <c r="G41" s="6"/>
      <c r="H41" s="6">
        <f>SUBTOTAL(109,Tableau_Lancer_la_requête_à_partir_de_Excel_Files3[Coût total])</f>
        <v>5388545.6379773123</v>
      </c>
      <c r="I41" s="6">
        <f>SUBTOTAL(109,Tableau_Lancer_la_requête_à_partir_de_Excel_Files3[Aide Publique Obtenue])</f>
        <v>3397464.3588458165</v>
      </c>
      <c r="J41" s="6">
        <f>SUBTOTAL(109,Tableau_Lancer_la_requête_à_partir_de_Excel_Files3[Taux Aide Publique])</f>
        <v>25.138768907091009</v>
      </c>
      <c r="K41" s="6">
        <f>SUBTOTAL(109,Tableau_Lancer_la_requête_à_partir_de_Excel_Files3[Aide Massif Obtenu])</f>
        <v>3319661.3588458165</v>
      </c>
      <c r="L41" s="1"/>
      <c r="M41" s="6">
        <f>SUBTOTAL(109,Tableau_Lancer_la_requête_à_partir_de_Excel_Files3[Etat])</f>
        <v>930101.90000000014</v>
      </c>
      <c r="N41" s="6"/>
      <c r="O41" s="6"/>
      <c r="P41" s="6">
        <f>SUBTOTAL(109,Tableau_Lancer_la_requête_à_partir_de_Excel_Files3[Régions])</f>
        <v>264728.59999999998</v>
      </c>
      <c r="Q41" s="6"/>
      <c r="R41" s="6"/>
      <c r="S41" s="6"/>
      <c r="T41" s="6"/>
      <c r="U41" s="6">
        <f>SUBTOTAL(109,Tableau_Lancer_la_requête_à_partir_de_Excel_Files3[Départements])</f>
        <v>47962.328845816708</v>
      </c>
      <c r="V41" s="6"/>
      <c r="W41" s="6"/>
      <c r="X41" s="6"/>
      <c r="Y41" s="6"/>
      <c r="Z41" s="6"/>
      <c r="AA41" s="6"/>
      <c r="AB41" s="6"/>
      <c r="AC41" s="6"/>
      <c r="AD41" s="6"/>
      <c r="AE41" s="6"/>
      <c r="AF41" s="6"/>
      <c r="AG41" s="6"/>
      <c r="AH41" s="6"/>
      <c r="AI41" s="6"/>
      <c r="AJ41" s="6"/>
      <c r="AK41" s="6"/>
      <c r="AL41" s="6"/>
      <c r="AM41" s="6"/>
      <c r="AN41" s="6"/>
      <c r="AO41" s="6"/>
      <c r="AP41" s="6"/>
      <c r="AQ41" s="6"/>
      <c r="AR41" s="6"/>
      <c r="AS41" s="6"/>
      <c r="AT41" s="1"/>
      <c r="CO41" s="3"/>
      <c r="CP41" s="3"/>
      <c r="CQ41" s="3"/>
      <c r="CR41" s="3"/>
      <c r="CS41" s="3"/>
      <c r="CT41" s="3"/>
      <c r="CU41" s="3"/>
      <c r="CV41" s="3"/>
      <c r="CW41" s="3"/>
      <c r="CX41" s="3"/>
      <c r="CY41" s="3"/>
      <c r="CZ41" s="3"/>
      <c r="DA41" s="3"/>
      <c r="DB41" s="3"/>
      <c r="DC41" s="3"/>
      <c r="DD41" s="3"/>
      <c r="DE41" s="3"/>
      <c r="DF41" s="3"/>
      <c r="DG41" s="3"/>
      <c r="DH41" s="3"/>
      <c r="DI41" s="3"/>
      <c r="DJ41" s="3"/>
    </row>
    <row r="42" spans="1:114" x14ac:dyDescent="0.25">
      <c r="CO42" s="3"/>
      <c r="CP42" s="3"/>
      <c r="CQ42" s="3"/>
      <c r="CR42" s="3"/>
      <c r="CS42" s="3"/>
      <c r="CT42" s="3"/>
      <c r="CU42" s="3"/>
      <c r="CV42" s="3"/>
      <c r="CW42" s="3"/>
      <c r="CX42" s="3"/>
      <c r="CY42" s="3"/>
      <c r="CZ42" s="3"/>
      <c r="DA42" s="3"/>
      <c r="DB42" s="3"/>
      <c r="DC42" s="3"/>
      <c r="DD42" s="3"/>
      <c r="DE42" s="3"/>
      <c r="DF42" s="3"/>
      <c r="DG42" s="3"/>
      <c r="DH42" s="3"/>
      <c r="DI42" s="3"/>
      <c r="DJ42" s="3"/>
    </row>
    <row r="43" spans="1:114" x14ac:dyDescent="0.25">
      <c r="CO43" s="3"/>
      <c r="CP43" s="3"/>
      <c r="CQ43" s="3"/>
      <c r="CR43" s="3"/>
      <c r="CS43" s="3"/>
      <c r="CT43" s="3"/>
      <c r="CU43" s="3"/>
      <c r="CV43" s="3"/>
      <c r="CW43" s="3"/>
      <c r="CX43" s="3"/>
      <c r="CY43" s="3"/>
      <c r="CZ43" s="3"/>
      <c r="DA43" s="3"/>
      <c r="DB43" s="3"/>
      <c r="DC43" s="3"/>
      <c r="DD43" s="3"/>
      <c r="DE43" s="3"/>
      <c r="DF43" s="3"/>
      <c r="DG43" s="3"/>
      <c r="DH43" s="3"/>
      <c r="DI43" s="3"/>
      <c r="DJ43" s="3"/>
    </row>
    <row r="44" spans="1:114" x14ac:dyDescent="0.25">
      <c r="CO44" s="3"/>
      <c r="CP44" s="3"/>
      <c r="CQ44" s="3"/>
      <c r="CR44" s="3"/>
      <c r="CS44" s="3"/>
      <c r="CT44" s="3"/>
      <c r="CU44" s="3"/>
      <c r="CV44" s="3"/>
      <c r="CW44" s="3"/>
      <c r="CX44" s="3"/>
      <c r="CY44" s="3"/>
      <c r="CZ44" s="3"/>
      <c r="DA44" s="3"/>
      <c r="DB44" s="3"/>
      <c r="DC44" s="3"/>
      <c r="DD44" s="3"/>
      <c r="DE44" s="3"/>
      <c r="DF44" s="3"/>
      <c r="DG44" s="3"/>
      <c r="DH44" s="3"/>
      <c r="DI44" s="3"/>
      <c r="DJ44" s="3"/>
    </row>
    <row r="45" spans="1:114" x14ac:dyDescent="0.25">
      <c r="CO45" s="3"/>
      <c r="CP45" s="3"/>
      <c r="CQ45" s="3"/>
      <c r="CR45" s="3"/>
      <c r="CS45" s="3"/>
      <c r="CT45" s="3"/>
      <c r="CU45" s="3"/>
      <c r="CV45" s="3"/>
      <c r="CW45" s="3"/>
      <c r="CX45" s="3"/>
      <c r="CY45" s="3"/>
      <c r="CZ45" s="3"/>
      <c r="DA45" s="3"/>
      <c r="DB45" s="3"/>
      <c r="DC45" s="3"/>
      <c r="DD45" s="3"/>
      <c r="DE45" s="3"/>
      <c r="DF45" s="3"/>
      <c r="DG45" s="3"/>
      <c r="DH45" s="3"/>
      <c r="DI45" s="3"/>
      <c r="DJ45" s="3"/>
    </row>
    <row r="46" spans="1:114" x14ac:dyDescent="0.25">
      <c r="CO46" s="3"/>
      <c r="CP46" s="3"/>
      <c r="CQ46" s="3"/>
      <c r="CR46" s="3"/>
      <c r="CS46" s="3"/>
      <c r="CT46" s="3"/>
      <c r="CU46" s="3"/>
      <c r="CV46" s="3"/>
      <c r="CW46" s="3"/>
      <c r="CX46" s="3"/>
      <c r="CY46" s="3"/>
      <c r="CZ46" s="3"/>
      <c r="DA46" s="3"/>
      <c r="DB46" s="3"/>
      <c r="DC46" s="3"/>
      <c r="DD46" s="3"/>
      <c r="DE46" s="3"/>
      <c r="DF46" s="3"/>
      <c r="DG46" s="3"/>
      <c r="DH46" s="3"/>
      <c r="DI46" s="3"/>
      <c r="DJ46" s="3"/>
    </row>
    <row r="47" spans="1:114" x14ac:dyDescent="0.25">
      <c r="CO47" s="3"/>
      <c r="CP47" s="3"/>
      <c r="CQ47" s="3"/>
      <c r="CR47" s="3"/>
      <c r="CS47" s="3"/>
      <c r="CT47" s="3"/>
      <c r="CU47" s="3"/>
      <c r="CV47" s="3"/>
      <c r="CW47" s="3"/>
      <c r="CX47" s="3"/>
      <c r="CY47" s="3"/>
      <c r="CZ47" s="3"/>
      <c r="DA47" s="3"/>
      <c r="DB47" s="3"/>
      <c r="DC47" s="3"/>
      <c r="DD47" s="3"/>
      <c r="DE47" s="3"/>
      <c r="DF47" s="3"/>
      <c r="DG47" s="3"/>
      <c r="DH47" s="3"/>
      <c r="DI47" s="3"/>
      <c r="DJ47" s="3"/>
    </row>
    <row r="48" spans="1:114" x14ac:dyDescent="0.25">
      <c r="CO48" s="3"/>
      <c r="CP48" s="3"/>
      <c r="CQ48" s="3"/>
      <c r="CR48" s="3"/>
      <c r="CS48" s="3"/>
      <c r="CT48" s="3"/>
      <c r="CU48" s="3"/>
      <c r="CV48" s="3"/>
      <c r="CW48" s="3"/>
      <c r="CX48" s="3"/>
      <c r="CY48" s="3"/>
      <c r="CZ48" s="3"/>
      <c r="DA48" s="3"/>
      <c r="DB48" s="3"/>
      <c r="DC48" s="3"/>
      <c r="DD48" s="3"/>
      <c r="DE48" s="3"/>
      <c r="DF48" s="3"/>
      <c r="DG48" s="3"/>
      <c r="DH48" s="3"/>
      <c r="DI48" s="3"/>
      <c r="DJ48" s="3"/>
    </row>
    <row r="49" spans="93:114" x14ac:dyDescent="0.25">
      <c r="CO49" s="3"/>
      <c r="CP49" s="3"/>
      <c r="CQ49" s="3"/>
      <c r="CR49" s="3"/>
      <c r="CS49" s="3"/>
      <c r="CT49" s="3"/>
      <c r="CU49" s="3"/>
      <c r="CV49" s="3"/>
      <c r="CW49" s="3"/>
      <c r="CX49" s="3"/>
      <c r="CY49" s="3"/>
      <c r="CZ49" s="3"/>
      <c r="DA49" s="3"/>
      <c r="DB49" s="3"/>
      <c r="DC49" s="3"/>
      <c r="DD49" s="3"/>
      <c r="DE49" s="3"/>
      <c r="DF49" s="3"/>
      <c r="DG49" s="3"/>
      <c r="DH49" s="3"/>
      <c r="DI49" s="3"/>
      <c r="DJ49" s="3"/>
    </row>
    <row r="50" spans="93:114" x14ac:dyDescent="0.25">
      <c r="CO50" s="3"/>
      <c r="CP50" s="3"/>
      <c r="CQ50" s="3"/>
      <c r="CR50" s="3"/>
      <c r="CS50" s="3"/>
      <c r="CT50" s="3"/>
      <c r="CU50" s="3"/>
      <c r="CV50" s="3"/>
      <c r="CW50" s="3"/>
      <c r="CX50" s="3"/>
      <c r="CY50" s="3"/>
      <c r="CZ50" s="3"/>
      <c r="DA50" s="3"/>
      <c r="DB50" s="3"/>
      <c r="DC50" s="3"/>
      <c r="DD50" s="3"/>
      <c r="DE50" s="3"/>
      <c r="DF50" s="3"/>
      <c r="DG50" s="3"/>
      <c r="DH50" s="3"/>
      <c r="DI50" s="3"/>
      <c r="DJ50" s="3"/>
    </row>
    <row r="51" spans="93:114" x14ac:dyDescent="0.25">
      <c r="CO51" s="3"/>
      <c r="CP51" s="3"/>
      <c r="CQ51" s="3"/>
      <c r="CR51" s="3"/>
      <c r="CS51" s="3"/>
      <c r="CT51" s="3"/>
      <c r="CU51" s="3"/>
      <c r="CV51" s="3"/>
      <c r="CW51" s="3"/>
      <c r="CX51" s="3"/>
      <c r="CY51" s="3"/>
      <c r="CZ51" s="3"/>
      <c r="DA51" s="3"/>
      <c r="DB51" s="3"/>
      <c r="DC51" s="3"/>
      <c r="DD51" s="3"/>
      <c r="DE51" s="3"/>
      <c r="DF51" s="3"/>
      <c r="DG51" s="3"/>
      <c r="DH51" s="3"/>
      <c r="DI51" s="3"/>
      <c r="DJ51" s="3"/>
    </row>
    <row r="52" spans="93:114" x14ac:dyDescent="0.25">
      <c r="CO52" s="3"/>
      <c r="CP52" s="3"/>
      <c r="CQ52" s="3"/>
      <c r="CR52" s="3"/>
      <c r="CS52" s="3"/>
      <c r="CT52" s="3"/>
      <c r="CU52" s="3"/>
      <c r="CV52" s="3"/>
      <c r="CW52" s="3"/>
      <c r="CX52" s="3"/>
      <c r="CY52" s="3"/>
      <c r="CZ52" s="3"/>
      <c r="DA52" s="3"/>
      <c r="DB52" s="3"/>
      <c r="DC52" s="3"/>
      <c r="DD52" s="3"/>
      <c r="DE52" s="3"/>
      <c r="DF52" s="3"/>
      <c r="DG52" s="3"/>
      <c r="DH52" s="3"/>
      <c r="DI52" s="3"/>
      <c r="DJ52" s="3"/>
    </row>
    <row r="53" spans="93:114" x14ac:dyDescent="0.25">
      <c r="CO53" s="3"/>
      <c r="CP53" s="3"/>
      <c r="CQ53" s="3"/>
      <c r="CR53" s="3"/>
      <c r="CS53" s="3"/>
      <c r="CT53" s="3"/>
      <c r="CU53" s="3"/>
      <c r="CV53" s="3"/>
      <c r="CW53" s="3"/>
      <c r="CX53" s="3"/>
      <c r="CY53" s="3"/>
      <c r="CZ53" s="3"/>
      <c r="DA53" s="3"/>
      <c r="DB53" s="3"/>
      <c r="DC53" s="3"/>
      <c r="DD53" s="3"/>
      <c r="DE53" s="3"/>
      <c r="DF53" s="3"/>
      <c r="DG53" s="3"/>
      <c r="DH53" s="3"/>
      <c r="DI53" s="3"/>
      <c r="DJ53" s="3"/>
    </row>
    <row r="54" spans="93:114" x14ac:dyDescent="0.25">
      <c r="CO54" s="3"/>
      <c r="CP54" s="3"/>
      <c r="CQ54" s="3"/>
      <c r="CR54" s="3"/>
      <c r="CS54" s="3"/>
      <c r="CT54" s="3"/>
      <c r="CU54" s="3"/>
      <c r="CV54" s="3"/>
      <c r="CW54" s="3"/>
      <c r="CX54" s="3"/>
      <c r="CY54" s="3"/>
      <c r="CZ54" s="3"/>
      <c r="DA54" s="3"/>
      <c r="DB54" s="3"/>
      <c r="DC54" s="3"/>
      <c r="DD54" s="3"/>
      <c r="DE54" s="3"/>
      <c r="DF54" s="3"/>
      <c r="DG54" s="3"/>
      <c r="DH54" s="3"/>
      <c r="DI54" s="3"/>
      <c r="DJ54" s="3"/>
    </row>
    <row r="55" spans="93:114" x14ac:dyDescent="0.25">
      <c r="CO55" s="3"/>
      <c r="CP55" s="3"/>
      <c r="CQ55" s="3"/>
      <c r="CR55" s="3"/>
      <c r="CS55" s="3"/>
      <c r="CT55" s="3"/>
      <c r="CU55" s="3"/>
      <c r="CV55" s="3"/>
      <c r="CW55" s="3"/>
      <c r="CX55" s="3"/>
      <c r="CY55" s="3"/>
      <c r="CZ55" s="3"/>
      <c r="DA55" s="3"/>
      <c r="DB55" s="3"/>
      <c r="DC55" s="3"/>
      <c r="DD55" s="3"/>
      <c r="DE55" s="3"/>
      <c r="DF55" s="3"/>
      <c r="DG55" s="3"/>
      <c r="DH55" s="3"/>
      <c r="DI55" s="3"/>
      <c r="DJ55" s="3"/>
    </row>
    <row r="56" spans="93:114" x14ac:dyDescent="0.25">
      <c r="CO56" s="3"/>
      <c r="CP56" s="3"/>
      <c r="CQ56" s="3"/>
      <c r="CR56" s="3"/>
      <c r="CS56" s="3"/>
      <c r="CT56" s="3"/>
      <c r="CU56" s="3"/>
      <c r="CV56" s="3"/>
      <c r="CW56" s="3"/>
      <c r="CX56" s="3"/>
      <c r="CY56" s="3"/>
      <c r="CZ56" s="3"/>
      <c r="DA56" s="3"/>
      <c r="DB56" s="3"/>
      <c r="DC56" s="3"/>
      <c r="DD56" s="3"/>
      <c r="DE56" s="3"/>
      <c r="DF56" s="3"/>
      <c r="DG56" s="3"/>
      <c r="DH56" s="3"/>
      <c r="DI56" s="3"/>
      <c r="DJ56" s="3"/>
    </row>
    <row r="57" spans="93:114" x14ac:dyDescent="0.25">
      <c r="CO57" s="3"/>
      <c r="CP57" s="3"/>
      <c r="CQ57" s="3"/>
      <c r="CR57" s="3"/>
      <c r="CS57" s="3"/>
      <c r="CT57" s="3"/>
      <c r="CU57" s="3"/>
      <c r="CV57" s="3"/>
      <c r="CW57" s="3"/>
      <c r="CX57" s="3"/>
      <c r="CY57" s="3"/>
      <c r="CZ57" s="3"/>
      <c r="DA57" s="3"/>
      <c r="DB57" s="3"/>
      <c r="DC57" s="3"/>
      <c r="DD57" s="3"/>
      <c r="DE57" s="3"/>
      <c r="DF57" s="3"/>
      <c r="DG57" s="3"/>
      <c r="DH57" s="3"/>
      <c r="DI57" s="3"/>
      <c r="DJ57" s="3"/>
    </row>
    <row r="58" spans="93:114" x14ac:dyDescent="0.25">
      <c r="CO58" s="3"/>
      <c r="CP58" s="3"/>
      <c r="CQ58" s="3"/>
      <c r="CR58" s="3"/>
      <c r="CS58" s="3"/>
      <c r="CT58" s="3"/>
      <c r="CU58" s="3"/>
      <c r="CV58" s="3"/>
      <c r="CW58" s="3"/>
      <c r="CX58" s="3"/>
      <c r="CY58" s="3"/>
      <c r="CZ58" s="3"/>
      <c r="DA58" s="3"/>
      <c r="DB58" s="3"/>
      <c r="DC58" s="3"/>
      <c r="DD58" s="3"/>
      <c r="DE58" s="3"/>
      <c r="DF58" s="3"/>
      <c r="DG58" s="3"/>
      <c r="DH58" s="3"/>
      <c r="DI58" s="3"/>
      <c r="DJ58" s="3"/>
    </row>
    <row r="59" spans="93:114" x14ac:dyDescent="0.25">
      <c r="CO59" s="3"/>
      <c r="CP59" s="3"/>
      <c r="CQ59" s="3"/>
      <c r="CR59" s="3"/>
      <c r="CS59" s="3"/>
      <c r="CT59" s="3"/>
      <c r="CU59" s="3"/>
      <c r="CV59" s="3"/>
      <c r="CW59" s="3"/>
      <c r="CX59" s="3"/>
      <c r="CY59" s="3"/>
      <c r="CZ59" s="3"/>
      <c r="DA59" s="3"/>
      <c r="DB59" s="3"/>
      <c r="DC59" s="3"/>
      <c r="DD59" s="3"/>
      <c r="DE59" s="3"/>
      <c r="DF59" s="3"/>
      <c r="DG59" s="3"/>
      <c r="DH59" s="3"/>
      <c r="DI59" s="3"/>
      <c r="DJ59" s="3"/>
    </row>
    <row r="60" spans="93:114" x14ac:dyDescent="0.25">
      <c r="CO60" s="3"/>
      <c r="CP60" s="3"/>
      <c r="CQ60" s="3"/>
      <c r="CR60" s="3"/>
      <c r="CS60" s="3"/>
      <c r="CT60" s="3"/>
      <c r="CU60" s="3"/>
      <c r="CV60" s="3"/>
      <c r="CW60" s="3"/>
      <c r="CX60" s="3"/>
      <c r="CY60" s="3"/>
      <c r="CZ60" s="3"/>
      <c r="DA60" s="3"/>
      <c r="DB60" s="3"/>
      <c r="DC60" s="3"/>
      <c r="DD60" s="3"/>
      <c r="DE60" s="3"/>
      <c r="DF60" s="3"/>
      <c r="DG60" s="3"/>
      <c r="DH60" s="3"/>
      <c r="DI60" s="3"/>
      <c r="DJ60" s="3"/>
    </row>
    <row r="61" spans="93:114" x14ac:dyDescent="0.25">
      <c r="CO61" s="3"/>
      <c r="CP61" s="3"/>
      <c r="CQ61" s="3"/>
      <c r="CR61" s="3"/>
      <c r="CS61" s="3"/>
      <c r="CT61" s="3"/>
      <c r="CU61" s="3"/>
      <c r="CV61" s="3"/>
      <c r="CW61" s="3"/>
      <c r="CX61" s="3"/>
      <c r="CY61" s="3"/>
      <c r="CZ61" s="3"/>
      <c r="DA61" s="3"/>
      <c r="DB61" s="3"/>
      <c r="DC61" s="3"/>
      <c r="DD61" s="3"/>
      <c r="DE61" s="3"/>
      <c r="DF61" s="3"/>
      <c r="DG61" s="3"/>
      <c r="DH61" s="3"/>
      <c r="DI61" s="3"/>
      <c r="DJ61" s="3"/>
    </row>
    <row r="62" spans="93:114" x14ac:dyDescent="0.25">
      <c r="CO62" s="3"/>
      <c r="CP62" s="3"/>
      <c r="CQ62" s="3"/>
      <c r="CR62" s="3"/>
      <c r="CS62" s="3"/>
      <c r="CT62" s="3"/>
      <c r="CU62" s="3"/>
      <c r="CV62" s="3"/>
      <c r="CW62" s="3"/>
      <c r="CX62" s="3"/>
      <c r="CY62" s="3"/>
      <c r="CZ62" s="3"/>
      <c r="DA62" s="3"/>
      <c r="DB62" s="3"/>
      <c r="DC62" s="3"/>
      <c r="DD62" s="3"/>
      <c r="DE62" s="3"/>
      <c r="DF62" s="3"/>
      <c r="DG62" s="3"/>
      <c r="DH62" s="3"/>
      <c r="DI62" s="3"/>
      <c r="DJ62" s="3"/>
    </row>
    <row r="63" spans="93:114" x14ac:dyDescent="0.25">
      <c r="CO63" s="3"/>
      <c r="CP63" s="3"/>
      <c r="CQ63" s="3"/>
      <c r="CR63" s="3"/>
      <c r="CS63" s="3"/>
      <c r="CT63" s="3"/>
      <c r="CU63" s="3"/>
      <c r="CV63" s="3"/>
      <c r="CW63" s="3"/>
      <c r="CX63" s="3"/>
      <c r="CY63" s="3"/>
      <c r="CZ63" s="3"/>
      <c r="DA63" s="3"/>
      <c r="DB63" s="3"/>
      <c r="DC63" s="3"/>
      <c r="DD63" s="3"/>
      <c r="DE63" s="3"/>
      <c r="DF63" s="3"/>
      <c r="DG63" s="3"/>
      <c r="DH63" s="3"/>
      <c r="DI63" s="3"/>
      <c r="DJ63" s="3"/>
    </row>
    <row r="64" spans="93:114" x14ac:dyDescent="0.25">
      <c r="CO64" s="3"/>
      <c r="CP64" s="3"/>
      <c r="CQ64" s="3"/>
      <c r="CR64" s="3"/>
      <c r="CS64" s="3"/>
      <c r="CT64" s="3"/>
      <c r="CU64" s="3"/>
      <c r="CV64" s="3"/>
      <c r="CW64" s="3"/>
      <c r="CX64" s="3"/>
      <c r="CY64" s="3"/>
      <c r="CZ64" s="3"/>
      <c r="DA64" s="3"/>
      <c r="DB64" s="3"/>
      <c r="DC64" s="3"/>
      <c r="DD64" s="3"/>
      <c r="DE64" s="3"/>
      <c r="DF64" s="3"/>
      <c r="DG64" s="3"/>
      <c r="DH64" s="3"/>
      <c r="DI64" s="3"/>
      <c r="DJ64" s="3"/>
    </row>
    <row r="65" spans="86:114" x14ac:dyDescent="0.25">
      <c r="CO65" s="3"/>
      <c r="CP65" s="3"/>
      <c r="CQ65" s="3"/>
      <c r="CR65" s="3"/>
      <c r="CS65" s="3"/>
      <c r="CT65" s="3"/>
      <c r="CU65" s="3"/>
      <c r="CV65" s="3"/>
      <c r="CW65" s="3"/>
      <c r="CX65" s="3"/>
      <c r="CY65" s="3"/>
      <c r="CZ65" s="3"/>
      <c r="DA65" s="3"/>
      <c r="DB65" s="3"/>
      <c r="DC65" s="3"/>
      <c r="DD65" s="3"/>
      <c r="DE65" s="3"/>
      <c r="DF65" s="3"/>
      <c r="DG65" s="3"/>
      <c r="DH65" s="3"/>
      <c r="DI65" s="3"/>
      <c r="DJ65" s="3"/>
    </row>
    <row r="66" spans="86:114" x14ac:dyDescent="0.25">
      <c r="CO66" s="3"/>
      <c r="CP66" s="3"/>
      <c r="CQ66" s="3"/>
      <c r="CR66" s="3"/>
      <c r="CS66" s="3"/>
      <c r="CT66" s="3"/>
      <c r="CU66" s="3"/>
      <c r="CV66" s="3"/>
      <c r="CW66" s="3"/>
      <c r="CX66" s="3"/>
      <c r="CY66" s="3"/>
      <c r="CZ66" s="3"/>
      <c r="DA66" s="3"/>
      <c r="DB66" s="3"/>
      <c r="DC66" s="3"/>
      <c r="DD66" s="3"/>
      <c r="DE66" s="3"/>
      <c r="DF66" s="3"/>
      <c r="DG66" s="3"/>
      <c r="DH66" s="3"/>
      <c r="DI66" s="3"/>
      <c r="DJ66" s="3"/>
    </row>
    <row r="67" spans="86:114" x14ac:dyDescent="0.25">
      <c r="CO67" s="3"/>
      <c r="CP67" s="3"/>
      <c r="CQ67" s="3"/>
      <c r="CR67" s="3"/>
      <c r="CS67" s="3"/>
      <c r="CT67" s="3"/>
      <c r="CU67" s="3"/>
      <c r="CV67" s="3"/>
      <c r="CW67" s="3"/>
      <c r="CX67" s="3"/>
      <c r="CY67" s="3"/>
      <c r="CZ67" s="3"/>
      <c r="DA67" s="3"/>
      <c r="DB67" s="3"/>
      <c r="DC67" s="3"/>
      <c r="DD67" s="3"/>
      <c r="DE67" s="3"/>
      <c r="DF67" s="3"/>
      <c r="DG67" s="3"/>
      <c r="DH67" s="3"/>
      <c r="DI67" s="3"/>
      <c r="DJ67" s="3"/>
    </row>
    <row r="68" spans="86:114" x14ac:dyDescent="0.25">
      <c r="CH68" s="4"/>
      <c r="CI68" s="4"/>
      <c r="CJ68" s="4"/>
      <c r="CK68" s="4"/>
      <c r="CL68" s="4"/>
      <c r="CM68" s="4"/>
      <c r="CN68" s="4"/>
      <c r="DD68" s="3"/>
      <c r="DE68" s="3"/>
      <c r="DF68" s="3"/>
      <c r="DG68" s="3"/>
      <c r="DH68" s="3"/>
      <c r="DI68" s="3"/>
      <c r="DJ68" s="3"/>
    </row>
    <row r="69" spans="86:114" x14ac:dyDescent="0.25">
      <c r="CH69" s="4"/>
      <c r="CI69" s="4"/>
      <c r="CJ69" s="4"/>
      <c r="CK69" s="4"/>
      <c r="CL69" s="4"/>
      <c r="CM69" s="4"/>
      <c r="CN69" s="4"/>
      <c r="DD69" s="3"/>
      <c r="DE69" s="3"/>
      <c r="DF69" s="3"/>
      <c r="DG69" s="3"/>
      <c r="DH69" s="3"/>
      <c r="DI69" s="3"/>
      <c r="DJ69" s="3"/>
    </row>
    <row r="70" spans="86:114" x14ac:dyDescent="0.25">
      <c r="CH70" s="4"/>
      <c r="CI70" s="4"/>
      <c r="CJ70" s="4"/>
      <c r="CK70" s="4"/>
      <c r="CL70" s="4"/>
      <c r="CM70" s="4"/>
      <c r="CN70" s="4"/>
      <c r="DD70" s="3"/>
      <c r="DE70" s="3"/>
      <c r="DF70" s="3"/>
      <c r="DG70" s="3"/>
      <c r="DH70" s="3"/>
      <c r="DI70" s="3"/>
      <c r="DJ70" s="3"/>
    </row>
    <row r="71" spans="86:114" x14ac:dyDescent="0.25">
      <c r="CH71" s="4"/>
      <c r="CI71" s="4"/>
      <c r="CJ71" s="4"/>
      <c r="CK71" s="4"/>
      <c r="CL71" s="4"/>
      <c r="CM71" s="4"/>
      <c r="CN71" s="4"/>
      <c r="DD71" s="3"/>
      <c r="DE71" s="3"/>
      <c r="DF71" s="3"/>
      <c r="DG71" s="3"/>
      <c r="DH71" s="3"/>
      <c r="DI71" s="3"/>
      <c r="DJ71" s="3"/>
    </row>
    <row r="72" spans="86:114" x14ac:dyDescent="0.25">
      <c r="CH72" s="4"/>
      <c r="CI72" s="4"/>
      <c r="CJ72" s="4"/>
      <c r="CK72" s="4"/>
      <c r="CL72" s="4"/>
      <c r="CM72" s="4"/>
      <c r="CN72" s="4"/>
      <c r="DD72" s="3"/>
      <c r="DE72" s="3"/>
      <c r="DF72" s="3"/>
      <c r="DG72" s="3"/>
      <c r="DH72" s="3"/>
      <c r="DI72" s="3"/>
      <c r="DJ72" s="3"/>
    </row>
    <row r="73" spans="86:114" x14ac:dyDescent="0.25">
      <c r="CH73" s="4"/>
      <c r="CI73" s="4"/>
      <c r="CJ73" s="4"/>
      <c r="CK73" s="4"/>
      <c r="CL73" s="4"/>
      <c r="CM73" s="4"/>
      <c r="CN73" s="4"/>
      <c r="DD73" s="3"/>
      <c r="DE73" s="3"/>
      <c r="DF73" s="3"/>
      <c r="DG73" s="3"/>
      <c r="DH73" s="3"/>
      <c r="DI73" s="3"/>
      <c r="DJ73" s="3"/>
    </row>
    <row r="74" spans="86:114" x14ac:dyDescent="0.25">
      <c r="CH74" s="4"/>
      <c r="CI74" s="4"/>
      <c r="CJ74" s="4"/>
      <c r="CK74" s="4"/>
      <c r="CL74" s="4"/>
      <c r="CM74" s="4"/>
      <c r="CN74" s="4"/>
      <c r="DD74" s="3"/>
      <c r="DE74" s="3"/>
      <c r="DF74" s="3"/>
      <c r="DG74" s="3"/>
      <c r="DH74" s="3"/>
      <c r="DI74" s="3"/>
      <c r="DJ74" s="3"/>
    </row>
    <row r="75" spans="86:114" x14ac:dyDescent="0.25">
      <c r="CH75" s="4"/>
      <c r="CI75" s="4"/>
      <c r="CJ75" s="4"/>
      <c r="CK75" s="4"/>
      <c r="CL75" s="4"/>
      <c r="CM75" s="4"/>
      <c r="CN75" s="4"/>
      <c r="DD75" s="3"/>
      <c r="DE75" s="3"/>
      <c r="DF75" s="3"/>
      <c r="DG75" s="3"/>
      <c r="DH75" s="3"/>
      <c r="DI75" s="3"/>
      <c r="DJ75" s="3"/>
    </row>
    <row r="76" spans="86:114" x14ac:dyDescent="0.25">
      <c r="CH76" s="4"/>
      <c r="CI76" s="4"/>
      <c r="CJ76" s="4"/>
      <c r="CK76" s="4"/>
      <c r="CL76" s="4"/>
      <c r="CM76" s="4"/>
      <c r="CN76" s="4"/>
      <c r="DD76" s="3"/>
      <c r="DE76" s="3"/>
      <c r="DF76" s="3"/>
      <c r="DG76" s="3"/>
      <c r="DH76" s="3"/>
      <c r="DI76" s="3"/>
      <c r="DJ76" s="3"/>
    </row>
    <row r="77" spans="86:114" x14ac:dyDescent="0.25">
      <c r="CH77" s="4"/>
      <c r="CI77" s="4"/>
      <c r="CJ77" s="4"/>
      <c r="CK77" s="4"/>
      <c r="CL77" s="4"/>
      <c r="CM77" s="4"/>
      <c r="CN77" s="4"/>
      <c r="DD77" s="3"/>
      <c r="DE77" s="3"/>
      <c r="DF77" s="3"/>
      <c r="DG77" s="3"/>
      <c r="DH77" s="3"/>
      <c r="DI77" s="3"/>
      <c r="DJ77" s="3"/>
    </row>
    <row r="78" spans="86:114" x14ac:dyDescent="0.25">
      <c r="CH78" s="4"/>
      <c r="CI78" s="4"/>
      <c r="CJ78" s="4"/>
      <c r="CK78" s="4"/>
      <c r="CL78" s="4"/>
      <c r="CM78" s="4"/>
      <c r="CN78" s="4"/>
      <c r="DD78" s="3"/>
      <c r="DE78" s="3"/>
      <c r="DF78" s="3"/>
      <c r="DG78" s="3"/>
      <c r="DH78" s="3"/>
      <c r="DI78" s="3"/>
      <c r="DJ78" s="3"/>
    </row>
    <row r="79" spans="86:114" x14ac:dyDescent="0.25">
      <c r="CH79" s="4"/>
      <c r="CI79" s="4"/>
      <c r="CJ79" s="4"/>
      <c r="CK79" s="4"/>
      <c r="CL79" s="4"/>
      <c r="CM79" s="4"/>
      <c r="CN79" s="4"/>
      <c r="DD79" s="3"/>
      <c r="DE79" s="3"/>
      <c r="DF79" s="3"/>
      <c r="DG79" s="3"/>
      <c r="DH79" s="3"/>
      <c r="DI79" s="3"/>
      <c r="DJ79" s="3"/>
    </row>
    <row r="80" spans="86:114" x14ac:dyDescent="0.25">
      <c r="CH80" s="4"/>
      <c r="CI80" s="4"/>
      <c r="CJ80" s="4"/>
      <c r="CK80" s="4"/>
      <c r="CL80" s="4"/>
      <c r="CM80" s="4"/>
      <c r="CN80" s="4"/>
      <c r="DD80" s="3"/>
      <c r="DE80" s="3"/>
      <c r="DF80" s="3"/>
      <c r="DG80" s="3"/>
      <c r="DH80" s="3"/>
      <c r="DI80" s="3"/>
      <c r="DJ80" s="3"/>
    </row>
    <row r="81" spans="86:114" x14ac:dyDescent="0.25">
      <c r="CH81" s="4"/>
      <c r="CI81" s="4"/>
      <c r="CJ81" s="4"/>
      <c r="CK81" s="4"/>
      <c r="CL81" s="4"/>
      <c r="CM81" s="4"/>
      <c r="CN81" s="4"/>
      <c r="DD81" s="3"/>
      <c r="DE81" s="3"/>
      <c r="DF81" s="3"/>
      <c r="DG81" s="3"/>
      <c r="DH81" s="3"/>
      <c r="DI81" s="3"/>
      <c r="DJ81" s="3"/>
    </row>
    <row r="82" spans="86:114" x14ac:dyDescent="0.25">
      <c r="CH82" s="4"/>
      <c r="CI82" s="4"/>
      <c r="CJ82" s="4"/>
      <c r="CK82" s="4"/>
      <c r="CL82" s="4"/>
      <c r="CM82" s="4"/>
      <c r="CN82" s="4"/>
      <c r="DD82" s="3"/>
      <c r="DE82" s="3"/>
      <c r="DF82" s="3"/>
      <c r="DG82" s="3"/>
      <c r="DH82" s="3"/>
      <c r="DI82" s="3"/>
      <c r="DJ82" s="3"/>
    </row>
    <row r="83" spans="86:114" x14ac:dyDescent="0.25">
      <c r="CH83" s="4"/>
      <c r="CI83" s="4"/>
      <c r="CJ83" s="4"/>
      <c r="CK83" s="4"/>
      <c r="CL83" s="4"/>
      <c r="CM83" s="4"/>
      <c r="CN83" s="4"/>
      <c r="DD83" s="3"/>
      <c r="DE83" s="3"/>
      <c r="DF83" s="3"/>
      <c r="DG83" s="3"/>
      <c r="DH83" s="3"/>
      <c r="DI83" s="3"/>
      <c r="DJ83" s="3"/>
    </row>
    <row r="84" spans="86:114" x14ac:dyDescent="0.25">
      <c r="CH84" s="4"/>
      <c r="CI84" s="4"/>
      <c r="CJ84" s="4"/>
      <c r="CK84" s="4"/>
      <c r="CL84" s="4"/>
      <c r="CM84" s="4"/>
      <c r="CN84" s="4"/>
      <c r="DD84" s="3"/>
      <c r="DE84" s="3"/>
      <c r="DF84" s="3"/>
      <c r="DG84" s="3"/>
      <c r="DH84" s="3"/>
      <c r="DI84" s="3"/>
      <c r="DJ84" s="3"/>
    </row>
    <row r="85" spans="86:114" x14ac:dyDescent="0.25">
      <c r="CH85" s="4"/>
      <c r="CI85" s="4"/>
      <c r="CJ85" s="4"/>
      <c r="CK85" s="4"/>
      <c r="CL85" s="4"/>
      <c r="CM85" s="4"/>
      <c r="CN85" s="4"/>
      <c r="DD85" s="3"/>
      <c r="DE85" s="3"/>
      <c r="DF85" s="3"/>
      <c r="DG85" s="3"/>
      <c r="DH85" s="3"/>
      <c r="DI85" s="3"/>
      <c r="DJ85" s="3"/>
    </row>
    <row r="86" spans="86:114" x14ac:dyDescent="0.25">
      <c r="CH86" s="4"/>
      <c r="CI86" s="4"/>
      <c r="CJ86" s="4"/>
      <c r="CK86" s="4"/>
      <c r="CL86" s="4"/>
      <c r="CM86" s="4"/>
      <c r="CN86" s="4"/>
      <c r="DD86" s="3"/>
      <c r="DE86" s="3"/>
      <c r="DF86" s="3"/>
      <c r="DG86" s="3"/>
      <c r="DH86" s="3"/>
      <c r="DI86" s="3"/>
      <c r="DJ86" s="3"/>
    </row>
    <row r="87" spans="86:114" x14ac:dyDescent="0.25">
      <c r="CH87" s="4"/>
      <c r="CI87" s="4"/>
      <c r="CJ87" s="4"/>
      <c r="CK87" s="4"/>
      <c r="CL87" s="4"/>
      <c r="CM87" s="4"/>
      <c r="CN87" s="4"/>
      <c r="DD87" s="3"/>
      <c r="DE87" s="3"/>
      <c r="DF87" s="3"/>
      <c r="DG87" s="3"/>
      <c r="DH87" s="3"/>
      <c r="DI87" s="3"/>
      <c r="DJ87" s="3"/>
    </row>
    <row r="88" spans="86:114" x14ac:dyDescent="0.25">
      <c r="CH88" s="4"/>
      <c r="CI88" s="4"/>
      <c r="CJ88" s="4"/>
      <c r="CK88" s="4"/>
      <c r="CL88" s="4"/>
      <c r="CM88" s="4"/>
      <c r="CN88" s="4"/>
      <c r="DD88" s="3"/>
      <c r="DE88" s="3"/>
      <c r="DF88" s="3"/>
      <c r="DG88" s="3"/>
      <c r="DH88" s="3"/>
      <c r="DI88" s="3"/>
      <c r="DJ88" s="3"/>
    </row>
  </sheetData>
  <conditionalFormatting sqref="I42:I1048576">
    <cfRule type="cellIs" dxfId="96" priority="3" operator="greaterThan">
      <formula>0</formula>
    </cfRule>
    <cfRule type="cellIs" dxfId="95" priority="4" operator="lessThan">
      <formula>0</formula>
    </cfRule>
  </conditionalFormatting>
  <pageMargins left="0.7" right="0.7" top="0.75" bottom="0.75" header="0.3" footer="0.3"/>
  <pageSetup paperSize="8" scale="65"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Feuil1</vt:lpstr>
      <vt:lpstr>Reprog (en cours)</vt:lpstr>
      <vt:lpstr>Feuil1!Impression_des_titres</vt:lpstr>
      <vt:lpstr>Feuil1!Zone_d_impression</vt:lpstr>
    </vt:vector>
  </TitlesOfParts>
  <Company>cra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pe.melac</dc:creator>
  <cp:lastModifiedBy>p.coste</cp:lastModifiedBy>
  <cp:lastPrinted>2017-07-12T13:30:25Z</cp:lastPrinted>
  <dcterms:created xsi:type="dcterms:W3CDTF">2016-01-13T16:44:12Z</dcterms:created>
  <dcterms:modified xsi:type="dcterms:W3CDTF">2017-08-09T12:17:44Z</dcterms:modified>
</cp:coreProperties>
</file>