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queryTables/queryTable9.xml" ContentType="application/vnd.openxmlformats-officedocument.spreadsheetml.queryTable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615" windowWidth="19320" windowHeight="6210" activeTab="10"/>
  </bookViews>
  <sheets>
    <sheet name="Itinérance" sheetId="12" r:id="rId1"/>
    <sheet name="Tourisme" sheetId="9" r:id="rId2"/>
    <sheet name="Bois" sheetId="2" state="hidden" r:id="rId3"/>
    <sheet name="Pierre" sheetId="5" state="hidden" r:id="rId4"/>
    <sheet name="Attractivité" sheetId="6" r:id="rId5"/>
    <sheet name="Biodiversité" sheetId="7" r:id="rId6"/>
    <sheet name="Agriculture" sheetId="8" r:id="rId7"/>
    <sheet name="AT-Ing Terr" sheetId="10" r:id="rId8"/>
    <sheet name="Reprog (en cours)" sheetId="4" r:id="rId9"/>
    <sheet name="Abandon" sheetId="14" r:id="rId10"/>
    <sheet name="Recap Financier" sheetId="3" r:id="rId11"/>
    <sheet name="Feuil1" sheetId="11" r:id="rId12"/>
  </sheets>
  <definedNames>
    <definedName name="_xlnm.Print_Titles" localSheetId="9">Abandon!$1:$6</definedName>
    <definedName name="_xlnm.Print_Titles" localSheetId="8">'Reprog (en cours)'!$1:$6</definedName>
    <definedName name="Lancer_la_requête_à_partir_de_Excel_Files" localSheetId="9" hidden="1">Abandon!$A$6:$AS$7</definedName>
    <definedName name="Lancer_la_requête_à_partir_de_Excel_Files" localSheetId="6" hidden="1">Agriculture!#REF!</definedName>
    <definedName name="Lancer_la_requête_à_partir_de_Excel_Files" localSheetId="7" hidden="1">'AT-Ing Terr'!#REF!</definedName>
    <definedName name="Lancer_la_requête_à_partir_de_Excel_Files" localSheetId="4" hidden="1">Attractivité!#REF!</definedName>
    <definedName name="Lancer_la_requête_à_partir_de_Excel_Files" localSheetId="5" hidden="1">Biodiversité!#REF!</definedName>
    <definedName name="Lancer_la_requête_à_partir_de_Excel_Files" localSheetId="2" hidden="1">Bois!#REF!</definedName>
    <definedName name="Lancer_la_requête_à_partir_de_Excel_Files" localSheetId="0" hidden="1">Itinérance!#REF!</definedName>
    <definedName name="Lancer_la_requête_à_partir_de_Excel_Files" localSheetId="3" hidden="1">Pierre!#REF!</definedName>
    <definedName name="Lancer_la_requête_à_partir_de_Excel_Files" localSheetId="8" hidden="1">'Reprog (en cours)'!$A$6:$AS$9</definedName>
    <definedName name="Lancer_la_requête_à_partir_de_Excel_Files" localSheetId="1" hidden="1">Tourisme!#REF!</definedName>
    <definedName name="Lancer_la_requête_à_partir_de_Excel_Files_1" localSheetId="6" hidden="1">Agriculture!#REF!</definedName>
    <definedName name="Lancer_la_requête_à_partir_de_Excel_Files_1" localSheetId="7" hidden="1">'AT-Ing Terr'!#REF!</definedName>
    <definedName name="Lancer_la_requête_à_partir_de_Excel_Files_1" localSheetId="4" hidden="1">Attractivité!#REF!</definedName>
    <definedName name="Lancer_la_requête_à_partir_de_Excel_Files_1" localSheetId="5" hidden="1">Biodiversité!#REF!</definedName>
    <definedName name="Lancer_la_requête_à_partir_de_Excel_Files_1" localSheetId="2" hidden="1">Bois!#REF!</definedName>
    <definedName name="Lancer_la_requête_à_partir_de_Excel_Files_1" localSheetId="0" hidden="1">Itinérance!#REF!</definedName>
    <definedName name="Lancer_la_requête_à_partir_de_Excel_Files_1" localSheetId="3" hidden="1">Pierre!#REF!</definedName>
    <definedName name="Lancer_la_requête_à_partir_de_Excel_Files_1" localSheetId="1" hidden="1">Tourisme!#REF!</definedName>
    <definedName name="Lancer_la_requête_à_partir_de_Excel_Files_10" localSheetId="0" hidden="1">Itinérance!$A$13:$AQ$14</definedName>
    <definedName name="Lancer_la_requête_à_partir_de_Excel_Files_11" localSheetId="0" hidden="1">Itinérance!$A$19:$AQ$34</definedName>
    <definedName name="Lancer_la_requête_à_partir_de_Excel_Files_2" localSheetId="6" hidden="1">Agriculture!#REF!</definedName>
    <definedName name="Lancer_la_requête_à_partir_de_Excel_Files_2" localSheetId="7" hidden="1">'AT-Ing Terr'!#REF!</definedName>
    <definedName name="Lancer_la_requête_à_partir_de_Excel_Files_2" localSheetId="4" hidden="1">Attractivité!#REF!</definedName>
    <definedName name="Lancer_la_requête_à_partir_de_Excel_Files_2" localSheetId="5" hidden="1">Biodiversité!#REF!</definedName>
    <definedName name="Lancer_la_requête_à_partir_de_Excel_Files_2" localSheetId="2" hidden="1">Bois!#REF!</definedName>
    <definedName name="Lancer_la_requête_à_partir_de_Excel_Files_2" localSheetId="0" hidden="1">Itinérance!#REF!</definedName>
    <definedName name="Lancer_la_requête_à_partir_de_Excel_Files_2" localSheetId="3" hidden="1">Pierre!#REF!</definedName>
    <definedName name="Lancer_la_requête_à_partir_de_Excel_Files_2" localSheetId="1" hidden="1">Tourisme!#REF!</definedName>
    <definedName name="Lancer_la_requête_à_partir_de_Excel_Files_3" localSheetId="6" hidden="1">Agriculture!#REF!</definedName>
    <definedName name="Lancer_la_requête_à_partir_de_Excel_Files_3" localSheetId="7" hidden="1">'AT-Ing Terr'!#REF!</definedName>
    <definedName name="Lancer_la_requête_à_partir_de_Excel_Files_3" localSheetId="4" hidden="1">Attractivité!#REF!</definedName>
    <definedName name="Lancer_la_requête_à_partir_de_Excel_Files_3" localSheetId="5" hidden="1">Biodiversité!#REF!</definedName>
    <definedName name="Lancer_la_requête_à_partir_de_Excel_Files_3" localSheetId="2" hidden="1">Bois!#REF!</definedName>
    <definedName name="Lancer_la_requête_à_partir_de_Excel_Files_3" localSheetId="0" hidden="1">Itinérance!#REF!</definedName>
    <definedName name="Lancer_la_requête_à_partir_de_Excel_Files_3" localSheetId="3" hidden="1">Pierre!#REF!</definedName>
    <definedName name="Lancer_la_requête_à_partir_de_Excel_Files_3" localSheetId="1" hidden="1">Tourisme!#REF!</definedName>
    <definedName name="Lancer_la_requête_à_partir_de_Excel_Files_4" localSheetId="6" hidden="1">Agriculture!#REF!</definedName>
    <definedName name="Lancer_la_requête_à_partir_de_Excel_Files_4" localSheetId="7" hidden="1">'AT-Ing Terr'!#REF!</definedName>
    <definedName name="Lancer_la_requête_à_partir_de_Excel_Files_4" localSheetId="4" hidden="1">Attractivité!#REF!</definedName>
    <definedName name="Lancer_la_requête_à_partir_de_Excel_Files_4" localSheetId="5" hidden="1">Biodiversité!#REF!</definedName>
    <definedName name="Lancer_la_requête_à_partir_de_Excel_Files_4" localSheetId="2" hidden="1">Bois!#REF!</definedName>
    <definedName name="Lancer_la_requête_à_partir_de_Excel_Files_4" localSheetId="0" hidden="1">Itinérance!#REF!</definedName>
    <definedName name="Lancer_la_requête_à_partir_de_Excel_Files_4" localSheetId="3" hidden="1">Pierre!#REF!</definedName>
    <definedName name="Lancer_la_requête_à_partir_de_Excel_Files_4" localSheetId="1" hidden="1">Tourisme!#REF!</definedName>
    <definedName name="Lancer_la_requête_à_partir_de_Excel_Files_5" localSheetId="6" hidden="1">Agriculture!#REF!</definedName>
    <definedName name="Lancer_la_requête_à_partir_de_Excel_Files_5" localSheetId="7" hidden="1">'AT-Ing Terr'!#REF!</definedName>
    <definedName name="Lancer_la_requête_à_partir_de_Excel_Files_5" localSheetId="4" hidden="1">Attractivité!#REF!</definedName>
    <definedName name="Lancer_la_requête_à_partir_de_Excel_Files_5" localSheetId="5" hidden="1">Biodiversité!#REF!</definedName>
    <definedName name="Lancer_la_requête_à_partir_de_Excel_Files_5" localSheetId="2" hidden="1">Bois!#REF!</definedName>
    <definedName name="Lancer_la_requête_à_partir_de_Excel_Files_5" localSheetId="0" hidden="1">Itinérance!#REF!</definedName>
    <definedName name="Lancer_la_requête_à_partir_de_Excel_Files_5" localSheetId="3" hidden="1">Pierre!#REF!</definedName>
    <definedName name="Lancer_la_requête_à_partir_de_Excel_Files_5" localSheetId="1" hidden="1">Tourisme!#REF!</definedName>
    <definedName name="Lancer_la_requête_à_partir_de_Excel_Files_6" localSheetId="6" hidden="1">Agriculture!#REF!</definedName>
    <definedName name="Lancer_la_requête_à_partir_de_Excel_Files_6" localSheetId="7" hidden="1">'AT-Ing Terr'!#REF!</definedName>
    <definedName name="Lancer_la_requête_à_partir_de_Excel_Files_6" localSheetId="4" hidden="1">Attractivité!#REF!</definedName>
    <definedName name="Lancer_la_requête_à_partir_de_Excel_Files_6" localSheetId="5" hidden="1">Biodiversité!#REF!</definedName>
    <definedName name="Lancer_la_requête_à_partir_de_Excel_Files_6" localSheetId="2" hidden="1">Bois!#REF!</definedName>
    <definedName name="Lancer_la_requête_à_partir_de_Excel_Files_6" localSheetId="0" hidden="1">Itinérance!#REF!</definedName>
    <definedName name="Lancer_la_requête_à_partir_de_Excel_Files_6" localSheetId="3" hidden="1">Pierre!#REF!</definedName>
    <definedName name="Lancer_la_requête_à_partir_de_Excel_Files_6" localSheetId="1" hidden="1">Tourisme!#REF!</definedName>
    <definedName name="Lancer_la_requête_à_partir_de_Excel_Files_7" localSheetId="6" hidden="1">Agriculture!#REF!</definedName>
    <definedName name="Lancer_la_requête_à_partir_de_Excel_Files_7" localSheetId="7" hidden="1">'AT-Ing Terr'!#REF!</definedName>
    <definedName name="Lancer_la_requête_à_partir_de_Excel_Files_7" localSheetId="4" hidden="1">Attractivité!#REF!</definedName>
    <definedName name="Lancer_la_requête_à_partir_de_Excel_Files_7" localSheetId="5" hidden="1">Biodiversité!#REF!</definedName>
    <definedName name="Lancer_la_requête_à_partir_de_Excel_Files_7" localSheetId="2" hidden="1">Bois!#REF!</definedName>
    <definedName name="Lancer_la_requête_à_partir_de_Excel_Files_7" localSheetId="0" hidden="1">Itinérance!#REF!</definedName>
    <definedName name="Lancer_la_requête_à_partir_de_Excel_Files_7" localSheetId="3" hidden="1">Pierre!#REF!</definedName>
    <definedName name="Lancer_la_requête_à_partir_de_Excel_Files_7" localSheetId="1" hidden="1">Tourisme!#REF!</definedName>
    <definedName name="Lancer_la_requête_à_partir_de_Excel_Files_8" localSheetId="6" hidden="1">Agriculture!$A$6:$AQ$19</definedName>
    <definedName name="Lancer_la_requête_à_partir_de_Excel_Files_8" localSheetId="2" hidden="1">Bois!$A$6:$AQ$9</definedName>
    <definedName name="Lancer_la_requête_à_partir_de_Excel_Files_8" localSheetId="0" hidden="1">Itinérance!$A$7:$AQ$8</definedName>
    <definedName name="Lancer_la_requête_à_partir_de_Excel_Files_8" localSheetId="3" hidden="1">Pierre!$A$6:$AP$7</definedName>
    <definedName name="Lancer_la_requête_à_partir_de_Excel_Files_9" localSheetId="0" hidden="1">Itinérance!$A$39:$AQ$40</definedName>
    <definedName name="_xlnm.Print_Area" localSheetId="6">Agriculture!$A$1:$AT$53</definedName>
    <definedName name="_xlnm.Print_Area" localSheetId="7">'AT-Ing Terr'!$A$1:$AT$12</definedName>
    <definedName name="_xlnm.Print_Area" localSheetId="4">Attractivité!$A$1:$AT$22</definedName>
    <definedName name="_xlnm.Print_Area" localSheetId="5">Biodiversité!$A$1:$AU$36</definedName>
    <definedName name="_xlnm.Print_Area" localSheetId="2">Bois!$A$1:$AT$21</definedName>
    <definedName name="_xlnm.Print_Area" localSheetId="0">Itinérance!$A$1:$AT$48</definedName>
    <definedName name="_xlnm.Print_Area" localSheetId="3">Pierre!$A$1:$AS$18</definedName>
    <definedName name="_xlnm.Print_Area" localSheetId="8">'Reprog (en cours)'!$A$1:$AV$59</definedName>
    <definedName name="_xlnm.Print_Area" localSheetId="1">Tourisme!$A$1:$AT$21</definedName>
  </definedNames>
  <calcPr calcId="145621"/>
</workbook>
</file>

<file path=xl/calcChain.xml><?xml version="1.0" encoding="utf-8"?>
<calcChain xmlns="http://schemas.openxmlformats.org/spreadsheetml/2006/main">
  <c r="J9" i="2" l="1"/>
  <c r="M9" i="2"/>
  <c r="R9" i="2"/>
  <c r="J8" i="2"/>
  <c r="M8" i="2"/>
  <c r="R8" i="2"/>
  <c r="J7" i="2"/>
  <c r="M7" i="2"/>
  <c r="R7" i="2"/>
  <c r="G9" i="2" l="1"/>
  <c r="H9" i="2" s="1"/>
  <c r="G8" i="2"/>
  <c r="E8" i="2" s="1"/>
  <c r="F8" i="2" s="1"/>
  <c r="G7" i="2"/>
  <c r="E7" i="2" s="1"/>
  <c r="F7" i="2" s="1"/>
  <c r="B12" i="10"/>
  <c r="I12" i="10"/>
  <c r="K12" i="10"/>
  <c r="L12" i="10"/>
  <c r="N12" i="10"/>
  <c r="O12" i="10"/>
  <c r="P12" i="10"/>
  <c r="Q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D12" i="10"/>
  <c r="I9" i="10"/>
  <c r="K9" i="10"/>
  <c r="L9" i="10"/>
  <c r="N9" i="10"/>
  <c r="O9" i="10"/>
  <c r="P9" i="10"/>
  <c r="Q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D9" i="10"/>
  <c r="B9" i="10"/>
  <c r="J18" i="7"/>
  <c r="L18" i="7"/>
  <c r="M18" i="7"/>
  <c r="O18" i="7"/>
  <c r="P18" i="7"/>
  <c r="Q18" i="7"/>
  <c r="R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AN18" i="7"/>
  <c r="AO18" i="7"/>
  <c r="AP18" i="7"/>
  <c r="E18" i="7"/>
  <c r="C18" i="7"/>
  <c r="J15" i="7"/>
  <c r="L15" i="7"/>
  <c r="M15" i="7"/>
  <c r="O15" i="7"/>
  <c r="P15" i="7"/>
  <c r="Q15" i="7"/>
  <c r="R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E15" i="7"/>
  <c r="C15" i="7"/>
  <c r="J11" i="7"/>
  <c r="L11" i="7"/>
  <c r="M11" i="7"/>
  <c r="O11" i="7"/>
  <c r="P11" i="7"/>
  <c r="Q11" i="7"/>
  <c r="R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E11" i="7"/>
  <c r="C11" i="7"/>
  <c r="J8" i="7"/>
  <c r="L8" i="7"/>
  <c r="M8" i="7"/>
  <c r="O8" i="7"/>
  <c r="P8" i="7"/>
  <c r="Q8" i="7"/>
  <c r="R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E8" i="7"/>
  <c r="C8" i="7"/>
  <c r="I12" i="6"/>
  <c r="K12" i="6"/>
  <c r="L12" i="6"/>
  <c r="N12" i="6"/>
  <c r="O12" i="6"/>
  <c r="P12" i="6"/>
  <c r="Q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D12" i="6"/>
  <c r="B12" i="6"/>
  <c r="I9" i="6"/>
  <c r="K9" i="6"/>
  <c r="L9" i="6"/>
  <c r="N9" i="6"/>
  <c r="O9" i="6"/>
  <c r="P9" i="6"/>
  <c r="Q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D9" i="6"/>
  <c r="B9" i="6"/>
  <c r="E9" i="2" l="1"/>
  <c r="F9" i="2" s="1"/>
  <c r="H7" i="2"/>
  <c r="H8" i="2"/>
  <c r="I21" i="9"/>
  <c r="K21" i="9"/>
  <c r="L21" i="9"/>
  <c r="N21" i="9"/>
  <c r="O21" i="9"/>
  <c r="P21" i="9"/>
  <c r="Q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D21" i="9"/>
  <c r="I12" i="9"/>
  <c r="K12" i="9"/>
  <c r="L12" i="9"/>
  <c r="N12" i="9"/>
  <c r="O12" i="9"/>
  <c r="P12" i="9"/>
  <c r="Q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D12" i="9"/>
  <c r="B21" i="9"/>
  <c r="B12" i="9"/>
  <c r="B8" i="9"/>
  <c r="I8" i="9"/>
  <c r="K8" i="9"/>
  <c r="L8" i="9"/>
  <c r="N8" i="9"/>
  <c r="O8" i="9"/>
  <c r="P8" i="9"/>
  <c r="Q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D8" i="9"/>
  <c r="J7" i="9"/>
  <c r="J8" i="9" s="1"/>
  <c r="J10" i="9"/>
  <c r="J12" i="9" s="1"/>
  <c r="J11" i="9"/>
  <c r="J14" i="9"/>
  <c r="J21" i="9" s="1"/>
  <c r="J15" i="9"/>
  <c r="J16" i="9"/>
  <c r="J17" i="9"/>
  <c r="J18" i="9"/>
  <c r="J19" i="9"/>
  <c r="J20" i="9"/>
  <c r="M7" i="9"/>
  <c r="M8" i="9" s="1"/>
  <c r="M10" i="9"/>
  <c r="M12" i="9" s="1"/>
  <c r="M11" i="9"/>
  <c r="M14" i="9"/>
  <c r="M15" i="9"/>
  <c r="M16" i="9"/>
  <c r="M17" i="9"/>
  <c r="M18" i="9"/>
  <c r="M19" i="9"/>
  <c r="M20" i="9"/>
  <c r="R7" i="9"/>
  <c r="R8" i="9" s="1"/>
  <c r="R10" i="9"/>
  <c r="R12" i="9" s="1"/>
  <c r="R11" i="9"/>
  <c r="R14" i="9"/>
  <c r="R21" i="9" s="1"/>
  <c r="R15" i="9"/>
  <c r="R16" i="9"/>
  <c r="R17" i="9"/>
  <c r="R18" i="9"/>
  <c r="R19" i="9"/>
  <c r="R20" i="9"/>
  <c r="M21" i="9" l="1"/>
  <c r="G18" i="9"/>
  <c r="G10" i="9"/>
  <c r="G16" i="9"/>
  <c r="G19" i="9"/>
  <c r="G11" i="9"/>
  <c r="G17" i="9"/>
  <c r="G7" i="9"/>
  <c r="G8" i="9" s="1"/>
  <c r="G15" i="9"/>
  <c r="G14" i="9"/>
  <c r="G20" i="9"/>
  <c r="AS10" i="4"/>
  <c r="B35" i="12"/>
  <c r="D35" i="12"/>
  <c r="I35" i="12"/>
  <c r="L35" i="12"/>
  <c r="N35" i="12"/>
  <c r="O35" i="12"/>
  <c r="P35" i="12"/>
  <c r="Q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G21" i="9" l="1"/>
  <c r="G12" i="9"/>
  <c r="G33" i="12"/>
  <c r="H33" i="12" s="1"/>
  <c r="G30" i="12"/>
  <c r="E30" i="12" s="1"/>
  <c r="F30" i="12" s="1"/>
  <c r="G24" i="12"/>
  <c r="H24" i="12" s="1"/>
  <c r="G29" i="12"/>
  <c r="E29" i="12" s="1"/>
  <c r="F29" i="12" s="1"/>
  <c r="G23" i="12"/>
  <c r="E23" i="12" s="1"/>
  <c r="F23" i="12" s="1"/>
  <c r="G34" i="12"/>
  <c r="E34" i="12" s="1"/>
  <c r="F34" i="12" s="1"/>
  <c r="G28" i="12"/>
  <c r="H28" i="12" s="1"/>
  <c r="G22" i="12"/>
  <c r="H22" i="12" s="1"/>
  <c r="G21" i="12"/>
  <c r="E21" i="12" s="1"/>
  <c r="F21" i="12" s="1"/>
  <c r="G32" i="12"/>
  <c r="E32" i="12" s="1"/>
  <c r="F32" i="12" s="1"/>
  <c r="G26" i="12"/>
  <c r="H26" i="12" s="1"/>
  <c r="G20" i="12"/>
  <c r="E20" i="12" s="1"/>
  <c r="F20" i="12" s="1"/>
  <c r="G27" i="12"/>
  <c r="G31" i="12"/>
  <c r="H31" i="12" s="1"/>
  <c r="G25" i="12"/>
  <c r="E25" i="12" s="1"/>
  <c r="F25" i="12" s="1"/>
  <c r="E28" i="12"/>
  <c r="F28" i="12" s="1"/>
  <c r="E26" i="12"/>
  <c r="F26" i="12" s="1"/>
  <c r="E24" i="12"/>
  <c r="F24" i="12" s="1"/>
  <c r="E27" i="12"/>
  <c r="F27" i="12" s="1"/>
  <c r="H27" i="12"/>
  <c r="E31" i="12"/>
  <c r="F31" i="12" s="1"/>
  <c r="H25" i="12"/>
  <c r="C8" i="14"/>
  <c r="F8" i="14"/>
  <c r="AR8" i="14"/>
  <c r="H7" i="14"/>
  <c r="M7" i="14"/>
  <c r="P7" i="14"/>
  <c r="U7" i="14"/>
  <c r="C10" i="4"/>
  <c r="F10" i="4"/>
  <c r="AR10" i="4"/>
  <c r="H8" i="4"/>
  <c r="H9" i="4"/>
  <c r="M7" i="4"/>
  <c r="M8" i="4"/>
  <c r="M9" i="4"/>
  <c r="P7" i="4"/>
  <c r="P8" i="4"/>
  <c r="P9" i="4"/>
  <c r="U7" i="4"/>
  <c r="U8" i="4"/>
  <c r="U9" i="4"/>
  <c r="J7" i="10"/>
  <c r="J8" i="10"/>
  <c r="J11" i="10"/>
  <c r="J12" i="10" s="1"/>
  <c r="M7" i="10"/>
  <c r="M9" i="10" s="1"/>
  <c r="M8" i="10"/>
  <c r="M11" i="10"/>
  <c r="M12" i="10" s="1"/>
  <c r="R7" i="10"/>
  <c r="R8" i="10"/>
  <c r="R11" i="10"/>
  <c r="R12" i="10" s="1"/>
  <c r="B20" i="8"/>
  <c r="D20" i="8"/>
  <c r="I20" i="8"/>
  <c r="L20" i="8"/>
  <c r="N20" i="8"/>
  <c r="O20" i="8"/>
  <c r="P20" i="8"/>
  <c r="Q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K13" i="7"/>
  <c r="K14" i="7"/>
  <c r="K7" i="7"/>
  <c r="K8" i="7" s="1"/>
  <c r="K17" i="7"/>
  <c r="K18" i="7" s="1"/>
  <c r="K10" i="7"/>
  <c r="K11" i="7" s="1"/>
  <c r="N13" i="7"/>
  <c r="N14" i="7"/>
  <c r="N7" i="7"/>
  <c r="N8" i="7" s="1"/>
  <c r="N17" i="7"/>
  <c r="N18" i="7" s="1"/>
  <c r="N10" i="7"/>
  <c r="N11" i="7" s="1"/>
  <c r="S13" i="7"/>
  <c r="S14" i="7"/>
  <c r="S7" i="7"/>
  <c r="S8" i="7" s="1"/>
  <c r="S17" i="7"/>
  <c r="S18" i="7" s="1"/>
  <c r="S10" i="7"/>
  <c r="S11" i="7" s="1"/>
  <c r="J7" i="6"/>
  <c r="J8" i="6"/>
  <c r="J11" i="6"/>
  <c r="J12" i="6" s="1"/>
  <c r="M7" i="6"/>
  <c r="M9" i="6" s="1"/>
  <c r="M8" i="6"/>
  <c r="M11" i="6"/>
  <c r="M12" i="6" s="1"/>
  <c r="R7" i="6"/>
  <c r="R8" i="6"/>
  <c r="R11" i="6"/>
  <c r="R12" i="6" s="1"/>
  <c r="B8" i="5"/>
  <c r="D8" i="5"/>
  <c r="I8" i="5"/>
  <c r="L8" i="5"/>
  <c r="N8" i="5"/>
  <c r="O8" i="5"/>
  <c r="P8" i="5"/>
  <c r="Q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B10" i="2"/>
  <c r="D10" i="2"/>
  <c r="I10" i="2"/>
  <c r="L10" i="2"/>
  <c r="N10" i="2"/>
  <c r="O10" i="2"/>
  <c r="P10" i="2"/>
  <c r="Q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B9" i="12"/>
  <c r="D9" i="12"/>
  <c r="I9" i="12"/>
  <c r="L9" i="12"/>
  <c r="N9" i="12"/>
  <c r="O9" i="12"/>
  <c r="P9" i="12"/>
  <c r="Q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B41" i="12"/>
  <c r="D41" i="12"/>
  <c r="I41" i="12"/>
  <c r="L41" i="12"/>
  <c r="N41" i="12"/>
  <c r="O41" i="12"/>
  <c r="P41" i="12"/>
  <c r="Q41" i="12"/>
  <c r="S41" i="12"/>
  <c r="T41" i="12"/>
  <c r="U41" i="12"/>
  <c r="V41" i="12"/>
  <c r="W41" i="12"/>
  <c r="X41" i="12"/>
  <c r="Y41" i="12"/>
  <c r="Z41" i="12"/>
  <c r="AA41" i="12"/>
  <c r="AB41" i="12"/>
  <c r="AC41" i="12"/>
  <c r="AD41" i="12"/>
  <c r="AE41" i="12"/>
  <c r="AF41" i="12"/>
  <c r="AG41" i="12"/>
  <c r="AH41" i="12"/>
  <c r="AI41" i="12"/>
  <c r="AJ41" i="12"/>
  <c r="AK41" i="12"/>
  <c r="AL41" i="12"/>
  <c r="AM41" i="12"/>
  <c r="AN41" i="12"/>
  <c r="AO41" i="12"/>
  <c r="J40" i="12"/>
  <c r="M40" i="12"/>
  <c r="R40" i="12"/>
  <c r="B15" i="12"/>
  <c r="D15" i="12"/>
  <c r="I15" i="12"/>
  <c r="L15" i="12"/>
  <c r="N15" i="12"/>
  <c r="O15" i="12"/>
  <c r="P15" i="12"/>
  <c r="Q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E33" i="12" l="1"/>
  <c r="F33" i="12" s="1"/>
  <c r="H30" i="12"/>
  <c r="E22" i="12"/>
  <c r="F22" i="12" s="1"/>
  <c r="R9" i="6"/>
  <c r="J9" i="6"/>
  <c r="N15" i="7"/>
  <c r="R9" i="10"/>
  <c r="J9" i="10"/>
  <c r="S15" i="7"/>
  <c r="K15" i="7"/>
  <c r="H23" i="12"/>
  <c r="H20" i="12"/>
  <c r="H34" i="12"/>
  <c r="H21" i="12"/>
  <c r="H29" i="12"/>
  <c r="H32" i="12"/>
  <c r="K7" i="14"/>
  <c r="L7" i="14" s="1"/>
  <c r="I7" i="14"/>
  <c r="J7" i="14" s="1"/>
  <c r="K7" i="4"/>
  <c r="L7" i="4" s="1"/>
  <c r="K9" i="4"/>
  <c r="I9" i="4" s="1"/>
  <c r="J9" i="4" s="1"/>
  <c r="K8" i="4"/>
  <c r="L8" i="4" s="1"/>
  <c r="G11" i="10"/>
  <c r="G8" i="10"/>
  <c r="E8" i="10" s="1"/>
  <c r="F8" i="10" s="1"/>
  <c r="G7" i="10"/>
  <c r="G16" i="8"/>
  <c r="H16" i="8" s="1"/>
  <c r="G10" i="8"/>
  <c r="H10" i="8" s="1"/>
  <c r="G15" i="8"/>
  <c r="H15" i="8" s="1"/>
  <c r="G9" i="8"/>
  <c r="G8" i="8"/>
  <c r="H8" i="8" s="1"/>
  <c r="G19" i="8"/>
  <c r="E19" i="8" s="1"/>
  <c r="F19" i="8" s="1"/>
  <c r="G13" i="8"/>
  <c r="G7" i="8"/>
  <c r="H7" i="8" s="1"/>
  <c r="G14" i="8"/>
  <c r="H14" i="8" s="1"/>
  <c r="G18" i="8"/>
  <c r="H18" i="8" s="1"/>
  <c r="G12" i="8"/>
  <c r="H12" i="8" s="1"/>
  <c r="G17" i="8"/>
  <c r="E17" i="8" s="1"/>
  <c r="F17" i="8" s="1"/>
  <c r="G11" i="8"/>
  <c r="H11" i="8" s="1"/>
  <c r="E15" i="8"/>
  <c r="F15" i="8" s="1"/>
  <c r="H9" i="8"/>
  <c r="E9" i="8"/>
  <c r="F9" i="8" s="1"/>
  <c r="E14" i="8"/>
  <c r="F14" i="8" s="1"/>
  <c r="E13" i="8"/>
  <c r="F13" i="8" s="1"/>
  <c r="H13" i="8"/>
  <c r="E7" i="8"/>
  <c r="F7" i="8" s="1"/>
  <c r="E18" i="8"/>
  <c r="F18" i="8" s="1"/>
  <c r="H17" i="8"/>
  <c r="E16" i="8"/>
  <c r="F16" i="8" s="1"/>
  <c r="E10" i="8"/>
  <c r="F10" i="8" s="1"/>
  <c r="H14" i="7"/>
  <c r="F14" i="7" s="1"/>
  <c r="G14" i="7" s="1"/>
  <c r="H10" i="7"/>
  <c r="H17" i="7"/>
  <c r="H7" i="7"/>
  <c r="H13" i="7"/>
  <c r="I10" i="7"/>
  <c r="G11" i="6"/>
  <c r="G12" i="6" s="1"/>
  <c r="G8" i="6"/>
  <c r="H8" i="6" s="1"/>
  <c r="G7" i="6"/>
  <c r="E8" i="6"/>
  <c r="F8" i="6" s="1"/>
  <c r="E15" i="9"/>
  <c r="F15" i="9" s="1"/>
  <c r="H19" i="9"/>
  <c r="E7" i="9"/>
  <c r="E8" i="9" s="1"/>
  <c r="E18" i="9"/>
  <c r="F18" i="9" s="1"/>
  <c r="E14" i="9"/>
  <c r="E11" i="9"/>
  <c r="F11" i="9" s="1"/>
  <c r="H16" i="9"/>
  <c r="E10" i="9"/>
  <c r="H10" i="9"/>
  <c r="E17" i="9"/>
  <c r="F17" i="9" s="1"/>
  <c r="H17" i="9"/>
  <c r="H7" i="9"/>
  <c r="H8" i="9" s="1"/>
  <c r="E20" i="9"/>
  <c r="F20" i="9" s="1"/>
  <c r="H20" i="9"/>
  <c r="G40" i="12"/>
  <c r="E40" i="12" s="1"/>
  <c r="F40" i="12" s="1"/>
  <c r="H11" i="6" l="1"/>
  <c r="I7" i="4"/>
  <c r="J7" i="4" s="1"/>
  <c r="H40" i="12"/>
  <c r="E7" i="6"/>
  <c r="G9" i="6"/>
  <c r="F13" i="7"/>
  <c r="H15" i="7"/>
  <c r="I17" i="7"/>
  <c r="H18" i="7"/>
  <c r="F10" i="9"/>
  <c r="E12" i="9"/>
  <c r="E11" i="6"/>
  <c r="I7" i="7"/>
  <c r="H8" i="7"/>
  <c r="E7" i="10"/>
  <c r="G9" i="10"/>
  <c r="H11" i="10"/>
  <c r="G12" i="10"/>
  <c r="L9" i="4"/>
  <c r="E11" i="10"/>
  <c r="H8" i="10"/>
  <c r="F10" i="7"/>
  <c r="H11" i="7"/>
  <c r="I14" i="7"/>
  <c r="F7" i="9"/>
  <c r="E16" i="9"/>
  <c r="F16" i="9" s="1"/>
  <c r="H11" i="9"/>
  <c r="I8" i="4"/>
  <c r="J8" i="4" s="1"/>
  <c r="H7" i="10"/>
  <c r="E12" i="8"/>
  <c r="F12" i="8" s="1"/>
  <c r="E8" i="8"/>
  <c r="F8" i="8" s="1"/>
  <c r="E11" i="8"/>
  <c r="F11" i="8" s="1"/>
  <c r="H19" i="8"/>
  <c r="I13" i="7"/>
  <c r="F7" i="7"/>
  <c r="F17" i="7"/>
  <c r="H7" i="6"/>
  <c r="E19" i="9"/>
  <c r="F19" i="9" s="1"/>
  <c r="H18" i="9"/>
  <c r="H15" i="9"/>
  <c r="G7" i="7" l="1"/>
  <c r="F8" i="7"/>
  <c r="F7" i="10"/>
  <c r="E9" i="10"/>
  <c r="E21" i="9"/>
  <c r="G17" i="7"/>
  <c r="F18" i="7"/>
  <c r="F11" i="10"/>
  <c r="E12" i="10"/>
  <c r="F11" i="6"/>
  <c r="E12" i="6"/>
  <c r="G13" i="7"/>
  <c r="F15" i="7"/>
  <c r="F7" i="6"/>
  <c r="E9" i="6"/>
  <c r="G10" i="7"/>
  <c r="F11" i="7"/>
  <c r="E1" i="14"/>
  <c r="E1" i="4"/>
  <c r="C1" i="10"/>
  <c r="C1" i="8"/>
  <c r="C1" i="7"/>
  <c r="C1" i="6"/>
  <c r="C1" i="9"/>
  <c r="R46" i="12" l="1"/>
  <c r="R47" i="12"/>
  <c r="AP52" i="10" l="1"/>
  <c r="AO52" i="10"/>
  <c r="AP51" i="10"/>
  <c r="AO51" i="10"/>
  <c r="AP50" i="10"/>
  <c r="AO50" i="10"/>
  <c r="AP49" i="10"/>
  <c r="AO49" i="10"/>
  <c r="AP48" i="10"/>
  <c r="AO48" i="10"/>
  <c r="AP47" i="10"/>
  <c r="AO47" i="10"/>
  <c r="AP46" i="10"/>
  <c r="AO46" i="10"/>
  <c r="AP45" i="10"/>
  <c r="AO45" i="10"/>
  <c r="AP44" i="10"/>
  <c r="AO44" i="10"/>
  <c r="AP43" i="10"/>
  <c r="AO43" i="10"/>
  <c r="AP42" i="10"/>
  <c r="AO42" i="10"/>
  <c r="AP41" i="10"/>
  <c r="AO41" i="10"/>
  <c r="AP40" i="10"/>
  <c r="AO40" i="10"/>
  <c r="AP39" i="10"/>
  <c r="AO39" i="10"/>
  <c r="AP38" i="10"/>
  <c r="AO38" i="10"/>
  <c r="AP37" i="10"/>
  <c r="AO37" i="10"/>
  <c r="AP36" i="10"/>
  <c r="AO36" i="10"/>
  <c r="AP35" i="10"/>
  <c r="AO35" i="10"/>
  <c r="AP34" i="10"/>
  <c r="AO34" i="10"/>
  <c r="AP33" i="10"/>
  <c r="AO33" i="10"/>
  <c r="AP32" i="10"/>
  <c r="AO32" i="10"/>
  <c r="AP31" i="10"/>
  <c r="AO31" i="10"/>
  <c r="AP30" i="10"/>
  <c r="AO30" i="10"/>
  <c r="AP29" i="10"/>
  <c r="AO29" i="10"/>
  <c r="AP28" i="10"/>
  <c r="AO28" i="10"/>
  <c r="AP27" i="10"/>
  <c r="AO27" i="10"/>
  <c r="AP26" i="10"/>
  <c r="AO26" i="10"/>
  <c r="AP25" i="10"/>
  <c r="AO25" i="10"/>
  <c r="AP24" i="10"/>
  <c r="AO24" i="10"/>
  <c r="AP23" i="10"/>
  <c r="AO23" i="10"/>
  <c r="I52" i="10"/>
  <c r="H52" i="10"/>
  <c r="E52" i="10" s="1"/>
  <c r="I51" i="10"/>
  <c r="F51" i="10" s="1"/>
  <c r="H51" i="10"/>
  <c r="E51" i="10" s="1"/>
  <c r="I50" i="10"/>
  <c r="F50" i="10" s="1"/>
  <c r="H50" i="10"/>
  <c r="E50" i="10" s="1"/>
  <c r="I49" i="10"/>
  <c r="F49" i="10" s="1"/>
  <c r="H49" i="10"/>
  <c r="E49" i="10" s="1"/>
  <c r="I48" i="10"/>
  <c r="F48" i="10" s="1"/>
  <c r="H48" i="10"/>
  <c r="E48" i="10" s="1"/>
  <c r="I47" i="10"/>
  <c r="F47" i="10" s="1"/>
  <c r="H47" i="10"/>
  <c r="I46" i="10"/>
  <c r="F46" i="10" s="1"/>
  <c r="H46" i="10"/>
  <c r="E46" i="10" s="1"/>
  <c r="I45" i="10"/>
  <c r="F45" i="10" s="1"/>
  <c r="H45" i="10"/>
  <c r="E45" i="10" s="1"/>
  <c r="I44" i="10"/>
  <c r="F44" i="10" s="1"/>
  <c r="H44" i="10"/>
  <c r="E44" i="10" s="1"/>
  <c r="I43" i="10"/>
  <c r="F43" i="10" s="1"/>
  <c r="H43" i="10"/>
  <c r="E43" i="10" s="1"/>
  <c r="I42" i="10"/>
  <c r="F42" i="10" s="1"/>
  <c r="H42" i="10"/>
  <c r="E42" i="10" s="1"/>
  <c r="I41" i="10"/>
  <c r="F41" i="10" s="1"/>
  <c r="H41" i="10"/>
  <c r="E41" i="10" s="1"/>
  <c r="I40" i="10"/>
  <c r="F40" i="10" s="1"/>
  <c r="H40" i="10"/>
  <c r="E40" i="10" s="1"/>
  <c r="I39" i="10"/>
  <c r="F39" i="10" s="1"/>
  <c r="H39" i="10"/>
  <c r="E39" i="10" s="1"/>
  <c r="I38" i="10"/>
  <c r="F38" i="10" s="1"/>
  <c r="H38" i="10"/>
  <c r="E38" i="10" s="1"/>
  <c r="I37" i="10"/>
  <c r="F37" i="10" s="1"/>
  <c r="H37" i="10"/>
  <c r="E37" i="10" s="1"/>
  <c r="I36" i="10"/>
  <c r="F36" i="10" s="1"/>
  <c r="H36" i="10"/>
  <c r="E36" i="10" s="1"/>
  <c r="I35" i="10"/>
  <c r="F35" i="10" s="1"/>
  <c r="H35" i="10"/>
  <c r="E35" i="10" s="1"/>
  <c r="I34" i="10"/>
  <c r="F34" i="10" s="1"/>
  <c r="H34" i="10"/>
  <c r="E34" i="10" s="1"/>
  <c r="I33" i="10"/>
  <c r="H33" i="10"/>
  <c r="E33" i="10" s="1"/>
  <c r="I32" i="10"/>
  <c r="F32" i="10" s="1"/>
  <c r="H32" i="10"/>
  <c r="E32" i="10" s="1"/>
  <c r="I31" i="10"/>
  <c r="F31" i="10" s="1"/>
  <c r="H31" i="10"/>
  <c r="E31" i="10" s="1"/>
  <c r="I30" i="10"/>
  <c r="F30" i="10" s="1"/>
  <c r="H30" i="10"/>
  <c r="E30" i="10" s="1"/>
  <c r="I29" i="10"/>
  <c r="F29" i="10" s="1"/>
  <c r="H29" i="10"/>
  <c r="E29" i="10" s="1"/>
  <c r="I28" i="10"/>
  <c r="F28" i="10" s="1"/>
  <c r="H28" i="10"/>
  <c r="E28" i="10" s="1"/>
  <c r="I27" i="10"/>
  <c r="F27" i="10" s="1"/>
  <c r="H27" i="10"/>
  <c r="E27" i="10" s="1"/>
  <c r="I26" i="10"/>
  <c r="F26" i="10" s="1"/>
  <c r="H26" i="10"/>
  <c r="E26" i="10" s="1"/>
  <c r="I25" i="10"/>
  <c r="F25" i="10" s="1"/>
  <c r="H25" i="10"/>
  <c r="E25" i="10" s="1"/>
  <c r="I24" i="10"/>
  <c r="F24" i="10" s="1"/>
  <c r="H24" i="10"/>
  <c r="E24" i="10" s="1"/>
  <c r="I23" i="10"/>
  <c r="F23" i="10" s="1"/>
  <c r="H23" i="10"/>
  <c r="E23" i="10" s="1"/>
  <c r="X83" i="12"/>
  <c r="W83" i="12"/>
  <c r="X82" i="12"/>
  <c r="W82" i="12"/>
  <c r="X81" i="12"/>
  <c r="W81" i="12"/>
  <c r="X80" i="12"/>
  <c r="W80" i="12"/>
  <c r="X79" i="12"/>
  <c r="W79" i="12"/>
  <c r="X78" i="12"/>
  <c r="W78" i="12"/>
  <c r="X77" i="12"/>
  <c r="W77" i="12"/>
  <c r="X76" i="12"/>
  <c r="W76" i="12"/>
  <c r="X75" i="12"/>
  <c r="W75" i="12"/>
  <c r="X74" i="12"/>
  <c r="W74" i="12"/>
  <c r="X73" i="12"/>
  <c r="W73" i="12"/>
  <c r="X72" i="12"/>
  <c r="W72" i="12"/>
  <c r="X71" i="12"/>
  <c r="W71" i="12"/>
  <c r="X70" i="12"/>
  <c r="W70" i="12"/>
  <c r="X69" i="12"/>
  <c r="W69" i="12"/>
  <c r="X68" i="12"/>
  <c r="W68" i="12"/>
  <c r="X67" i="12"/>
  <c r="W67" i="12"/>
  <c r="X66" i="12"/>
  <c r="W66" i="12"/>
  <c r="X65" i="12"/>
  <c r="W65" i="12"/>
  <c r="X64" i="12"/>
  <c r="W64" i="12"/>
  <c r="X63" i="12"/>
  <c r="W63" i="12"/>
  <c r="X62" i="12"/>
  <c r="W62" i="12"/>
  <c r="X61" i="12"/>
  <c r="W61" i="12"/>
  <c r="X60" i="12"/>
  <c r="W60" i="12"/>
  <c r="X59" i="12"/>
  <c r="W59" i="12"/>
  <c r="X58" i="12"/>
  <c r="W58" i="12"/>
  <c r="X57" i="12"/>
  <c r="W57" i="12"/>
  <c r="X56" i="12"/>
  <c r="W56" i="12"/>
  <c r="X55" i="12"/>
  <c r="W55" i="12"/>
  <c r="X54" i="12"/>
  <c r="W54" i="12"/>
  <c r="V83" i="12"/>
  <c r="U83" i="12"/>
  <c r="V82" i="12"/>
  <c r="U82" i="12"/>
  <c r="V81" i="12"/>
  <c r="U81" i="12"/>
  <c r="V80" i="12"/>
  <c r="U80" i="12"/>
  <c r="V79" i="12"/>
  <c r="U79" i="12"/>
  <c r="V78" i="12"/>
  <c r="U78" i="12"/>
  <c r="V77" i="12"/>
  <c r="U77" i="12"/>
  <c r="V76" i="12"/>
  <c r="U76" i="12"/>
  <c r="V75" i="12"/>
  <c r="U75" i="12"/>
  <c r="V74" i="12"/>
  <c r="U74" i="12"/>
  <c r="V73" i="12"/>
  <c r="U73" i="12"/>
  <c r="V72" i="12"/>
  <c r="U72" i="12"/>
  <c r="V71" i="12"/>
  <c r="U71" i="12"/>
  <c r="V70" i="12"/>
  <c r="U70" i="12"/>
  <c r="V69" i="12"/>
  <c r="U69" i="12"/>
  <c r="V68" i="12"/>
  <c r="U68" i="12"/>
  <c r="V67" i="12"/>
  <c r="U67" i="12"/>
  <c r="V66" i="12"/>
  <c r="U66" i="12"/>
  <c r="V65" i="12"/>
  <c r="U65" i="12"/>
  <c r="V64" i="12"/>
  <c r="U64" i="12"/>
  <c r="V63" i="12"/>
  <c r="U63" i="12"/>
  <c r="V62" i="12"/>
  <c r="U62" i="12"/>
  <c r="V61" i="12"/>
  <c r="U61" i="12"/>
  <c r="V60" i="12"/>
  <c r="U60" i="12"/>
  <c r="V59" i="12"/>
  <c r="U59" i="12"/>
  <c r="V58" i="12"/>
  <c r="U58" i="12"/>
  <c r="V57" i="12"/>
  <c r="U57" i="12"/>
  <c r="V56" i="12"/>
  <c r="U56" i="12"/>
  <c r="V55" i="12"/>
  <c r="U55" i="12"/>
  <c r="V54" i="12"/>
  <c r="U5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R83" i="12"/>
  <c r="Q83" i="12"/>
  <c r="R82" i="12"/>
  <c r="Q82" i="12"/>
  <c r="R81" i="12"/>
  <c r="Q81" i="12"/>
  <c r="R80" i="12"/>
  <c r="Q80" i="12"/>
  <c r="R79" i="12"/>
  <c r="Q79" i="12"/>
  <c r="R78" i="12"/>
  <c r="Q78" i="12"/>
  <c r="R77" i="12"/>
  <c r="Q77" i="12"/>
  <c r="R76" i="12"/>
  <c r="Q76" i="12"/>
  <c r="R75" i="12"/>
  <c r="Q75" i="12"/>
  <c r="R74" i="12"/>
  <c r="Q74" i="12"/>
  <c r="R73" i="12"/>
  <c r="Q73" i="12"/>
  <c r="R72" i="12"/>
  <c r="Q72" i="12"/>
  <c r="R71" i="12"/>
  <c r="Q71" i="12"/>
  <c r="R70" i="12"/>
  <c r="Q70" i="12"/>
  <c r="R69" i="12"/>
  <c r="Q69" i="12"/>
  <c r="R68" i="12"/>
  <c r="Q68" i="12"/>
  <c r="R67" i="12"/>
  <c r="Q67" i="12"/>
  <c r="R66" i="12"/>
  <c r="Q66" i="12"/>
  <c r="R65" i="12"/>
  <c r="Q65" i="12"/>
  <c r="R64" i="12"/>
  <c r="Q64" i="12"/>
  <c r="R63" i="12"/>
  <c r="Q63" i="12"/>
  <c r="R62" i="12"/>
  <c r="Q62" i="12"/>
  <c r="R61" i="12"/>
  <c r="Q61" i="12"/>
  <c r="R60" i="12"/>
  <c r="Q60" i="12"/>
  <c r="R59" i="12"/>
  <c r="Q59" i="12"/>
  <c r="R58" i="12"/>
  <c r="Q58" i="12"/>
  <c r="R57" i="12"/>
  <c r="Q57" i="12"/>
  <c r="R56" i="12"/>
  <c r="Q56" i="12"/>
  <c r="R55" i="12"/>
  <c r="Q55" i="12"/>
  <c r="R54" i="12"/>
  <c r="Q54" i="12"/>
  <c r="P83" i="12"/>
  <c r="O83" i="12"/>
  <c r="P82" i="12"/>
  <c r="O82" i="12"/>
  <c r="P81" i="12"/>
  <c r="O81" i="12"/>
  <c r="P80" i="12"/>
  <c r="O80" i="12"/>
  <c r="P79" i="12"/>
  <c r="O79" i="12"/>
  <c r="P78" i="12"/>
  <c r="O78" i="12"/>
  <c r="P77" i="12"/>
  <c r="O77" i="12"/>
  <c r="P76" i="12"/>
  <c r="O76" i="12"/>
  <c r="P75" i="12"/>
  <c r="O75" i="12"/>
  <c r="P74" i="12"/>
  <c r="O74" i="12"/>
  <c r="P73" i="12"/>
  <c r="O73" i="12"/>
  <c r="P72" i="12"/>
  <c r="O72" i="12"/>
  <c r="P71" i="12"/>
  <c r="O71" i="12"/>
  <c r="P70" i="12"/>
  <c r="O70" i="12"/>
  <c r="P69" i="12"/>
  <c r="O69" i="12"/>
  <c r="P68" i="12"/>
  <c r="O68" i="12"/>
  <c r="P67" i="12"/>
  <c r="O67" i="12"/>
  <c r="P66" i="12"/>
  <c r="O66" i="12"/>
  <c r="P65" i="12"/>
  <c r="O65" i="12"/>
  <c r="P64" i="12"/>
  <c r="O64" i="12"/>
  <c r="P63" i="12"/>
  <c r="O63" i="12"/>
  <c r="P62" i="12"/>
  <c r="O62" i="12"/>
  <c r="O61" i="12"/>
  <c r="P60" i="12"/>
  <c r="O60" i="12"/>
  <c r="P59" i="12"/>
  <c r="O59" i="12"/>
  <c r="P58" i="12"/>
  <c r="O58" i="12"/>
  <c r="P57" i="12"/>
  <c r="O57" i="12"/>
  <c r="O56" i="12"/>
  <c r="O55" i="12"/>
  <c r="P54" i="12"/>
  <c r="O54" i="12"/>
  <c r="N83" i="12"/>
  <c r="M83" i="12"/>
  <c r="N82" i="12"/>
  <c r="M82" i="12"/>
  <c r="N81" i="12"/>
  <c r="M81" i="12"/>
  <c r="N80" i="12"/>
  <c r="M80" i="12"/>
  <c r="N79" i="12"/>
  <c r="M79" i="12"/>
  <c r="N78" i="12"/>
  <c r="M78" i="12"/>
  <c r="N77" i="12"/>
  <c r="M77" i="12"/>
  <c r="N76" i="12"/>
  <c r="M76" i="12"/>
  <c r="N75" i="12"/>
  <c r="M75" i="12"/>
  <c r="N74" i="12"/>
  <c r="M74" i="12"/>
  <c r="N73" i="12"/>
  <c r="M73" i="12"/>
  <c r="N72" i="12"/>
  <c r="M72" i="12"/>
  <c r="N71" i="12"/>
  <c r="M71" i="12"/>
  <c r="N70" i="12"/>
  <c r="M70" i="12"/>
  <c r="N69" i="12"/>
  <c r="M69" i="12"/>
  <c r="N68" i="12"/>
  <c r="M68" i="12"/>
  <c r="N67" i="12"/>
  <c r="M67" i="12"/>
  <c r="N66" i="12"/>
  <c r="M66" i="12"/>
  <c r="N65" i="12"/>
  <c r="M65" i="12"/>
  <c r="N64" i="12"/>
  <c r="M64" i="12"/>
  <c r="N63" i="12"/>
  <c r="M63" i="12"/>
  <c r="N62" i="12"/>
  <c r="M62" i="12"/>
  <c r="N61" i="12"/>
  <c r="M61" i="12"/>
  <c r="N60" i="12"/>
  <c r="M60" i="12"/>
  <c r="N59" i="12"/>
  <c r="M59" i="12"/>
  <c r="N58" i="12"/>
  <c r="M58" i="12"/>
  <c r="N57" i="12"/>
  <c r="M57" i="12"/>
  <c r="N56" i="12"/>
  <c r="M56" i="12"/>
  <c r="N55" i="12"/>
  <c r="M55" i="12"/>
  <c r="N54" i="12"/>
  <c r="M54" i="12"/>
  <c r="K83" i="12"/>
  <c r="J83" i="12"/>
  <c r="K82" i="12"/>
  <c r="J82" i="12"/>
  <c r="K81" i="12"/>
  <c r="J81" i="12"/>
  <c r="K80" i="12"/>
  <c r="J80" i="12"/>
  <c r="K79" i="12"/>
  <c r="J79" i="12"/>
  <c r="K78" i="12"/>
  <c r="J78" i="12"/>
  <c r="K77" i="12"/>
  <c r="J77" i="12"/>
  <c r="K76" i="12"/>
  <c r="J76" i="12"/>
  <c r="K75" i="12"/>
  <c r="J75" i="12"/>
  <c r="K74" i="12"/>
  <c r="J74" i="12"/>
  <c r="K73" i="12"/>
  <c r="J73" i="12"/>
  <c r="K72" i="12"/>
  <c r="J72" i="12"/>
  <c r="K71" i="12"/>
  <c r="J71" i="12"/>
  <c r="K70" i="12"/>
  <c r="J70" i="12"/>
  <c r="K69" i="12"/>
  <c r="J69" i="12"/>
  <c r="K68" i="12"/>
  <c r="J68" i="12"/>
  <c r="K67" i="12"/>
  <c r="J67" i="12"/>
  <c r="K66" i="12"/>
  <c r="J66" i="12"/>
  <c r="K65" i="12"/>
  <c r="J65" i="12"/>
  <c r="K64" i="12"/>
  <c r="J64" i="12"/>
  <c r="K63" i="12"/>
  <c r="J63" i="12"/>
  <c r="K62" i="12"/>
  <c r="J62" i="12"/>
  <c r="K61" i="12"/>
  <c r="J61" i="12"/>
  <c r="K60" i="12"/>
  <c r="J60" i="12"/>
  <c r="K59" i="12"/>
  <c r="J59" i="12"/>
  <c r="K58" i="12"/>
  <c r="J58" i="12"/>
  <c r="K57" i="12"/>
  <c r="J57" i="12"/>
  <c r="K56" i="12"/>
  <c r="J56" i="12"/>
  <c r="K55" i="12"/>
  <c r="J55" i="12"/>
  <c r="K54" i="12"/>
  <c r="J54" i="12"/>
  <c r="I83" i="12"/>
  <c r="H83" i="12"/>
  <c r="I82" i="12"/>
  <c r="H82" i="12"/>
  <c r="I81" i="12"/>
  <c r="H81" i="12"/>
  <c r="I80" i="12"/>
  <c r="H80" i="12"/>
  <c r="I79" i="12"/>
  <c r="H79" i="12"/>
  <c r="I78" i="12"/>
  <c r="H78" i="12"/>
  <c r="I77" i="12"/>
  <c r="H77" i="12"/>
  <c r="I76" i="12"/>
  <c r="H76" i="12"/>
  <c r="I75" i="12"/>
  <c r="H75" i="12"/>
  <c r="I74" i="12"/>
  <c r="H74" i="12"/>
  <c r="I73" i="12"/>
  <c r="H73" i="12"/>
  <c r="I72" i="12"/>
  <c r="H72" i="12"/>
  <c r="I71" i="12"/>
  <c r="H71" i="12"/>
  <c r="I70" i="12"/>
  <c r="H70" i="12"/>
  <c r="I69" i="12"/>
  <c r="H69" i="12"/>
  <c r="I68" i="12"/>
  <c r="H68" i="12"/>
  <c r="I67" i="12"/>
  <c r="H67" i="12"/>
  <c r="I66" i="12"/>
  <c r="H66" i="12"/>
  <c r="I65" i="12"/>
  <c r="H65" i="12"/>
  <c r="I64" i="12"/>
  <c r="H64" i="12"/>
  <c r="I63" i="12"/>
  <c r="H63" i="12"/>
  <c r="I62" i="12"/>
  <c r="H62" i="12"/>
  <c r="I61" i="12"/>
  <c r="H61" i="12"/>
  <c r="I60" i="12"/>
  <c r="H60" i="12"/>
  <c r="I59" i="12"/>
  <c r="H59" i="12"/>
  <c r="I58" i="12"/>
  <c r="H58" i="12"/>
  <c r="I57" i="12"/>
  <c r="H57" i="12"/>
  <c r="I56" i="12"/>
  <c r="H56" i="12"/>
  <c r="I55" i="12"/>
  <c r="H55" i="12"/>
  <c r="I54" i="12"/>
  <c r="H54" i="12"/>
  <c r="E47" i="10" l="1"/>
  <c r="F33" i="10"/>
  <c r="F52" i="10"/>
  <c r="F72" i="12"/>
  <c r="F78" i="12"/>
  <c r="F58" i="12"/>
  <c r="F64" i="12"/>
  <c r="F67" i="12"/>
  <c r="F70" i="12"/>
  <c r="F73" i="12"/>
  <c r="F76" i="12"/>
  <c r="F79" i="12"/>
  <c r="F82" i="12"/>
  <c r="E59" i="12"/>
  <c r="E62" i="12"/>
  <c r="E65" i="12"/>
  <c r="E68" i="12"/>
  <c r="E71" i="12"/>
  <c r="E74" i="12"/>
  <c r="E77" i="12"/>
  <c r="E80" i="12"/>
  <c r="E83" i="12"/>
  <c r="F59" i="12"/>
  <c r="F62" i="12"/>
  <c r="F65" i="12"/>
  <c r="F68" i="12"/>
  <c r="F71" i="12"/>
  <c r="F74" i="12"/>
  <c r="F77" i="12"/>
  <c r="F80" i="12"/>
  <c r="F83" i="12"/>
  <c r="E56" i="12"/>
  <c r="E54" i="12"/>
  <c r="E60" i="12"/>
  <c r="E66" i="12"/>
  <c r="E72" i="12"/>
  <c r="E78" i="12"/>
  <c r="F54" i="12"/>
  <c r="F66" i="12"/>
  <c r="E61" i="12"/>
  <c r="P61" i="12"/>
  <c r="F61" i="12" s="1"/>
  <c r="F60" i="12"/>
  <c r="E64" i="12"/>
  <c r="E67" i="12"/>
  <c r="E70" i="12"/>
  <c r="E73" i="12"/>
  <c r="E76" i="12"/>
  <c r="E79" i="12"/>
  <c r="E82" i="12"/>
  <c r="P55" i="12"/>
  <c r="F55" i="12" s="1"/>
  <c r="P56" i="12"/>
  <c r="F56" i="12" s="1"/>
  <c r="E57" i="12"/>
  <c r="E75" i="12"/>
  <c r="E69" i="12"/>
  <c r="E81" i="12"/>
  <c r="E63" i="12"/>
  <c r="F57" i="12"/>
  <c r="F63" i="12"/>
  <c r="F69" i="12"/>
  <c r="F75" i="12"/>
  <c r="F81" i="12"/>
  <c r="E58" i="12"/>
  <c r="E55" i="12"/>
  <c r="R53" i="9" l="1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M53" i="9"/>
  <c r="M52" i="9"/>
  <c r="M51" i="9"/>
  <c r="M50" i="9"/>
  <c r="M49" i="9"/>
  <c r="F49" i="9" s="1"/>
  <c r="M48" i="9"/>
  <c r="F48" i="9" s="1"/>
  <c r="M47" i="9"/>
  <c r="M46" i="9"/>
  <c r="M45" i="9"/>
  <c r="F45" i="9" s="1"/>
  <c r="M44" i="9"/>
  <c r="F44" i="9" s="1"/>
  <c r="M43" i="9"/>
  <c r="M42" i="9"/>
  <c r="M41" i="9"/>
  <c r="F41" i="9" s="1"/>
  <c r="M40" i="9"/>
  <c r="F40" i="9" s="1"/>
  <c r="M39" i="9"/>
  <c r="M38" i="9"/>
  <c r="M37" i="9"/>
  <c r="F37" i="9" s="1"/>
  <c r="M36" i="9"/>
  <c r="M35" i="9"/>
  <c r="M34" i="9"/>
  <c r="M33" i="9"/>
  <c r="F33" i="9" s="1"/>
  <c r="M32" i="9"/>
  <c r="F32" i="9" s="1"/>
  <c r="M31" i="9"/>
  <c r="M30" i="9"/>
  <c r="M29" i="9"/>
  <c r="M28" i="9"/>
  <c r="F28" i="9" s="1"/>
  <c r="M27" i="9"/>
  <c r="M26" i="9"/>
  <c r="M25" i="9"/>
  <c r="F25" i="9" s="1"/>
  <c r="M2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H53" i="9"/>
  <c r="E53" i="9" s="1"/>
  <c r="H52" i="9"/>
  <c r="E52" i="9" s="1"/>
  <c r="H51" i="9"/>
  <c r="H50" i="9"/>
  <c r="H49" i="9"/>
  <c r="E49" i="9" s="1"/>
  <c r="H48" i="9"/>
  <c r="E48" i="9" s="1"/>
  <c r="H47" i="9"/>
  <c r="H46" i="9"/>
  <c r="H45" i="9"/>
  <c r="E45" i="9" s="1"/>
  <c r="H44" i="9"/>
  <c r="E44" i="9" s="1"/>
  <c r="H43" i="9"/>
  <c r="H42" i="9"/>
  <c r="H41" i="9"/>
  <c r="E41" i="9" s="1"/>
  <c r="H40" i="9"/>
  <c r="E40" i="9" s="1"/>
  <c r="H39" i="9"/>
  <c r="H38" i="9"/>
  <c r="H37" i="9"/>
  <c r="E37" i="9" s="1"/>
  <c r="H36" i="9"/>
  <c r="H35" i="9"/>
  <c r="H34" i="9"/>
  <c r="H33" i="9"/>
  <c r="E33" i="9" s="1"/>
  <c r="H32" i="9"/>
  <c r="E32" i="9" s="1"/>
  <c r="H31" i="9"/>
  <c r="H30" i="9"/>
  <c r="H29" i="9"/>
  <c r="H28" i="9"/>
  <c r="E28" i="9" s="1"/>
  <c r="H27" i="9"/>
  <c r="H26" i="9"/>
  <c r="H25" i="9"/>
  <c r="E25" i="9" s="1"/>
  <c r="H24" i="9"/>
  <c r="AO60" i="8"/>
  <c r="AO59" i="8"/>
  <c r="AO58" i="8"/>
  <c r="AO57" i="8"/>
  <c r="AO56" i="8"/>
  <c r="AO55" i="8"/>
  <c r="AO54" i="8"/>
  <c r="AO53" i="8"/>
  <c r="AO52" i="8"/>
  <c r="AO51" i="8"/>
  <c r="AO50" i="8"/>
  <c r="AO49" i="8"/>
  <c r="AO48" i="8"/>
  <c r="AO47" i="8"/>
  <c r="AO46" i="8"/>
  <c r="AO45" i="8"/>
  <c r="AO44" i="8"/>
  <c r="AO43" i="8"/>
  <c r="AO42" i="8"/>
  <c r="AO41" i="8"/>
  <c r="AO40" i="8"/>
  <c r="AO39" i="8"/>
  <c r="AO38" i="8"/>
  <c r="AO37" i="8"/>
  <c r="AO36" i="8"/>
  <c r="AO35" i="8"/>
  <c r="AO34" i="8"/>
  <c r="AO33" i="8"/>
  <c r="AO32" i="8"/>
  <c r="AO31" i="8"/>
  <c r="R60" i="8"/>
  <c r="R59" i="8"/>
  <c r="F59" i="8" s="1"/>
  <c r="R58" i="8"/>
  <c r="F58" i="8" s="1"/>
  <c r="R57" i="8"/>
  <c r="R56" i="8"/>
  <c r="F56" i="8" s="1"/>
  <c r="R55" i="8"/>
  <c r="F55" i="8" s="1"/>
  <c r="R54" i="8"/>
  <c r="F54" i="8" s="1"/>
  <c r="R53" i="8"/>
  <c r="R52" i="8"/>
  <c r="F52" i="8" s="1"/>
  <c r="R51" i="8"/>
  <c r="F51" i="8" s="1"/>
  <c r="R50" i="8"/>
  <c r="F50" i="8" s="1"/>
  <c r="R49" i="8"/>
  <c r="R48" i="8"/>
  <c r="F48" i="8" s="1"/>
  <c r="R47" i="8"/>
  <c r="F47" i="8" s="1"/>
  <c r="R46" i="8"/>
  <c r="F46" i="8" s="1"/>
  <c r="R45" i="8"/>
  <c r="R44" i="8"/>
  <c r="F44" i="8" s="1"/>
  <c r="R43" i="8"/>
  <c r="F43" i="8" s="1"/>
  <c r="R42" i="8"/>
  <c r="F42" i="8" s="1"/>
  <c r="R41" i="8"/>
  <c r="R40" i="8"/>
  <c r="F40" i="8" s="1"/>
  <c r="R39" i="8"/>
  <c r="F39" i="8" s="1"/>
  <c r="R38" i="8"/>
  <c r="F38" i="8" s="1"/>
  <c r="R37" i="8"/>
  <c r="R36" i="8"/>
  <c r="F36" i="8" s="1"/>
  <c r="R35" i="8"/>
  <c r="F35" i="8" s="1"/>
  <c r="R34" i="8"/>
  <c r="F34" i="8" s="1"/>
  <c r="R33" i="8"/>
  <c r="R32" i="8"/>
  <c r="F32" i="8" s="1"/>
  <c r="R31" i="8"/>
  <c r="F31" i="8" s="1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I60" i="8"/>
  <c r="I59" i="8"/>
  <c r="E59" i="8" s="1"/>
  <c r="I58" i="8"/>
  <c r="I57" i="8"/>
  <c r="I56" i="8"/>
  <c r="I55" i="8"/>
  <c r="E55" i="8" s="1"/>
  <c r="I54" i="8"/>
  <c r="I53" i="8"/>
  <c r="I52" i="8"/>
  <c r="I51" i="8"/>
  <c r="E51" i="8" s="1"/>
  <c r="I50" i="8"/>
  <c r="I49" i="8"/>
  <c r="I48" i="8"/>
  <c r="I47" i="8"/>
  <c r="E47" i="8" s="1"/>
  <c r="I46" i="8"/>
  <c r="I45" i="8"/>
  <c r="I44" i="8"/>
  <c r="I43" i="8"/>
  <c r="E43" i="8" s="1"/>
  <c r="I42" i="8"/>
  <c r="I41" i="8"/>
  <c r="I40" i="8"/>
  <c r="I39" i="8"/>
  <c r="E39" i="8" s="1"/>
  <c r="I38" i="8"/>
  <c r="I37" i="8"/>
  <c r="I36" i="8"/>
  <c r="I35" i="8"/>
  <c r="E35" i="8" s="1"/>
  <c r="I34" i="8"/>
  <c r="I33" i="8"/>
  <c r="I32" i="8"/>
  <c r="I31" i="8"/>
  <c r="E31" i="8" s="1"/>
  <c r="E36" i="8" l="1"/>
  <c r="E40" i="8"/>
  <c r="E44" i="8"/>
  <c r="E48" i="8"/>
  <c r="E52" i="8"/>
  <c r="E56" i="8"/>
  <c r="E60" i="8"/>
  <c r="E34" i="8"/>
  <c r="E38" i="8"/>
  <c r="E42" i="8"/>
  <c r="E46" i="8"/>
  <c r="E50" i="8"/>
  <c r="E54" i="8"/>
  <c r="E58" i="8"/>
  <c r="E29" i="9"/>
  <c r="F29" i="9"/>
  <c r="F24" i="9"/>
  <c r="E24" i="9"/>
  <c r="F60" i="8"/>
  <c r="F53" i="9"/>
  <c r="F36" i="9"/>
  <c r="E32" i="8"/>
  <c r="F52" i="9"/>
  <c r="E36" i="9"/>
  <c r="E27" i="9"/>
  <c r="E31" i="9"/>
  <c r="E35" i="9"/>
  <c r="E39" i="9"/>
  <c r="E43" i="9"/>
  <c r="E47" i="9"/>
  <c r="E51" i="9"/>
  <c r="F27" i="9"/>
  <c r="F31" i="9"/>
  <c r="F35" i="9"/>
  <c r="F39" i="9"/>
  <c r="F43" i="9"/>
  <c r="F47" i="9"/>
  <c r="F51" i="9"/>
  <c r="E26" i="9"/>
  <c r="E30" i="9"/>
  <c r="E34" i="9"/>
  <c r="E38" i="9"/>
  <c r="E42" i="9"/>
  <c r="E46" i="9"/>
  <c r="E50" i="9"/>
  <c r="F26" i="9"/>
  <c r="F30" i="9"/>
  <c r="F34" i="9"/>
  <c r="F38" i="9"/>
  <c r="F42" i="9"/>
  <c r="F46" i="9"/>
  <c r="F50" i="9"/>
  <c r="E33" i="8"/>
  <c r="E37" i="8"/>
  <c r="E41" i="8"/>
  <c r="E45" i="8"/>
  <c r="E49" i="8"/>
  <c r="E53" i="8"/>
  <c r="E57" i="8"/>
  <c r="F33" i="8"/>
  <c r="F37" i="8"/>
  <c r="F41" i="8"/>
  <c r="F45" i="8"/>
  <c r="F49" i="8"/>
  <c r="F53" i="8"/>
  <c r="F57" i="8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M52" i="6"/>
  <c r="M51" i="6"/>
  <c r="M50" i="6"/>
  <c r="M49" i="6"/>
  <c r="M48" i="6"/>
  <c r="M47" i="6"/>
  <c r="M46" i="6"/>
  <c r="F46" i="6" s="1"/>
  <c r="M45" i="6"/>
  <c r="M44" i="6"/>
  <c r="M43" i="6"/>
  <c r="M42" i="6"/>
  <c r="F42" i="6" s="1"/>
  <c r="M41" i="6"/>
  <c r="M40" i="6"/>
  <c r="M39" i="6"/>
  <c r="M38" i="6"/>
  <c r="F38" i="6" s="1"/>
  <c r="M37" i="6"/>
  <c r="M36" i="6"/>
  <c r="M35" i="6"/>
  <c r="M34" i="6"/>
  <c r="F34" i="6" s="1"/>
  <c r="M33" i="6"/>
  <c r="M32" i="6"/>
  <c r="M31" i="6"/>
  <c r="M30" i="6"/>
  <c r="F30" i="6" s="1"/>
  <c r="M29" i="6"/>
  <c r="M28" i="6"/>
  <c r="M27" i="6"/>
  <c r="M26" i="6"/>
  <c r="F26" i="6" s="1"/>
  <c r="M25" i="6"/>
  <c r="M24" i="6"/>
  <c r="M2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2" i="2"/>
  <c r="AO21" i="2"/>
  <c r="R50" i="2"/>
  <c r="F50" i="2" s="1"/>
  <c r="R49" i="2"/>
  <c r="R48" i="2"/>
  <c r="R47" i="2"/>
  <c r="R46" i="2"/>
  <c r="F46" i="2" s="1"/>
  <c r="R45" i="2"/>
  <c r="R44" i="2"/>
  <c r="R43" i="2"/>
  <c r="R42" i="2"/>
  <c r="F42" i="2" s="1"/>
  <c r="R41" i="2"/>
  <c r="R40" i="2"/>
  <c r="R39" i="2"/>
  <c r="R38" i="2"/>
  <c r="F38" i="2" s="1"/>
  <c r="R37" i="2"/>
  <c r="R36" i="2"/>
  <c r="R35" i="2"/>
  <c r="R34" i="2"/>
  <c r="F34" i="2" s="1"/>
  <c r="R33" i="2"/>
  <c r="R32" i="2"/>
  <c r="R31" i="2"/>
  <c r="R30" i="2"/>
  <c r="F30" i="2" s="1"/>
  <c r="R29" i="2"/>
  <c r="R28" i="2"/>
  <c r="R27" i="2"/>
  <c r="R26" i="2"/>
  <c r="F26" i="2" s="1"/>
  <c r="R25" i="2"/>
  <c r="R24" i="2"/>
  <c r="R23" i="2"/>
  <c r="R22" i="2"/>
  <c r="F22" i="2" s="1"/>
  <c r="R2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I50" i="2"/>
  <c r="E50" i="2" s="1"/>
  <c r="I49" i="2"/>
  <c r="I48" i="2"/>
  <c r="I47" i="2"/>
  <c r="I46" i="2"/>
  <c r="E46" i="2" s="1"/>
  <c r="I45" i="2"/>
  <c r="I44" i="2"/>
  <c r="I43" i="2"/>
  <c r="I42" i="2"/>
  <c r="E42" i="2" s="1"/>
  <c r="I41" i="2"/>
  <c r="I40" i="2"/>
  <c r="I39" i="2"/>
  <c r="I38" i="2"/>
  <c r="E38" i="2" s="1"/>
  <c r="I37" i="2"/>
  <c r="I36" i="2"/>
  <c r="I35" i="2"/>
  <c r="I34" i="2"/>
  <c r="E34" i="2" s="1"/>
  <c r="I33" i="2"/>
  <c r="I32" i="2"/>
  <c r="I31" i="2"/>
  <c r="I30" i="2"/>
  <c r="I29" i="2"/>
  <c r="I28" i="2"/>
  <c r="I27" i="2"/>
  <c r="I26" i="2"/>
  <c r="E26" i="2" s="1"/>
  <c r="I25" i="2"/>
  <c r="I24" i="2"/>
  <c r="I23" i="2"/>
  <c r="I22" i="2"/>
  <c r="I21" i="2"/>
  <c r="E26" i="6" l="1"/>
  <c r="E30" i="6"/>
  <c r="E34" i="6"/>
  <c r="E38" i="6"/>
  <c r="E42" i="6"/>
  <c r="E46" i="6"/>
  <c r="E50" i="6"/>
  <c r="F50" i="6"/>
  <c r="E30" i="2"/>
  <c r="E22" i="2"/>
  <c r="E30" i="7"/>
  <c r="E34" i="7"/>
  <c r="E38" i="7"/>
  <c r="E42" i="7"/>
  <c r="E46" i="7"/>
  <c r="E50" i="7"/>
  <c r="E54" i="7"/>
  <c r="E58" i="7"/>
  <c r="F30" i="7"/>
  <c r="F34" i="7"/>
  <c r="F38" i="7"/>
  <c r="F42" i="7"/>
  <c r="F46" i="7"/>
  <c r="F50" i="7"/>
  <c r="F54" i="7"/>
  <c r="F58" i="7"/>
  <c r="E24" i="6"/>
  <c r="E32" i="6"/>
  <c r="E28" i="6"/>
  <c r="E36" i="6"/>
  <c r="E40" i="6"/>
  <c r="E44" i="6"/>
  <c r="E48" i="6"/>
  <c r="E52" i="6"/>
  <c r="F24" i="6"/>
  <c r="F28" i="6"/>
  <c r="F32" i="6"/>
  <c r="F36" i="6"/>
  <c r="F40" i="6"/>
  <c r="F44" i="6"/>
  <c r="F48" i="6"/>
  <c r="F52" i="6"/>
  <c r="E23" i="6"/>
  <c r="E27" i="6"/>
  <c r="E31" i="6"/>
  <c r="E35" i="6"/>
  <c r="E39" i="6"/>
  <c r="E43" i="6"/>
  <c r="E47" i="6"/>
  <c r="E51" i="6"/>
  <c r="F23" i="6"/>
  <c r="F27" i="6"/>
  <c r="F31" i="6"/>
  <c r="F35" i="6"/>
  <c r="F39" i="6"/>
  <c r="F43" i="6"/>
  <c r="F47" i="6"/>
  <c r="F51" i="6"/>
  <c r="E21" i="2"/>
  <c r="E25" i="2"/>
  <c r="E29" i="2"/>
  <c r="E33" i="2"/>
  <c r="E37" i="2"/>
  <c r="E41" i="2"/>
  <c r="E45" i="2"/>
  <c r="E49" i="2"/>
  <c r="F21" i="2"/>
  <c r="F25" i="2"/>
  <c r="F29" i="2"/>
  <c r="F33" i="2"/>
  <c r="F37" i="2"/>
  <c r="F41" i="2"/>
  <c r="F45" i="2"/>
  <c r="F49" i="2"/>
  <c r="E31" i="7"/>
  <c r="E39" i="7"/>
  <c r="E43" i="7"/>
  <c r="E47" i="7"/>
  <c r="E51" i="7"/>
  <c r="E55" i="7"/>
  <c r="F31" i="7"/>
  <c r="F35" i="7"/>
  <c r="F39" i="7"/>
  <c r="F43" i="7"/>
  <c r="F47" i="7"/>
  <c r="F51" i="7"/>
  <c r="F55" i="7"/>
  <c r="E29" i="7"/>
  <c r="E37" i="7"/>
  <c r="E41" i="7"/>
  <c r="E45" i="7"/>
  <c r="E49" i="7"/>
  <c r="E53" i="7"/>
  <c r="E57" i="7"/>
  <c r="F29" i="7"/>
  <c r="F33" i="7"/>
  <c r="F37" i="7"/>
  <c r="F41" i="7"/>
  <c r="F45" i="7"/>
  <c r="F49" i="7"/>
  <c r="F53" i="7"/>
  <c r="F57" i="7"/>
  <c r="E33" i="7"/>
  <c r="E32" i="7"/>
  <c r="E36" i="7"/>
  <c r="E40" i="7"/>
  <c r="E44" i="7"/>
  <c r="E48" i="7"/>
  <c r="E52" i="7"/>
  <c r="E56" i="7"/>
  <c r="F32" i="7"/>
  <c r="F36" i="7"/>
  <c r="F40" i="7"/>
  <c r="F44" i="7"/>
  <c r="F48" i="7"/>
  <c r="F52" i="7"/>
  <c r="F56" i="7"/>
  <c r="E25" i="6"/>
  <c r="E29" i="6"/>
  <c r="E33" i="6"/>
  <c r="E37" i="6"/>
  <c r="E41" i="6"/>
  <c r="E45" i="6"/>
  <c r="E49" i="6"/>
  <c r="F25" i="6"/>
  <c r="F29" i="6"/>
  <c r="F33" i="6"/>
  <c r="F37" i="6"/>
  <c r="F41" i="6"/>
  <c r="F45" i="6"/>
  <c r="F49" i="6"/>
  <c r="E24" i="2"/>
  <c r="E28" i="2"/>
  <c r="E32" i="2"/>
  <c r="E36" i="2"/>
  <c r="E40" i="2"/>
  <c r="E44" i="2"/>
  <c r="E48" i="2"/>
  <c r="F24" i="2"/>
  <c r="F28" i="2"/>
  <c r="F32" i="2"/>
  <c r="F36" i="2"/>
  <c r="F40" i="2"/>
  <c r="F44" i="2"/>
  <c r="F48" i="2"/>
  <c r="E23" i="2"/>
  <c r="E27" i="2"/>
  <c r="E31" i="2"/>
  <c r="E35" i="2"/>
  <c r="E39" i="2"/>
  <c r="E43" i="2"/>
  <c r="E47" i="2"/>
  <c r="F23" i="2"/>
  <c r="F27" i="2"/>
  <c r="F31" i="2"/>
  <c r="F35" i="2"/>
  <c r="F39" i="2"/>
  <c r="F43" i="2"/>
  <c r="F47" i="2"/>
  <c r="E35" i="7"/>
  <c r="AZ59" i="14" l="1"/>
  <c r="AZ58" i="14"/>
  <c r="AZ57" i="14"/>
  <c r="AZ56" i="14"/>
  <c r="AZ55" i="14"/>
  <c r="AZ54" i="14"/>
  <c r="AZ53" i="14"/>
  <c r="AZ52" i="14"/>
  <c r="AZ51" i="14"/>
  <c r="AZ50" i="14"/>
  <c r="AZ49" i="14"/>
  <c r="AZ48" i="14"/>
  <c r="AZ47" i="14"/>
  <c r="AZ46" i="14"/>
  <c r="AZ45" i="14"/>
  <c r="AZ44" i="14"/>
  <c r="AZ43" i="14"/>
  <c r="AZ42" i="14"/>
  <c r="AZ41" i="14"/>
  <c r="AZ40" i="14"/>
  <c r="AZ39" i="14"/>
  <c r="AZ38" i="14"/>
  <c r="AZ37" i="14"/>
  <c r="AZ36" i="14"/>
  <c r="AZ35" i="14"/>
  <c r="AZ34" i="14"/>
  <c r="AZ33" i="14"/>
  <c r="AZ32" i="14"/>
  <c r="AZ31" i="14"/>
  <c r="CD24" i="14"/>
  <c r="CC24" i="14"/>
  <c r="CB24" i="14"/>
  <c r="CA24" i="14"/>
  <c r="BZ24" i="14"/>
  <c r="BY24" i="14"/>
  <c r="BX24" i="14"/>
  <c r="BW24" i="14"/>
  <c r="BV24" i="14"/>
  <c r="BU24" i="14"/>
  <c r="BT24" i="14"/>
  <c r="BS24" i="14"/>
  <c r="BR24" i="14"/>
  <c r="BQ24" i="14"/>
  <c r="BP24" i="14"/>
  <c r="BO24" i="14"/>
  <c r="BN24" i="14"/>
  <c r="BM24" i="14"/>
  <c r="BL24" i="14"/>
  <c r="BK24" i="14"/>
  <c r="BJ24" i="14"/>
  <c r="BI24" i="14"/>
  <c r="BH24" i="14"/>
  <c r="BF24" i="14"/>
  <c r="BE24" i="14"/>
  <c r="BD24" i="14"/>
  <c r="BC24" i="14"/>
  <c r="BA24" i="14"/>
  <c r="AZ24" i="14"/>
  <c r="CE23" i="14"/>
  <c r="BG23" i="14"/>
  <c r="BB23" i="14"/>
  <c r="AY23" i="14"/>
  <c r="CE22" i="14"/>
  <c r="BG22" i="14"/>
  <c r="BB22" i="14"/>
  <c r="AY22" i="14"/>
  <c r="CE21" i="14"/>
  <c r="BG21" i="14"/>
  <c r="BB21" i="14"/>
  <c r="AY21" i="14"/>
  <c r="CE20" i="14"/>
  <c r="BG20" i="14"/>
  <c r="BB20" i="14"/>
  <c r="AY20" i="14"/>
  <c r="CE19" i="14"/>
  <c r="BG19" i="14"/>
  <c r="BB19" i="14"/>
  <c r="AY19" i="14"/>
  <c r="CE18" i="14"/>
  <c r="BG18" i="14"/>
  <c r="BB18" i="14"/>
  <c r="AY18" i="14"/>
  <c r="CE17" i="14"/>
  <c r="BG17" i="14"/>
  <c r="BB17" i="14"/>
  <c r="AY17" i="14"/>
  <c r="CE16" i="14"/>
  <c r="BG16" i="14"/>
  <c r="BB16" i="14"/>
  <c r="AY16" i="14"/>
  <c r="CE15" i="14"/>
  <c r="BG15" i="14"/>
  <c r="BB15" i="14"/>
  <c r="AY15" i="14"/>
  <c r="CE13" i="14"/>
  <c r="BG13" i="14"/>
  <c r="BB13" i="14"/>
  <c r="AY13" i="14"/>
  <c r="CE12" i="14"/>
  <c r="BG12" i="14"/>
  <c r="BB12" i="14"/>
  <c r="AY12" i="14"/>
  <c r="CE11" i="14"/>
  <c r="BG11" i="14"/>
  <c r="BB11" i="14"/>
  <c r="AY11" i="14"/>
  <c r="CE10" i="14"/>
  <c r="BG10" i="14"/>
  <c r="BB10" i="14"/>
  <c r="AY10" i="14"/>
  <c r="CE9" i="14"/>
  <c r="BG9" i="14"/>
  <c r="BB9" i="14"/>
  <c r="AY9" i="14"/>
  <c r="CE8" i="14"/>
  <c r="BG8" i="14"/>
  <c r="BB8" i="14"/>
  <c r="AY8" i="14"/>
  <c r="H8" i="14"/>
  <c r="CE7" i="14"/>
  <c r="BG7" i="14"/>
  <c r="BB7" i="14"/>
  <c r="AY7" i="14"/>
  <c r="U8" i="14"/>
  <c r="P8" i="14"/>
  <c r="M8" i="14"/>
  <c r="AO47" i="12"/>
  <c r="AO46" i="12"/>
  <c r="J35" i="12"/>
  <c r="M35" i="12"/>
  <c r="M41" i="12"/>
  <c r="BG24" i="14" l="1"/>
  <c r="BB24" i="14"/>
  <c r="BG59" i="14"/>
  <c r="AY24" i="14"/>
  <c r="BB34" i="14"/>
  <c r="BB36" i="14"/>
  <c r="BB38" i="14"/>
  <c r="BB40" i="14"/>
  <c r="BB44" i="14"/>
  <c r="BB46" i="14"/>
  <c r="BB48" i="14"/>
  <c r="BB50" i="14"/>
  <c r="BB52" i="14"/>
  <c r="BB54" i="14"/>
  <c r="BB56" i="14"/>
  <c r="BB58" i="14"/>
  <c r="BB32" i="14"/>
  <c r="BB42" i="14"/>
  <c r="CE24" i="14"/>
  <c r="BG32" i="14"/>
  <c r="BG34" i="14"/>
  <c r="BG36" i="14"/>
  <c r="BG38" i="14"/>
  <c r="BG40" i="14"/>
  <c r="BG42" i="14"/>
  <c r="BG44" i="14"/>
  <c r="BG46" i="14"/>
  <c r="BG48" i="14"/>
  <c r="BG50" i="14"/>
  <c r="BG52" i="14"/>
  <c r="BG54" i="14"/>
  <c r="BG56" i="14"/>
  <c r="BG58" i="14"/>
  <c r="BB33" i="14"/>
  <c r="BB35" i="14"/>
  <c r="BB37" i="14"/>
  <c r="BB41" i="14"/>
  <c r="BB43" i="14"/>
  <c r="BB45" i="14"/>
  <c r="BB47" i="14"/>
  <c r="BB49" i="14"/>
  <c r="BB51" i="14"/>
  <c r="BB53" i="14"/>
  <c r="BB55" i="14"/>
  <c r="BB57" i="14"/>
  <c r="BB59" i="14"/>
  <c r="BB31" i="14"/>
  <c r="BB39" i="14"/>
  <c r="BG31" i="14"/>
  <c r="BG33" i="14"/>
  <c r="BG35" i="14"/>
  <c r="BG37" i="14"/>
  <c r="BG39" i="14"/>
  <c r="BG41" i="14"/>
  <c r="BG43" i="14"/>
  <c r="BG45" i="14"/>
  <c r="BG47" i="14"/>
  <c r="BG49" i="14"/>
  <c r="BG51" i="14"/>
  <c r="BG53" i="14"/>
  <c r="BG55" i="14"/>
  <c r="BG57" i="14"/>
  <c r="R35" i="12"/>
  <c r="J41" i="12"/>
  <c r="M15" i="12"/>
  <c r="R15" i="12"/>
  <c r="J15" i="12"/>
  <c r="R41" i="12"/>
  <c r="R9" i="12"/>
  <c r="M9" i="12"/>
  <c r="J9" i="12"/>
  <c r="K8" i="14" l="1"/>
  <c r="G35" i="12"/>
  <c r="G15" i="12"/>
  <c r="G41" i="12"/>
  <c r="I8" i="14" l="1"/>
  <c r="E35" i="12"/>
  <c r="E15" i="12"/>
  <c r="E41" i="12"/>
  <c r="G9" i="12"/>
  <c r="E9" i="12" l="1"/>
  <c r="F48" i="5" l="1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H10" i="4" l="1"/>
  <c r="M10" i="4"/>
  <c r="P10" i="4"/>
  <c r="U10" i="4"/>
  <c r="CE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R20" i="8"/>
  <c r="M20" i="8"/>
  <c r="J20" i="8"/>
  <c r="G20" i="8"/>
  <c r="R8" i="5"/>
  <c r="M8" i="5"/>
  <c r="J8" i="5"/>
  <c r="G8" i="5"/>
  <c r="E8" i="5"/>
  <c r="J10" i="2"/>
  <c r="M10" i="2"/>
  <c r="R10" i="2"/>
  <c r="AZ24" i="4"/>
  <c r="BG15" i="4"/>
  <c r="BG16" i="4"/>
  <c r="BB16" i="4" s="1"/>
  <c r="AY16" i="4" s="1"/>
  <c r="BG17" i="4"/>
  <c r="BB17" i="4" s="1"/>
  <c r="AY17" i="4" s="1"/>
  <c r="BG18" i="4"/>
  <c r="BB18" i="4" s="1"/>
  <c r="AY18" i="4" s="1"/>
  <c r="BG19" i="4"/>
  <c r="BB19" i="4" s="1"/>
  <c r="AY19" i="4" s="1"/>
  <c r="BG20" i="4"/>
  <c r="BB20" i="4" s="1"/>
  <c r="AY20" i="4" s="1"/>
  <c r="BG21" i="4"/>
  <c r="BB21" i="4" s="1"/>
  <c r="AY21" i="4" s="1"/>
  <c r="BG22" i="4"/>
  <c r="BB22" i="4" s="1"/>
  <c r="AY22" i="4" s="1"/>
  <c r="BG23" i="4"/>
  <c r="BB23" i="4" s="1"/>
  <c r="AY23" i="4" s="1"/>
  <c r="BB7" i="4"/>
  <c r="BB8" i="4"/>
  <c r="BB9" i="4"/>
  <c r="BB10" i="4"/>
  <c r="BB11" i="4"/>
  <c r="BB12" i="4"/>
  <c r="BB13" i="4"/>
  <c r="BB14" i="4"/>
  <c r="BC24" i="4"/>
  <c r="AZ34" i="4" s="1"/>
  <c r="BD24" i="4"/>
  <c r="AZ35" i="4" s="1"/>
  <c r="BE24" i="4"/>
  <c r="AZ36" i="4" s="1"/>
  <c r="BG7" i="4"/>
  <c r="BG8" i="4"/>
  <c r="BG9" i="4"/>
  <c r="BG10" i="4"/>
  <c r="BG11" i="4"/>
  <c r="BG12" i="4"/>
  <c r="BG13" i="4"/>
  <c r="BG14" i="4"/>
  <c r="BH24" i="4"/>
  <c r="AZ39" i="4" s="1"/>
  <c r="BI24" i="4"/>
  <c r="BJ24" i="4"/>
  <c r="AZ40" i="4" s="1"/>
  <c r="BK24" i="4"/>
  <c r="AZ41" i="4" s="1"/>
  <c r="BL24" i="4"/>
  <c r="AZ42" i="4" s="1"/>
  <c r="BM24" i="4"/>
  <c r="AZ43" i="4" s="1"/>
  <c r="BN24" i="4"/>
  <c r="AZ44" i="4" s="1"/>
  <c r="BO24" i="4"/>
  <c r="AZ45" i="4" s="1"/>
  <c r="BP24" i="4"/>
  <c r="AZ46" i="4" s="1"/>
  <c r="BQ24" i="4"/>
  <c r="AZ47" i="4" s="1"/>
  <c r="BR24" i="4"/>
  <c r="AZ48" i="4" s="1"/>
  <c r="BS24" i="4"/>
  <c r="AZ49" i="4" s="1"/>
  <c r="BT24" i="4"/>
  <c r="AZ50" i="4" s="1"/>
  <c r="BU24" i="4"/>
  <c r="AZ51" i="4" s="1"/>
  <c r="BV24" i="4"/>
  <c r="AZ52" i="4" s="1"/>
  <c r="BW24" i="4"/>
  <c r="AZ53" i="4" s="1"/>
  <c r="BX24" i="4"/>
  <c r="AZ54" i="4" s="1"/>
  <c r="BY24" i="4"/>
  <c r="AZ55" i="4" s="1"/>
  <c r="BZ24" i="4"/>
  <c r="AZ56" i="4" s="1"/>
  <c r="CA24" i="4"/>
  <c r="AZ57" i="4" s="1"/>
  <c r="CB24" i="4"/>
  <c r="AZ58" i="4" s="1"/>
  <c r="CC24" i="4"/>
  <c r="AZ59" i="4" s="1"/>
  <c r="CD24" i="4"/>
  <c r="AZ31" i="4" s="1"/>
  <c r="AY7" i="4"/>
  <c r="AY8" i="4"/>
  <c r="AY9" i="4"/>
  <c r="AY10" i="4"/>
  <c r="AY11" i="4"/>
  <c r="AY12" i="4"/>
  <c r="AY13" i="4"/>
  <c r="AY14" i="4"/>
  <c r="BG24" i="4" l="1"/>
  <c r="BB15" i="4"/>
  <c r="BF24" i="4"/>
  <c r="AZ37" i="4" s="1"/>
  <c r="BG55" i="4"/>
  <c r="D32" i="3" s="1"/>
  <c r="BG49" i="4"/>
  <c r="D26" i="3" s="1"/>
  <c r="BG43" i="4"/>
  <c r="D20" i="3" s="1"/>
  <c r="BG38" i="4"/>
  <c r="D14" i="3" s="1"/>
  <c r="BG32" i="4"/>
  <c r="D8" i="3" s="1"/>
  <c r="D16" i="3"/>
  <c r="BG54" i="4"/>
  <c r="D31" i="3" s="1"/>
  <c r="BG48" i="4"/>
  <c r="D25" i="3" s="1"/>
  <c r="BG42" i="4"/>
  <c r="D19" i="3" s="1"/>
  <c r="BG37" i="4"/>
  <c r="D13" i="3" s="1"/>
  <c r="BG31" i="4"/>
  <c r="D7" i="3" s="1"/>
  <c r="BG59" i="4"/>
  <c r="D36" i="3" s="1"/>
  <c r="BG53" i="4"/>
  <c r="D30" i="3" s="1"/>
  <c r="BG47" i="4"/>
  <c r="D24" i="3" s="1"/>
  <c r="BG41" i="4"/>
  <c r="D18" i="3" s="1"/>
  <c r="BG36" i="4"/>
  <c r="D12" i="3" s="1"/>
  <c r="BG34" i="4"/>
  <c r="D10" i="3" s="1"/>
  <c r="BG58" i="4"/>
  <c r="D35" i="3" s="1"/>
  <c r="BG52" i="4"/>
  <c r="D29" i="3" s="1"/>
  <c r="BG46" i="4"/>
  <c r="D23" i="3" s="1"/>
  <c r="BG40" i="4"/>
  <c r="D17" i="3" s="1"/>
  <c r="BG35" i="4"/>
  <c r="D11" i="3" s="1"/>
  <c r="BG57" i="4"/>
  <c r="D34" i="3" s="1"/>
  <c r="BG51" i="4"/>
  <c r="D28" i="3" s="1"/>
  <c r="BG45" i="4"/>
  <c r="D22" i="3" s="1"/>
  <c r="BG56" i="4"/>
  <c r="D33" i="3" s="1"/>
  <c r="BG50" i="4"/>
  <c r="D27" i="3" s="1"/>
  <c r="BG44" i="4"/>
  <c r="D21" i="3" s="1"/>
  <c r="BG39" i="4"/>
  <c r="D15" i="3" s="1"/>
  <c r="BG33" i="4"/>
  <c r="D9" i="3" s="1"/>
  <c r="G10" i="2"/>
  <c r="BA24" i="4"/>
  <c r="AY15" i="4"/>
  <c r="AY24" i="4" s="1"/>
  <c r="K10" i="4"/>
  <c r="BB56" i="4"/>
  <c r="L33" i="3" s="1"/>
  <c r="BB57" i="4"/>
  <c r="L34" i="3" s="1"/>
  <c r="BB37" i="4"/>
  <c r="L13" i="3" s="1"/>
  <c r="BB44" i="4"/>
  <c r="L21" i="3" s="1"/>
  <c r="BB52" i="4"/>
  <c r="L29" i="3" s="1"/>
  <c r="BB32" i="4"/>
  <c r="L8" i="3" s="1"/>
  <c r="L16" i="3"/>
  <c r="BB43" i="4"/>
  <c r="L20" i="3" s="1"/>
  <c r="BB47" i="4"/>
  <c r="L24" i="3" s="1"/>
  <c r="BB51" i="4"/>
  <c r="L28" i="3" s="1"/>
  <c r="BB55" i="4"/>
  <c r="L32" i="3" s="1"/>
  <c r="BB59" i="4"/>
  <c r="L36" i="3" s="1"/>
  <c r="I10" i="4"/>
  <c r="BB33" i="4"/>
  <c r="L9" i="3" s="1"/>
  <c r="BB40" i="4"/>
  <c r="L17" i="3" s="1"/>
  <c r="BB48" i="4"/>
  <c r="L25" i="3" s="1"/>
  <c r="CE24" i="4"/>
  <c r="BB36" i="4"/>
  <c r="L12" i="3" s="1"/>
  <c r="BB31" i="4"/>
  <c r="L7" i="3" s="1"/>
  <c r="BB35" i="4"/>
  <c r="L11" i="3" s="1"/>
  <c r="BB39" i="4"/>
  <c r="L15" i="3" s="1"/>
  <c r="BB42" i="4"/>
  <c r="L19" i="3" s="1"/>
  <c r="BB46" i="4"/>
  <c r="L23" i="3" s="1"/>
  <c r="BB50" i="4"/>
  <c r="L27" i="3" s="1"/>
  <c r="BB54" i="4"/>
  <c r="L31" i="3" s="1"/>
  <c r="BB58" i="4"/>
  <c r="L35" i="3" s="1"/>
  <c r="BB34" i="4"/>
  <c r="L10" i="3" s="1"/>
  <c r="BB38" i="4"/>
  <c r="L14" i="3" s="1"/>
  <c r="BB41" i="4"/>
  <c r="L18" i="3" s="1"/>
  <c r="BB45" i="4"/>
  <c r="L22" i="3" s="1"/>
  <c r="BB49" i="4"/>
  <c r="L26" i="3" s="1"/>
  <c r="BB53" i="4"/>
  <c r="L30" i="3" s="1"/>
  <c r="E20" i="8"/>
  <c r="E10" i="2"/>
  <c r="AZ32" i="4" l="1"/>
  <c r="L6" i="3"/>
  <c r="AZ33" i="4"/>
  <c r="D6" i="3"/>
  <c r="AZ38" i="4"/>
  <c r="BB24" i="4"/>
</calcChain>
</file>

<file path=xl/connections.xml><?xml version="1.0" encoding="utf-8"?>
<connections xmlns="http://schemas.openxmlformats.org/spreadsheetml/2006/main">
  <connection id="1" name="Abandon" type="1" refreshedVersion="4" deleted="1" background="1" saveData="1">
    <dbPr connection="" command=""/>
    <parameters count="1">
      <parameter name="Paramètre 2" sqlType="11" parameterType="cell" refreshOnChange="1" cell="Abandon!$E$1"/>
    </parameters>
  </connection>
  <connection id="2" name="Agriculture" type="1" refreshedVersion="4" deleted="1" background="1" saveData="1">
    <dbPr connection="" command=""/>
    <parameters count="2">
      <parameter name="Paramètre1" sqlType="11" parameterType="cell" refreshOnChange="1" cell="Bois!$A$1"/>
      <parameter name="Paramètre1" sqlType="11" parameterType="cell" refreshOnChange="1" cell="Bois!$A$1"/>
    </parameters>
  </connection>
  <connection id="3" name="Bois" type="1" refreshedVersion="4" deleted="1" background="1" saveData="1">
    <dbPr connection="" command=""/>
    <parameters count="1">
      <parameter name="Paramètre 1" sqlType="11" parameterType="cell" refreshOnChange="1" cell="Bois!$A$1"/>
    </parameters>
  </connection>
  <connection id="4" name="I-Cluny" type="1" refreshedVersion="4" deleted="1" background="1" saveData="1">
    <dbPr connection="" command=""/>
    <parameters count="1">
      <parameter name="Paramètre 1" sqlType="11" parameterType="cell" refreshOnChange="1" cell="Bois!$A$1"/>
    </parameters>
  </connection>
  <connection id="5" name="I-Podiensis" type="1" refreshedVersion="4" deleted="1" background="1" saveData="1">
    <dbPr connection="" command=""/>
    <parameters count="1">
      <parameter name="Paramètre 1" sqlType="11" parameterType="cell" refreshOnChange="1" cell="Bois!$A$1"/>
    </parameters>
  </connection>
  <connection id="6" name="I-Saint-Guilhem" type="1" refreshedVersion="4" deleted="1" background="1" saveData="1">
    <dbPr connection="" command=""/>
    <parameters count="1">
      <parameter name="Paramètre 1" sqlType="11" parameterType="cell" refreshOnChange="1" cell="Bois!$A$1"/>
    </parameters>
  </connection>
  <connection id="7" name="I-Via Fluvia" type="1" refreshedVersion="4" deleted="1" background="1" saveData="1">
    <dbPr connection="" command=""/>
    <parameters count="1">
      <parameter name="Paramètre 1" sqlType="11" parameterType="cell" refreshOnChange="1" cell="Bois!$A$1"/>
    </parameters>
  </connection>
  <connection id="8" name="Pierre" type="1" refreshedVersion="4" deleted="1" background="1" saveData="1">
    <dbPr connection="" command=""/>
    <parameters count="1">
      <parameter name="Paramètre 1" sqlType="11" parameterType="cell" refreshOnChange="1" cell="Bois!$A$1"/>
    </parameters>
  </connection>
  <connection id="9" name="Reprog" type="1" refreshedVersion="4" deleted="1" background="1" saveData="1">
    <dbPr connection="" command=""/>
    <parameters count="2">
      <parameter name="Paramètre 2" sqlType="11" parameterType="cell" refreshOnChange="1" cell="'Reprog (en cours)'!$E$1"/>
      <parameter name="Paramètre 2" sqlType="11" parameterType="cell" refreshOnChange="1" cell="'Reprog (en cours)'!$E$1"/>
    </parameters>
  </connection>
</connections>
</file>

<file path=xl/sharedStrings.xml><?xml version="1.0" encoding="utf-8"?>
<sst xmlns="http://schemas.openxmlformats.org/spreadsheetml/2006/main" count="1423" uniqueCount="260">
  <si>
    <t>Programme</t>
  </si>
  <si>
    <t>Nom_MO</t>
  </si>
  <si>
    <t>Intitule_Operation</t>
  </si>
  <si>
    <t>Coût total déposé</t>
  </si>
  <si>
    <t>Taux Aide Massif</t>
  </si>
  <si>
    <t>Aide Massif Obtenu</t>
  </si>
  <si>
    <t>Taux Aide Publique</t>
  </si>
  <si>
    <t>ID_Synergie</t>
  </si>
  <si>
    <t>Total</t>
  </si>
  <si>
    <t>VetAgro Sup</t>
  </si>
  <si>
    <t>ID_dossier GIP</t>
  </si>
  <si>
    <t>Conseil départemental du Lot</t>
  </si>
  <si>
    <t xml:space="preserve">Remarques </t>
  </si>
  <si>
    <t>Aide Publique Obtenue</t>
  </si>
  <si>
    <t>Coût total Eligible FEDER</t>
  </si>
  <si>
    <t>Coût total</t>
  </si>
  <si>
    <t>'FNADT'</t>
  </si>
  <si>
    <t>'Agriculture'</t>
  </si>
  <si>
    <t>'AURA'</t>
  </si>
  <si>
    <t>'BFC'</t>
  </si>
  <si>
    <t>'ALPC'</t>
  </si>
  <si>
    <t>'LRMP'</t>
  </si>
  <si>
    <t>'03'</t>
  </si>
  <si>
    <t>'07'</t>
  </si>
  <si>
    <t>'11'</t>
  </si>
  <si>
    <t>'12'</t>
  </si>
  <si>
    <t>'15'</t>
  </si>
  <si>
    <t>'19'</t>
  </si>
  <si>
    <t>'21'</t>
  </si>
  <si>
    <t>'23'</t>
  </si>
  <si>
    <t>'30'</t>
  </si>
  <si>
    <t>'34'</t>
  </si>
  <si>
    <t>'42'</t>
  </si>
  <si>
    <t>'43'</t>
  </si>
  <si>
    <t>'46'</t>
  </si>
  <si>
    <t>'48'</t>
  </si>
  <si>
    <t>'58'</t>
  </si>
  <si>
    <t>'63'</t>
  </si>
  <si>
    <t>'69'</t>
  </si>
  <si>
    <t>'71'</t>
  </si>
  <si>
    <t>'81'</t>
  </si>
  <si>
    <t>'82'</t>
  </si>
  <si>
    <t>'87'</t>
  </si>
  <si>
    <t>'89'</t>
  </si>
  <si>
    <t>'FEDER'</t>
  </si>
  <si>
    <t>'Autre Public'</t>
  </si>
  <si>
    <t>Etat</t>
  </si>
  <si>
    <t>Régions</t>
  </si>
  <si>
    <t>Départements</t>
  </si>
  <si>
    <t>Avis Cofimac</t>
  </si>
  <si>
    <t>Aide Massif</t>
  </si>
  <si>
    <t>Bois</t>
  </si>
  <si>
    <t>'Coût total éligible'</t>
  </si>
  <si>
    <t>Tx Aide publique</t>
  </si>
  <si>
    <t>Aide 
publique</t>
  </si>
  <si>
    <t>Tx
Aide Massif</t>
  </si>
  <si>
    <t>Avis Prog</t>
  </si>
  <si>
    <t>FEDER</t>
  </si>
  <si>
    <t>ALPC</t>
  </si>
  <si>
    <t>AURA</t>
  </si>
  <si>
    <t>BFC</t>
  </si>
  <si>
    <t>LRMP</t>
  </si>
  <si>
    <t>NumSym</t>
  </si>
  <si>
    <t>Avis</t>
  </si>
  <si>
    <t>Commentaires</t>
  </si>
  <si>
    <t>Total Etat</t>
  </si>
  <si>
    <t>Total Régions</t>
  </si>
  <si>
    <t>Total Dpts</t>
  </si>
  <si>
    <t>Pierre</t>
  </si>
  <si>
    <t>'FNADT '</t>
  </si>
  <si>
    <t>Attractivité</t>
  </si>
  <si>
    <t>Agriculture</t>
  </si>
  <si>
    <t>Tourisme</t>
  </si>
  <si>
    <t>SIDAM</t>
  </si>
  <si>
    <t>IPAMAC</t>
  </si>
  <si>
    <t>Comité de programmation</t>
  </si>
  <si>
    <t>Reprogrammations</t>
  </si>
  <si>
    <t>MOH</t>
  </si>
  <si>
    <t>'Thématique '</t>
  </si>
  <si>
    <t>BL</t>
  </si>
  <si>
    <t>Prévisionnel</t>
  </si>
  <si>
    <t>Prev</t>
  </si>
  <si>
    <t>Final</t>
  </si>
  <si>
    <t>final</t>
  </si>
  <si>
    <t>prev</t>
  </si>
  <si>
    <t>Conservatoire Botanique National du Massif central</t>
  </si>
  <si>
    <t>Communauté de Communes du Bassin Decazeville Aubin</t>
  </si>
  <si>
    <t>LAINAMAC</t>
  </si>
  <si>
    <t>Chambre d'Agriculture du Puy-de-Dôme</t>
  </si>
  <si>
    <t>Fédération des Conservatoires d'espaces naturels</t>
  </si>
  <si>
    <t>Coordination et animation des projets en faveur des tourbières du Massif central</t>
  </si>
  <si>
    <t>AEOLE phase 2 – Les prairies du Massif central, un Atout Economique pour cOnstruire des systèmes d’éLEvage performants</t>
  </si>
  <si>
    <t>Pôle fromager AOP Massif central</t>
  </si>
  <si>
    <t>UNOTEC</t>
  </si>
  <si>
    <t>INRA Theix</t>
  </si>
  <si>
    <t>Chambre d'agriculture de l'Ardèche</t>
  </si>
  <si>
    <t>Chambre d'Agriculture du Cantal</t>
  </si>
  <si>
    <t>Chambre d'Agriculture de Haute-Loire</t>
  </si>
  <si>
    <t>Chambre d'agriculture de l'Aveyron</t>
  </si>
  <si>
    <t>Chambre régionale d'agriculture de Languedoc-Roussillon-Midi-Pyrénées</t>
  </si>
  <si>
    <t>COPAGE</t>
  </si>
  <si>
    <t>Association des Amis du CHEMIN de SAINT GUILHEM</t>
  </si>
  <si>
    <t>Projet pour la promotion, le développement et la structuration de l’itinéraire du chemin de St Guilhem</t>
  </si>
  <si>
    <t>Communauté d'agglomération du Puy en Velay</t>
  </si>
  <si>
    <t>Valorisation tourisme durable chemin de Saint-Jacques - Via Podiensis - GR65</t>
  </si>
  <si>
    <t>Communauté de communes Aubrac Laguiole</t>
  </si>
  <si>
    <t>Stratégie de valorisation patrimoniale, culturelle et touristique durable de l’itinéraire Via Podiensis, du Puy-en-Velay à Cahors - Amélioration du confort et de l’accueil : étude d’implantation et construction d’abris à pèlerins à Aubrac et Saint-Chély d</t>
  </si>
  <si>
    <t>Communauté de communes du Grand Figeac</t>
  </si>
  <si>
    <t>Développement de la Via Podiensis</t>
  </si>
  <si>
    <t>Communauté de Communes de l’Aubrac Lozérien</t>
  </si>
  <si>
    <t>Réalisation d’opérations de sécurisation, d’équipements  de confort et de signalétique sur le Chemin de Saint Jacques de Compostelle</t>
  </si>
  <si>
    <t>Communauté de communes Conques-Marcillac</t>
  </si>
  <si>
    <t>Sécurisation, amélioration du confort et mise en valeur patrimoniale du chemin de Saint Jacques, via Podiensis, GR65 sur la portion Conques-Marcillac</t>
  </si>
  <si>
    <t>Conseil départemental de l'Aveyron</t>
  </si>
  <si>
    <t>Sécurisation des randonneurs par la création d’un cheminement piétonnier le long des RD 987 (Cne St Chély d’Aubrac) et  RD 606 (Cne Conques en Rouergue).</t>
  </si>
  <si>
    <t>Communauté d’Agglomération du Grand Cahors</t>
  </si>
  <si>
    <t>Via Podiensis</t>
  </si>
  <si>
    <t>Communauté de Communes du Pays de Saugues</t>
  </si>
  <si>
    <t>Amélioration des services aux pélerins : signalétique et toilettes</t>
  </si>
  <si>
    <t>Communauté de Communes Espalion-Estaing</t>
  </si>
  <si>
    <t xml:space="preserve">Aménagement et valorisation touristique du linéaire de sentier Patrimoine Mondial de l’UNESCO sur la Via Podiensis de St Côme d’Olt à Estaing </t>
  </si>
  <si>
    <t>Communauté de communes du Pays de Lalbenque Limogne</t>
  </si>
  <si>
    <t>Valorisation touristique de la Via Podiensis</t>
  </si>
  <si>
    <t>Communauté de communes de la Terre de Peyre</t>
  </si>
  <si>
    <t>Amélioration de la sécurité et du confort des pélerins sur le territoire de la Terre de Peyre</t>
  </si>
  <si>
    <t>Mise en sécurité et restructuratin du parcours Via Podensis à Carjac</t>
  </si>
  <si>
    <t>COMMUNAUTE DE COMMUNES DU QUERCY BLANC</t>
  </si>
  <si>
    <t>Sécurisation, amélioration du confort et mise en valeur patrimoniale de l’itinéraire Saint Jacques sur la portion Decazeville-Livinhac-le-Haut</t>
  </si>
  <si>
    <t>Communauté de Communes de la Vallée du Lot</t>
  </si>
  <si>
    <t>Assistance technique-Ingénierie Territoriale-Prospective</t>
  </si>
  <si>
    <t>Biodiversité-Milieux ouverts Herbacés-Energie</t>
  </si>
  <si>
    <t>Date début operation</t>
  </si>
  <si>
    <t>POI</t>
  </si>
  <si>
    <t>(hors Itinérance)</t>
  </si>
  <si>
    <t>Via Fluvia</t>
  </si>
  <si>
    <t>Saint-Guilhem</t>
  </si>
  <si>
    <t>Cluny/Lyon-Le-Puy-en-Velay</t>
  </si>
  <si>
    <t>Enveloppe FEDER AAP Itinérance</t>
  </si>
  <si>
    <t>FEDER prévisionnel</t>
  </si>
  <si>
    <t>FEDER programmé</t>
  </si>
  <si>
    <t>Reste</t>
  </si>
  <si>
    <t>Retrait/abandon</t>
  </si>
  <si>
    <t>MC0003811</t>
  </si>
  <si>
    <t>via fluvia</t>
  </si>
  <si>
    <t>cluny</t>
  </si>
  <si>
    <t>podiensis</t>
  </si>
  <si>
    <t>stguilhem</t>
  </si>
  <si>
    <t>Parc naturel régional du Morvan</t>
  </si>
  <si>
    <t>Institut d’Auvergne du Développement des Territoires (GIP IADT)</t>
  </si>
  <si>
    <t>1-Favorable</t>
  </si>
  <si>
    <t>2-Favorable sous réserve</t>
  </si>
  <si>
    <t>D172a</t>
  </si>
  <si>
    <t>D172b</t>
  </si>
  <si>
    <t>D172c</t>
  </si>
  <si>
    <t>D172d</t>
  </si>
  <si>
    <t>D172e</t>
  </si>
  <si>
    <t>D172f</t>
  </si>
  <si>
    <t>D172g</t>
  </si>
  <si>
    <t>D172j</t>
  </si>
  <si>
    <t>D172l</t>
  </si>
  <si>
    <t>D172m</t>
  </si>
  <si>
    <t>5-Défavorable</t>
  </si>
  <si>
    <t>MC0006813</t>
  </si>
  <si>
    <t>4-Ajournement</t>
  </si>
  <si>
    <t>MC0008248</t>
  </si>
  <si>
    <t>MC0008249</t>
  </si>
  <si>
    <t>MC0008250</t>
  </si>
  <si>
    <t>MC0008251</t>
  </si>
  <si>
    <t>MC0008253</t>
  </si>
  <si>
    <t>MC0008254</t>
  </si>
  <si>
    <t>MC0008255</t>
  </si>
  <si>
    <t>MC0008256</t>
  </si>
  <si>
    <t>MC0008258</t>
  </si>
  <si>
    <t>MC0008259</t>
  </si>
  <si>
    <t>MC0008261</t>
  </si>
  <si>
    <t>MC0008262</t>
  </si>
  <si>
    <t>MC0008263</t>
  </si>
  <si>
    <t>MC0008264</t>
  </si>
  <si>
    <t>D182</t>
  </si>
  <si>
    <t>Avis défavorable pour l'attribution de FEDER. La structure n'a pas la capacité administrative et financière pour gérer des crédits européens.</t>
  </si>
  <si>
    <t>Avis favorable sous réserve pour la programmation sans crédit FEDER.</t>
  </si>
  <si>
    <t>MC0008386</t>
  </si>
  <si>
    <t>Recherche d'un modèle économique pour la valorisation des produits issus des systèmes herbagers du Massif central</t>
  </si>
  <si>
    <t>Biodiversité</t>
  </si>
  <si>
    <t>Services Environnementaux</t>
  </si>
  <si>
    <t>D172h</t>
  </si>
  <si>
    <t>D172i</t>
  </si>
  <si>
    <t>D172k</t>
  </si>
  <si>
    <t>Chambre d'agricutlure de la Lozère</t>
  </si>
  <si>
    <t>MC0008204</t>
  </si>
  <si>
    <t>Opération collaborative Morvan, Terre de pleine nature</t>
  </si>
  <si>
    <t>Ateliers Nomades</t>
  </si>
  <si>
    <t>Acquisition de matériel sportif et handisport pour bénéficier d'un POOL de matériel mutualisé</t>
  </si>
  <si>
    <t>Association pour le ski en Morvan-SKIMO</t>
  </si>
  <si>
    <t>Activités neige Morvan</t>
  </si>
  <si>
    <t>Communauté de communes du Grand Autunois Morvan</t>
  </si>
  <si>
    <t>Du vélo sous toutes ses formes dans l’Autunois Morvan</t>
  </si>
  <si>
    <t>Communauté de communes du Haut Morvan</t>
  </si>
  <si>
    <t>Aménagement intérieur et achat de matériel pour le chalet de Préperny et de ses abords</t>
  </si>
  <si>
    <t>Commune de Moulins-Engilbert</t>
  </si>
  <si>
    <t>Création d'un parcours santé</t>
  </si>
  <si>
    <t>SARL Loisirs en Morvan</t>
  </si>
  <si>
    <t>Développement de la base de loisirs</t>
  </si>
  <si>
    <t>D208</t>
  </si>
  <si>
    <t>Lieux d’interconnexion et d’émergence de nouvelles dynamiques territoriales – IG tapis-tapisserie d’Aubusson</t>
  </si>
  <si>
    <t>D178a</t>
  </si>
  <si>
    <t>IRSTEA Clermont</t>
  </si>
  <si>
    <t>Le paiement des services environnementaux pour la valorisation des territoires du Massif Central</t>
  </si>
  <si>
    <t>D178b</t>
  </si>
  <si>
    <t>Engees</t>
  </si>
  <si>
    <t>D189a</t>
  </si>
  <si>
    <t>Installer en Massif central</t>
  </si>
  <si>
    <t>TEMOIN : accueillir et Transmettre en Milieu rural : Ouvrir vers des Initiatives Novatrices</t>
  </si>
  <si>
    <t>D189b</t>
  </si>
  <si>
    <t>D195</t>
  </si>
  <si>
    <t>EPIDOR</t>
  </si>
  <si>
    <t>Etude prospective Dordogne 2050</t>
  </si>
  <si>
    <t>Syndicat Mixte des Activités de Pleine Nature des Crêtes du Forez</t>
  </si>
  <si>
    <t>Signalisation touristique</t>
  </si>
  <si>
    <t>Communauté de communes Livradois-Portes d'Auvergne</t>
  </si>
  <si>
    <t>Aménagement de la porte des Pradeaux</t>
  </si>
  <si>
    <t>D202</t>
  </si>
  <si>
    <t>Développement d'un système d'information pour le suivi et le contrôle des populations de campagnols terrestres</t>
  </si>
  <si>
    <t>D203a</t>
  </si>
  <si>
    <t>Eurek'Art</t>
  </si>
  <si>
    <t>Notre Empreinte</t>
  </si>
  <si>
    <t>D203b</t>
  </si>
  <si>
    <t>Metalovoice</t>
  </si>
  <si>
    <t>D170</t>
  </si>
  <si>
    <t>Grande Traversée du Massif Central à VTT : nouvelles ambitions pour une itinérance emblématique</t>
  </si>
  <si>
    <t>En attente lettre d'intention Agence de l'Eau RMC</t>
  </si>
  <si>
    <t>Programmé initialement le 20/10/2016. Représenté pour information au comité de programmation</t>
  </si>
  <si>
    <t>MC0003941</t>
  </si>
  <si>
    <t>PFBMAC</t>
  </si>
  <si>
    <t xml:space="preserve">Prescription bois et animation de la filière forêt bois  sur le Massif Central </t>
  </si>
  <si>
    <t>D151</t>
  </si>
  <si>
    <t>D005h</t>
  </si>
  <si>
    <t>MC0005565</t>
  </si>
  <si>
    <t>Comité d’Expansion Economique de l’Allier</t>
  </si>
  <si>
    <t>Groupe projet pilote des entreprises du bois construction pour les marchés du bâtiment performant : action de coopération interrégionale</t>
  </si>
  <si>
    <t>D048c</t>
  </si>
  <si>
    <t>MC0006186</t>
  </si>
  <si>
    <t>Association Cévennes écotourisme</t>
  </si>
  <si>
    <t>Cluster écotouristique</t>
  </si>
  <si>
    <t>D087</t>
  </si>
  <si>
    <t>MC0004580</t>
  </si>
  <si>
    <t>Mutualisation de la cartographie des forêts anciennes sur les Parcs naturels du Massif central, une étape indispensable à leur préservation</t>
  </si>
  <si>
    <t>MC0008565</t>
  </si>
  <si>
    <t xml:space="preserve">Communauté de communes du Bassin Decazeville Aubin </t>
  </si>
  <si>
    <t xml:space="preserve">Qualification de la ressource locale en vue de sa valorisation et de son usage au regard des futures exigences économiques et énergétiques </t>
  </si>
  <si>
    <t>CRITT Bois Midi-Pyrénées</t>
  </si>
  <si>
    <t>PFT Bois Midi-Pyrénées</t>
  </si>
  <si>
    <t>Aide Massif Obtenue</t>
  </si>
  <si>
    <t>Aide FEDER et CR BFC au titre du règlement de minimis</t>
  </si>
  <si>
    <t>Aide FEDER au titre du règlement de minimis</t>
  </si>
  <si>
    <t>Avis favorable sous réserve que les MO valident les plans de financements proposés</t>
  </si>
  <si>
    <t>Coût total Projet</t>
  </si>
  <si>
    <t>Sous réserve de l'acceptation par le MO des règles de cadrage (note cadrage)</t>
  </si>
  <si>
    <t>6-Retiré/Abandon</t>
  </si>
  <si>
    <t>en attente courrier du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</si>
</sst>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-40C]d\ mmmm\ yyyy;@"/>
    <numFmt numFmtId="165" formatCode="[$-40C]d\-mmm\-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002060"/>
      <name val="Calibri"/>
      <family val="2"/>
      <scheme val="minor"/>
    </font>
    <font>
      <i/>
      <sz val="16"/>
      <color rgb="FF002060"/>
      <name val="Calibri"/>
      <family val="2"/>
      <scheme val="minor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double">
        <color theme="8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double">
        <color theme="8"/>
      </top>
      <bottom style="thin">
        <color theme="8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double">
        <color theme="8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/>
      <top style="double">
        <color theme="8" tint="0.39994506668294322"/>
      </top>
      <bottom/>
      <diagonal/>
    </border>
    <border>
      <left/>
      <right/>
      <top style="double">
        <color theme="8" tint="0.39994506668294322"/>
      </top>
      <bottom/>
      <diagonal/>
    </border>
    <border>
      <left/>
      <right style="thin">
        <color theme="8" tint="0.39997558519241921"/>
      </right>
      <top style="double">
        <color theme="8" tint="0.39994506668294322"/>
      </top>
      <bottom/>
      <diagonal/>
    </border>
    <border>
      <left/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vertical="center"/>
    </xf>
    <xf numFmtId="1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left" wrapText="1"/>
      <protection locked="0"/>
    </xf>
    <xf numFmtId="164" fontId="5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4" fontId="0" fillId="0" borderId="0" xfId="0" applyNumberForma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0" fillId="0" borderId="0" xfId="0" applyNumberFormat="1" applyAlignment="1" applyProtection="1">
      <alignment vertical="center" wrapText="1"/>
      <protection locked="0"/>
    </xf>
    <xf numFmtId="10" fontId="0" fillId="0" borderId="0" xfId="0" applyNumberFormat="1" applyAlignment="1" applyProtection="1">
      <alignment vertical="center" wrapText="1"/>
      <protection locked="0"/>
    </xf>
    <xf numFmtId="4" fontId="0" fillId="0" borderId="0" xfId="0" applyNumberForma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Font="1" applyProtection="1">
      <protection locked="0"/>
    </xf>
    <xf numFmtId="0" fontId="0" fillId="2" borderId="2" xfId="0" applyFont="1" applyFill="1" applyBorder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 applyFont="1"/>
    <xf numFmtId="4" fontId="0" fillId="0" borderId="0" xfId="0" applyNumberFormat="1" applyFont="1" applyAlignment="1">
      <alignment horizontal="center" vertical="center"/>
    </xf>
    <xf numFmtId="14" fontId="8" fillId="0" borderId="0" xfId="0" applyNumberFormat="1" applyFont="1"/>
    <xf numFmtId="14" fontId="9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" fillId="0" borderId="4" xfId="0" applyFont="1" applyBorder="1" applyAlignment="1">
      <alignment wrapText="1"/>
    </xf>
    <xf numFmtId="4" fontId="1" fillId="0" borderId="0" xfId="0" applyNumberFormat="1" applyFont="1"/>
    <xf numFmtId="4" fontId="1" fillId="0" borderId="0" xfId="0" applyNumberFormat="1" applyFont="1" applyAlignme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4" fontId="0" fillId="2" borderId="2" xfId="0" applyNumberFormat="1" applyFont="1" applyFill="1" applyBorder="1" applyAlignment="1">
      <alignment vertical="center"/>
    </xf>
    <xf numFmtId="4" fontId="0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164" fontId="10" fillId="0" borderId="0" xfId="0" applyNumberFormat="1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4" xfId="0" applyFont="1" applyBorder="1"/>
    <xf numFmtId="0" fontId="8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4" fontId="1" fillId="0" borderId="3" xfId="0" applyNumberFormat="1" applyFont="1" applyBorder="1"/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 wrapText="1"/>
    </xf>
    <xf numFmtId="4" fontId="0" fillId="2" borderId="9" xfId="0" applyNumberFormat="1" applyFont="1" applyFill="1" applyBorder="1" applyAlignment="1">
      <alignment vertical="center"/>
    </xf>
    <xf numFmtId="10" fontId="0" fillId="2" borderId="9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14" fontId="0" fillId="2" borderId="9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vertical="center" wrapText="1"/>
    </xf>
    <xf numFmtId="4" fontId="0" fillId="0" borderId="9" xfId="0" applyNumberFormat="1" applyFont="1" applyBorder="1" applyAlignment="1">
      <alignment vertical="center"/>
    </xf>
    <xf numFmtId="10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9" xfId="0" applyFont="1" applyFill="1" applyBorder="1" applyAlignment="1">
      <alignment vertical="center" wrapText="1"/>
    </xf>
    <xf numFmtId="4" fontId="0" fillId="0" borderId="9" xfId="0" applyNumberFormat="1" applyFont="1" applyFill="1" applyBorder="1" applyAlignment="1">
      <alignment vertical="center"/>
    </xf>
    <xf numFmtId="10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14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4" fontId="12" fillId="0" borderId="3" xfId="0" applyNumberFormat="1" applyFont="1" applyBorder="1"/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 wrapText="1"/>
    </xf>
    <xf numFmtId="4" fontId="11" fillId="2" borderId="9" xfId="0" applyNumberFormat="1" applyFont="1" applyFill="1" applyBorder="1" applyAlignment="1">
      <alignment vertical="center"/>
    </xf>
    <xf numFmtId="10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14" fontId="11" fillId="2" borderId="9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4" fontId="11" fillId="0" borderId="9" xfId="0" applyNumberFormat="1" applyFont="1" applyBorder="1" applyAlignment="1">
      <alignment vertical="center"/>
    </xf>
    <xf numFmtId="10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14" fontId="11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12" fillId="0" borderId="0" xfId="0" applyNumberFormat="1" applyFont="1" applyBorder="1" applyAlignment="1">
      <alignment horizontal="center" vertical="center"/>
    </xf>
    <xf numFmtId="0" fontId="12" fillId="0" borderId="12" xfId="0" applyFont="1" applyBorder="1"/>
    <xf numFmtId="0" fontId="12" fillId="0" borderId="13" xfId="0" applyFont="1" applyBorder="1"/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 wrapText="1"/>
    </xf>
    <xf numFmtId="4" fontId="11" fillId="0" borderId="9" xfId="0" applyNumberFormat="1" applyFont="1" applyFill="1" applyBorder="1" applyAlignment="1">
      <alignment vertical="center"/>
    </xf>
    <xf numFmtId="10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4" fontId="11" fillId="0" borderId="15" xfId="0" applyNumberFormat="1" applyFont="1" applyBorder="1" applyAlignment="1">
      <alignment vertical="center"/>
    </xf>
    <xf numFmtId="10" fontId="11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14" fontId="11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0" xfId="0" applyFont="1" applyBorder="1" applyAlignment="1">
      <alignment vertical="center" wrapText="1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Font="1" applyFill="1" applyAlignment="1">
      <alignment vertical="center"/>
    </xf>
    <xf numFmtId="0" fontId="0" fillId="6" borderId="0" xfId="0" applyFill="1"/>
    <xf numFmtId="165" fontId="1" fillId="6" borderId="0" xfId="0" applyNumberFormat="1" applyFont="1" applyFill="1"/>
    <xf numFmtId="0" fontId="13" fillId="6" borderId="0" xfId="0" applyFont="1" applyFill="1"/>
    <xf numFmtId="0" fontId="14" fillId="6" borderId="0" xfId="0" applyFont="1" applyFill="1"/>
    <xf numFmtId="44" fontId="13" fillId="6" borderId="0" xfId="0" applyNumberFormat="1" applyFont="1" applyFill="1"/>
    <xf numFmtId="44" fontId="14" fillId="6" borderId="0" xfId="0" applyNumberFormat="1" applyFont="1" applyFill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4" fontId="15" fillId="0" borderId="0" xfId="0" applyNumberFormat="1" applyFont="1"/>
    <xf numFmtId="4" fontId="15" fillId="0" borderId="0" xfId="0" applyNumberFormat="1" applyFont="1" applyAlignment="1">
      <alignment horizontal="center" vertical="center"/>
    </xf>
    <xf numFmtId="0" fontId="15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116">
    <dxf>
      <alignment horizontal="general" vertical="center" textRotation="0" wrapText="0" indent="0" justifyLastLine="0" shrinkToFit="0" readingOrder="0"/>
      <protection locked="0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14" formatCode="0.00%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14" formatCode="0.00%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vertical="center" textRotation="0" wrapText="1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alignment horizontal="general" vertical="center" textRotation="0" wrapText="0" indent="0" justifyLastLine="0" shrinkToFit="0" readingOrder="0"/>
      <protection locked="0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14" formatCode="0.00%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14" formatCode="0.00%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vertical="center" textRotation="0" wrapText="1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aseline="0"/>
            </a:pPr>
            <a:r>
              <a:rPr lang="fr-FR" sz="1700" baseline="0"/>
              <a:t>Programmation - 22 novembre 2016 - Prévisionnel</a:t>
            </a:r>
          </a:p>
        </c:rich>
      </c:tx>
      <c:layout>
        <c:manualLayout>
          <c:xMode val="edge"/>
          <c:yMode val="edge"/>
          <c:x val="1.5003024803387785E-2"/>
          <c:y val="2.30215792561673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95029319157247"/>
          <c:y val="0.21612700902554671"/>
          <c:w val="0.4886723733036093"/>
          <c:h val="0.77484442306774326"/>
        </c:manualLayout>
      </c:layout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6343175853018372E-2"/>
                  <c:y val="-4.48877223680373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0377933702025904E-3"/>
                  <c:y val="3.650521550554723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583396449309535"/>
                  <c:y val="4.0773573402281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222878390201232E-2"/>
                  <c:y val="-7.08843686205890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('Recap Financier'!$C$7,'Recap Financier'!$C$8,'Recap Financier'!$C$9,'Recap Financier'!$C$14)</c:f>
              <c:strCache>
                <c:ptCount val="4"/>
                <c:pt idx="0">
                  <c:v>FEDER</c:v>
                </c:pt>
                <c:pt idx="1">
                  <c:v>Etat</c:v>
                </c:pt>
                <c:pt idx="2">
                  <c:v>Régions</c:v>
                </c:pt>
                <c:pt idx="3">
                  <c:v>Départements</c:v>
                </c:pt>
              </c:strCache>
            </c:strRef>
          </c:cat>
          <c:val>
            <c:numRef>
              <c:f>('Recap Financier'!$D$7,'Recap Financier'!$D$8,'Recap Financier'!$D$9,'Recap Financier'!$D$14)</c:f>
              <c:numCache>
                <c:formatCode>#,##0.00</c:formatCode>
                <c:ptCount val="4"/>
                <c:pt idx="0">
                  <c:v>588174.38</c:v>
                </c:pt>
                <c:pt idx="1">
                  <c:v>708600.94000000018</c:v>
                </c:pt>
                <c:pt idx="2">
                  <c:v>308817</c:v>
                </c:pt>
                <c:pt idx="3">
                  <c:v>112584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Programmation - 22 novembre 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495029319157247"/>
          <c:y val="0.21612700902554671"/>
          <c:w val="0.4886723733036093"/>
          <c:h val="0.77484442306774326"/>
        </c:manualLayout>
      </c:layout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6343175853018372E-2"/>
                  <c:y val="-4.48877223680373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8656701487631653E-2"/>
                  <c:y val="3.650521550554723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583396449309535"/>
                  <c:y val="4.0773573402281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222878390201232E-2"/>
                  <c:y val="-7.08843686205890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('Recap Financier'!$K$7,'Recap Financier'!$K$8,'Recap Financier'!$K$9,'Recap Financier'!$K$14)</c:f>
              <c:strCache>
                <c:ptCount val="4"/>
                <c:pt idx="0">
                  <c:v>FEDER</c:v>
                </c:pt>
                <c:pt idx="1">
                  <c:v>Etat</c:v>
                </c:pt>
                <c:pt idx="2">
                  <c:v>Régions</c:v>
                </c:pt>
                <c:pt idx="3">
                  <c:v>Départements</c:v>
                </c:pt>
              </c:strCache>
            </c:strRef>
          </c:cat>
          <c:val>
            <c:numRef>
              <c:f>('Recap Financier'!$L$7,'Recap Financier'!$L$8,'Recap Financier'!$L$9,'Recap Financier'!$L$14)</c:f>
              <c:numCache>
                <c:formatCode>_("€"* #,##0.00_);_("€"* \(#,##0.00\);_("€"* "-"??_);_(@_)</c:formatCode>
                <c:ptCount val="4"/>
                <c:pt idx="0">
                  <c:v>683408.07047999999</c:v>
                </c:pt>
                <c:pt idx="1">
                  <c:v>636088.45000000007</c:v>
                </c:pt>
                <c:pt idx="2">
                  <c:v>379200.9</c:v>
                </c:pt>
                <c:pt idx="3">
                  <c:v>112584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2044700</xdr:colOff>
      <xdr:row>0</xdr:row>
      <xdr:rowOff>177800</xdr:rowOff>
    </xdr:from>
    <xdr:to>
      <xdr:col>8</xdr:col>
      <xdr:colOff>825500</xdr:colOff>
      <xdr:row>4</xdr:row>
      <xdr:rowOff>184150</xdr:rowOff>
    </xdr:to>
    <xdr:grpSp>
      <xdr:nvGrpSpPr>
        <xdr:cNvPr id="2" name="Groupe 1"/>
        <xdr:cNvGrpSpPr/>
      </xdr:nvGrpSpPr>
      <xdr:grpSpPr>
        <a:xfrm>
          <a:off x="3265714" y="177800"/>
          <a:ext cx="5710465" cy="638629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179915</xdr:rowOff>
    </xdr:from>
    <xdr:to>
      <xdr:col>43</xdr:col>
      <xdr:colOff>738719</xdr:colOff>
      <xdr:row>3</xdr:row>
      <xdr:rowOff>184148</xdr:rowOff>
    </xdr:to>
    <xdr:grpSp>
      <xdr:nvGrpSpPr>
        <xdr:cNvPr id="2" name="Groupe 1"/>
        <xdr:cNvGrpSpPr/>
      </xdr:nvGrpSpPr>
      <xdr:grpSpPr>
        <a:xfrm>
          <a:off x="8858250" y="179915"/>
          <a:ext cx="5024969" cy="623358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76200</xdr:rowOff>
    </xdr:from>
    <xdr:to>
      <xdr:col>8</xdr:col>
      <xdr:colOff>457200</xdr:colOff>
      <xdr:row>3</xdr:row>
      <xdr:rowOff>133350</xdr:rowOff>
    </xdr:to>
    <xdr:grpSp>
      <xdr:nvGrpSpPr>
        <xdr:cNvPr id="2" name="Groupe 1"/>
        <xdr:cNvGrpSpPr/>
      </xdr:nvGrpSpPr>
      <xdr:grpSpPr>
        <a:xfrm>
          <a:off x="209550" y="76200"/>
          <a:ext cx="6543675" cy="628650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190499</xdr:colOff>
      <xdr:row>38</xdr:row>
      <xdr:rowOff>33337</xdr:rowOff>
    </xdr:from>
    <xdr:to>
      <xdr:col>6</xdr:col>
      <xdr:colOff>666749</xdr:colOff>
      <xdr:row>56</xdr:row>
      <xdr:rowOff>161925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19051</xdr:colOff>
      <xdr:row>38</xdr:row>
      <xdr:rowOff>28575</xdr:rowOff>
    </xdr:from>
    <xdr:to>
      <xdr:col>14</xdr:col>
      <xdr:colOff>285751</xdr:colOff>
      <xdr:row>56</xdr:row>
      <xdr:rowOff>161925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2044700</xdr:colOff>
      <xdr:row>0</xdr:row>
      <xdr:rowOff>177800</xdr:rowOff>
    </xdr:from>
    <xdr:to>
      <xdr:col>8</xdr:col>
      <xdr:colOff>825500</xdr:colOff>
      <xdr:row>3</xdr:row>
      <xdr:rowOff>184150</xdr:rowOff>
    </xdr:to>
    <xdr:grpSp>
      <xdr:nvGrpSpPr>
        <xdr:cNvPr id="2" name="Groupe 1"/>
        <xdr:cNvGrpSpPr/>
      </xdr:nvGrpSpPr>
      <xdr:grpSpPr>
        <a:xfrm>
          <a:off x="5299075" y="177800"/>
          <a:ext cx="6511925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2044700</xdr:colOff>
      <xdr:row>0</xdr:row>
      <xdr:rowOff>114300</xdr:rowOff>
    </xdr:from>
    <xdr:to>
      <xdr:col>8</xdr:col>
      <xdr:colOff>825500</xdr:colOff>
      <xdr:row>3</xdr:row>
      <xdr:rowOff>120650</xdr:rowOff>
    </xdr:to>
    <xdr:grpSp>
      <xdr:nvGrpSpPr>
        <xdr:cNvPr id="2" name="Groupe 1"/>
        <xdr:cNvGrpSpPr/>
      </xdr:nvGrpSpPr>
      <xdr:grpSpPr>
        <a:xfrm>
          <a:off x="5299075" y="114300"/>
          <a:ext cx="7416800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2032000</xdr:colOff>
      <xdr:row>0</xdr:row>
      <xdr:rowOff>190500</xdr:rowOff>
    </xdr:from>
    <xdr:to>
      <xdr:col>8</xdr:col>
      <xdr:colOff>819150</xdr:colOff>
      <xdr:row>4</xdr:row>
      <xdr:rowOff>6350</xdr:rowOff>
    </xdr:to>
    <xdr:grpSp>
      <xdr:nvGrpSpPr>
        <xdr:cNvPr id="2" name="Groupe 1"/>
        <xdr:cNvGrpSpPr/>
      </xdr:nvGrpSpPr>
      <xdr:grpSpPr>
        <a:xfrm>
          <a:off x="5294313" y="190500"/>
          <a:ext cx="7276306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2044700</xdr:colOff>
      <xdr:row>0</xdr:row>
      <xdr:rowOff>152400</xdr:rowOff>
    </xdr:from>
    <xdr:to>
      <xdr:col>8</xdr:col>
      <xdr:colOff>825500</xdr:colOff>
      <xdr:row>3</xdr:row>
      <xdr:rowOff>158750</xdr:rowOff>
    </xdr:to>
    <xdr:grpSp>
      <xdr:nvGrpSpPr>
        <xdr:cNvPr id="2" name="Groupe 1"/>
        <xdr:cNvGrpSpPr/>
      </xdr:nvGrpSpPr>
      <xdr:grpSpPr>
        <a:xfrm>
          <a:off x="5299075" y="152400"/>
          <a:ext cx="6638925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2889250</xdr:colOff>
      <xdr:row>0</xdr:row>
      <xdr:rowOff>174625</xdr:rowOff>
    </xdr:from>
    <xdr:to>
      <xdr:col>6</xdr:col>
      <xdr:colOff>257175</xdr:colOff>
      <xdr:row>3</xdr:row>
      <xdr:rowOff>180975</xdr:rowOff>
    </xdr:to>
    <xdr:grpSp>
      <xdr:nvGrpSpPr>
        <xdr:cNvPr id="6" name="Groupe 5"/>
        <xdr:cNvGrpSpPr/>
      </xdr:nvGrpSpPr>
      <xdr:grpSpPr>
        <a:xfrm>
          <a:off x="4670425" y="174625"/>
          <a:ext cx="6524625" cy="625475"/>
          <a:chOff x="0" y="0"/>
          <a:chExt cx="6496050" cy="628650"/>
        </a:xfrm>
      </xdr:grpSpPr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 7" descr="Mariann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Image 8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2044700</xdr:colOff>
      <xdr:row>0</xdr:row>
      <xdr:rowOff>190500</xdr:rowOff>
    </xdr:from>
    <xdr:to>
      <xdr:col>8</xdr:col>
      <xdr:colOff>825500</xdr:colOff>
      <xdr:row>4</xdr:row>
      <xdr:rowOff>6350</xdr:rowOff>
    </xdr:to>
    <xdr:grpSp>
      <xdr:nvGrpSpPr>
        <xdr:cNvPr id="2" name="Groupe 1"/>
        <xdr:cNvGrpSpPr/>
      </xdr:nvGrpSpPr>
      <xdr:grpSpPr>
        <a:xfrm>
          <a:off x="5299075" y="190500"/>
          <a:ext cx="6480175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2044700</xdr:colOff>
      <xdr:row>0</xdr:row>
      <xdr:rowOff>190500</xdr:rowOff>
    </xdr:from>
    <xdr:to>
      <xdr:col>8</xdr:col>
      <xdr:colOff>825500</xdr:colOff>
      <xdr:row>4</xdr:row>
      <xdr:rowOff>6350</xdr:rowOff>
    </xdr:to>
    <xdr:grpSp>
      <xdr:nvGrpSpPr>
        <xdr:cNvPr id="2" name="Groupe 1"/>
        <xdr:cNvGrpSpPr/>
      </xdr:nvGrpSpPr>
      <xdr:grpSpPr>
        <a:xfrm>
          <a:off x="5299075" y="190500"/>
          <a:ext cx="6734175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179915</xdr:rowOff>
    </xdr:from>
    <xdr:to>
      <xdr:col>43</xdr:col>
      <xdr:colOff>738719</xdr:colOff>
      <xdr:row>3</xdr:row>
      <xdr:rowOff>184148</xdr:rowOff>
    </xdr:to>
    <xdr:grpSp>
      <xdr:nvGrpSpPr>
        <xdr:cNvPr id="2" name="Groupe 1"/>
        <xdr:cNvGrpSpPr/>
      </xdr:nvGrpSpPr>
      <xdr:grpSpPr>
        <a:xfrm>
          <a:off x="8831036" y="179915"/>
          <a:ext cx="8317897" cy="630162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queryTables/queryTable1.xml><?xml version="1.0" encoding="utf-8"?>
<queryTable xmlns="http://schemas.openxmlformats.org/spreadsheetml/2006/main" name="Lancer la requête à partir de Excel Files_8" adjustColumnWidth="0" connectionId="7" autoFormatId="16" applyNumberFormats="0" applyBorderFormats="0" applyFontFormats="0" applyPatternFormats="0" applyAlignmentFormats="0" applyWidthHeightFormats="0">
  <queryTableRefresh nextId="108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7" name="Date début operation" tableColumnId="5"/>
      <queryTableField id="95" dataBound="0" tableColumnId="4"/>
    </queryTableFields>
  </queryTableRefresh>
</queryTable>
</file>

<file path=xl/queryTables/queryTable2.xml><?xml version="1.0" encoding="utf-8"?>
<queryTable xmlns="http://schemas.openxmlformats.org/spreadsheetml/2006/main" name="Lancer la requête à partir de Excel Files_9" adjustColumnWidth="0" connectionId="6" autoFormatId="16" applyNumberFormats="0" applyBorderFormats="0" applyFontFormats="0" applyPatternFormats="0" applyAlignmentFormats="0" applyWidthHeightFormats="0">
  <queryTableRefresh nextId="108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7" name="Date début operation" tableColumnId="5"/>
      <queryTableField id="95" dataBound="0" tableColumnId="4"/>
    </queryTableFields>
  </queryTableRefresh>
</queryTable>
</file>

<file path=xl/queryTables/queryTable3.xml><?xml version="1.0" encoding="utf-8"?>
<queryTable xmlns="http://schemas.openxmlformats.org/spreadsheetml/2006/main" name="Lancer la requête à partir de Excel Files_10" adjustColumnWidth="0" connectionId="4" autoFormatId="16" applyNumberFormats="0" applyBorderFormats="0" applyFontFormats="0" applyPatternFormats="0" applyAlignmentFormats="0" applyWidthHeightFormats="0">
  <queryTableRefresh nextId="108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7" name="Date début operation" tableColumnId="5"/>
      <queryTableField id="95" dataBound="0" tableColumnId="4"/>
    </queryTableFields>
  </queryTableRefresh>
</queryTable>
</file>

<file path=xl/queryTables/queryTable4.xml><?xml version="1.0" encoding="utf-8"?>
<queryTable xmlns="http://schemas.openxmlformats.org/spreadsheetml/2006/main" name="Lancer la requête à partir de Excel Files_11" adjustColumnWidth="0" connectionId="5" autoFormatId="16" applyNumberFormats="0" applyBorderFormats="0" applyFontFormats="0" applyPatternFormats="0" applyAlignmentFormats="0" applyWidthHeightFormats="0">
  <queryTableRefresh nextId="108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7" name="Date début operation" tableColumnId="5"/>
      <queryTableField id="95" dataBound="0" tableColumnId="4"/>
    </queryTableFields>
  </queryTableRefresh>
</queryTable>
</file>

<file path=xl/queryTables/queryTable5.xml><?xml version="1.0" encoding="utf-8"?>
<queryTable xmlns="http://schemas.openxmlformats.org/spreadsheetml/2006/main" name="Lancer la requête à partir de Excel Files_8" adjustColumnWidth="0" connectionId="3" autoFormatId="16" applyNumberFormats="0" applyBorderFormats="0" applyFontFormats="0" applyPatternFormats="0" applyAlignmentFormats="0" applyWidthHeightFormats="0">
  <queryTableRefresh nextId="106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2" name="'FNADT '" tableColumnId="10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5" name="Date début operation" tableColumnId="5"/>
      <queryTableField id="104" dataBound="0" tableColumnId="4"/>
    </queryTableFields>
  </queryTableRefresh>
</queryTable>
</file>

<file path=xl/queryTables/queryTable6.xml><?xml version="1.0" encoding="utf-8"?>
<queryTable xmlns="http://schemas.openxmlformats.org/spreadsheetml/2006/main" name="Lancer la requête à partir de Excel Files_8" adjustColumnWidth="0" connectionId="8" autoFormatId="16" applyNumberFormats="0" applyBorderFormats="0" applyFontFormats="0" applyPatternFormats="0" applyAlignmentFormats="0" applyWidthHeightFormats="0">
  <queryTableRefresh nextId="108" unboundColumnsRight="1">
    <queryTableFields count="43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95" dataBound="0" tableColumnId="4"/>
    </queryTableFields>
  </queryTableRefresh>
</queryTable>
</file>

<file path=xl/queryTables/queryTable7.xml><?xml version="1.0" encoding="utf-8"?>
<queryTable xmlns="http://schemas.openxmlformats.org/spreadsheetml/2006/main" name="Lancer la requête à partir de Excel Files_8" adjustColumnWidth="0" connectionId="2" autoFormatId="16" applyNumberFormats="0" applyBorderFormats="0" applyFontFormats="0" applyPatternFormats="0" applyAlignmentFormats="0" applyWidthHeightFormats="0">
  <queryTableRefresh nextId="108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7" name="Date début operation" tableColumnId="5"/>
      <queryTableField id="95" dataBound="0" tableColumnId="4"/>
    </queryTableFields>
  </queryTableRefresh>
</queryTable>
</file>

<file path=xl/queryTables/queryTable8.xml><?xml version="1.0" encoding="utf-8"?>
<queryTable xmlns="http://schemas.openxmlformats.org/spreadsheetml/2006/main" name="Lancer la requête à partir de Excel Files" adjustColumnWidth="0" connectionId="9" autoFormatId="16" applyNumberFormats="0" applyBorderFormats="0" applyFontFormats="0" applyPatternFormats="0" applyAlignmentFormats="0" applyWidthHeightFormats="0">
  <queryTableRefresh nextId="171" unboundColumnsRight="1">
    <queryTableFields count="46">
      <queryTableField id="1" name="Programme" tableColumnId="1"/>
      <queryTableField id="84" name="ID_dossier GIP" tableColumnId="50"/>
      <queryTableField id="48" name="ID_Synergie" tableColumnId="43"/>
      <queryTableField id="2" name="Nom_MO" tableColumnId="2"/>
      <queryTableField id="3" name="Intitule_Operation" tableColumnId="3"/>
      <queryTableField id="4" name="Coût total déposé" tableColumnId="4"/>
      <queryTableField id="128" name="Coût total Eligible FEDER" tableColumnId="12"/>
      <queryTableField id="131" dataBound="0" tableColumnId="13"/>
      <queryTableField id="92" dataBound="0" tableColumnId="6"/>
      <queryTableField id="44" dataBound="0" tableColumnId="44"/>
      <queryTableField id="40" dataBound="0" tableColumnId="40"/>
      <queryTableField id="42" dataBound="0" tableColumnId="42"/>
      <queryTableField id="89" dataBound="0" tableColumnId="52"/>
      <queryTableField id="133" name="'FNADT'" tableColumnId="15"/>
      <queryTableField id="134" name="'Agriculture'" tableColumnId="16"/>
      <queryTableField id="90" dataBound="0" tableColumnId="54"/>
      <queryTableField id="138" name="'ALPC'" tableColumnId="20"/>
      <queryTableField id="136" name="'AURA'" tableColumnId="18"/>
      <queryTableField id="137" name="'BFC'" tableColumnId="19"/>
      <queryTableField id="139" name="'LRMP'" tableColumnId="21"/>
      <queryTableField id="91" dataBound="0" tableColumnId="55"/>
      <queryTableField id="141" name="'03'" tableColumnId="23"/>
      <queryTableField id="142" name="'07'" tableColumnId="24"/>
      <queryTableField id="143" name="'11'" tableColumnId="25"/>
      <queryTableField id="144" name="'12'" tableColumnId="26"/>
      <queryTableField id="145" name="'15'" tableColumnId="27"/>
      <queryTableField id="146" name="'19'" tableColumnId="28"/>
      <queryTableField id="147" name="'21'" tableColumnId="29"/>
      <queryTableField id="148" name="'23'" tableColumnId="30"/>
      <queryTableField id="149" name="'30'" tableColumnId="31"/>
      <queryTableField id="150" name="'34'" tableColumnId="32"/>
      <queryTableField id="151" name="'42'" tableColumnId="33"/>
      <queryTableField id="152" name="'43'" tableColumnId="34"/>
      <queryTableField id="153" name="'46'" tableColumnId="35"/>
      <queryTableField id="154" name="'48'" tableColumnId="36"/>
      <queryTableField id="155" name="'58'" tableColumnId="37"/>
      <queryTableField id="156" name="'63'" tableColumnId="38"/>
      <queryTableField id="157" name="'69'" tableColumnId="39"/>
      <queryTableField id="158" name="'71'" tableColumnId="41"/>
      <queryTableField id="159" name="'81'" tableColumnId="45"/>
      <queryTableField id="160" name="'82'" tableColumnId="47"/>
      <queryTableField id="161" name="'87'" tableColumnId="48"/>
      <queryTableField id="162" name="'89'" tableColumnId="51"/>
      <queryTableField id="163" name="'FEDER'" tableColumnId="53"/>
      <queryTableField id="164" name="'Autre Public'" tableColumnId="56"/>
      <queryTableField id="169" dataBound="0" tableColumnId="5"/>
    </queryTableFields>
    <queryTableDeletedFields count="8">
      <deletedField name="Total_Etat_FN2"/>
      <deletedField name="Total_Regions_FN2"/>
      <deletedField name="Total_Dpts_FN2"/>
      <deletedField name="Aide Publique demandée"/>
      <deletedField name="'Régions'"/>
      <deletedField name="'Etat'"/>
      <deletedField name="'Dpts'"/>
      <deletedField name="Remarques"/>
    </queryTableDeletedFields>
  </queryTableRefresh>
</queryTable>
</file>

<file path=xl/queryTables/queryTable9.xml><?xml version="1.0" encoding="utf-8"?>
<queryTable xmlns="http://schemas.openxmlformats.org/spreadsheetml/2006/main" name="Lancer la requête à partir de Excel Files" adjustColumnWidth="0" connectionId="1" autoFormatId="16" applyNumberFormats="0" applyBorderFormats="0" applyFontFormats="0" applyPatternFormats="0" applyAlignmentFormats="0" applyWidthHeightFormats="0">
  <queryTableRefresh nextId="171" unboundColumnsRight="1">
    <queryTableFields count="46">
      <queryTableField id="1" name="Programme" tableColumnId="1"/>
      <queryTableField id="84" name="ID_dossier GIP" tableColumnId="50"/>
      <queryTableField id="48" name="ID_Synergie" tableColumnId="43"/>
      <queryTableField id="2" name="Nom_MO" tableColumnId="2"/>
      <queryTableField id="3" name="Intitule_Operation" tableColumnId="3"/>
      <queryTableField id="4" name="Coût total déposé" tableColumnId="4"/>
      <queryTableField id="128" name="Coût total Eligible FEDER" tableColumnId="12"/>
      <queryTableField id="131" dataBound="0" tableColumnId="13"/>
      <queryTableField id="92" dataBound="0" tableColumnId="6"/>
      <queryTableField id="44" dataBound="0" tableColumnId="44"/>
      <queryTableField id="40" dataBound="0" tableColumnId="40"/>
      <queryTableField id="42" dataBound="0" tableColumnId="42"/>
      <queryTableField id="89" dataBound="0" tableColumnId="52"/>
      <queryTableField id="133" name="'FNADT'" tableColumnId="15"/>
      <queryTableField id="134" name="'Agriculture'" tableColumnId="16"/>
      <queryTableField id="90" dataBound="0" tableColumnId="54"/>
      <queryTableField id="138" name="'ALPC'" tableColumnId="20"/>
      <queryTableField id="136" name="'AURA'" tableColumnId="18"/>
      <queryTableField id="137" name="'BFC'" tableColumnId="19"/>
      <queryTableField id="139" name="'LRMP'" tableColumnId="21"/>
      <queryTableField id="91" dataBound="0" tableColumnId="55"/>
      <queryTableField id="141" name="'03'" tableColumnId="23"/>
      <queryTableField id="142" name="'07'" tableColumnId="24"/>
      <queryTableField id="143" name="'11'" tableColumnId="25"/>
      <queryTableField id="144" name="'12'" tableColumnId="26"/>
      <queryTableField id="145" name="'15'" tableColumnId="27"/>
      <queryTableField id="146" name="'19'" tableColumnId="28"/>
      <queryTableField id="147" name="'21'" tableColumnId="29"/>
      <queryTableField id="148" name="'23'" tableColumnId="30"/>
      <queryTableField id="149" name="'30'" tableColumnId="31"/>
      <queryTableField id="150" name="'34'" tableColumnId="32"/>
      <queryTableField id="151" name="'42'" tableColumnId="33"/>
      <queryTableField id="152" name="'43'" tableColumnId="34"/>
      <queryTableField id="153" name="'46'" tableColumnId="35"/>
      <queryTableField id="154" name="'48'" tableColumnId="36"/>
      <queryTableField id="155" name="'58'" tableColumnId="37"/>
      <queryTableField id="156" name="'63'" tableColumnId="38"/>
      <queryTableField id="157" name="'69'" tableColumnId="39"/>
      <queryTableField id="158" name="'71'" tableColumnId="41"/>
      <queryTableField id="159" name="'81'" tableColumnId="45"/>
      <queryTableField id="160" name="'82'" tableColumnId="47"/>
      <queryTableField id="161" name="'87'" tableColumnId="48"/>
      <queryTableField id="162" name="'89'" tableColumnId="51"/>
      <queryTableField id="163" name="'FEDER'" tableColumnId="53"/>
      <queryTableField id="164" name="'Autre Public'" tableColumnId="56"/>
      <queryTableField id="169" dataBound="0" tableColumnId="5"/>
    </queryTableFields>
    <queryTableDeletedFields count="8">
      <deletedField name="Total_Etat_FN2"/>
      <deletedField name="Total_Regions_FN2"/>
      <deletedField name="Total_Dpts_FN2"/>
      <deletedField name="Aide Publique demandée"/>
      <deletedField name="'Régions'"/>
      <deletedField name="'Etat'"/>
      <deletedField name="'Dpts'"/>
      <deletedField name="Remarque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id="10" name="Tableau_Lancer_la_requête_à_partir_de_Excel_Files1025678911" displayName="Tableau_Lancer_la_requête_à_partir_de_Excel_Files1025678911" ref="A7:AR9" tableType="queryTable" insertRow="1" totalsRowCount="1" headerRowDxfId="1072" dataDxfId="1071" totalsRowDxfId="1070">
  <autoFilter ref="A7:AR8"/>
  <sortState ref="A8:AR8">
    <sortCondition ref="A6:A18"/>
  </sortState>
  <tableColumns count="44">
    <tableColumn id="1" uniqueName="1" name="ID_Synergie" totalsRowLabel="Total" queryTableFieldId="1" dataDxfId="1069" totalsRowDxfId="1068"/>
    <tableColumn id="2" uniqueName="2" name="Nom_MO" totalsRowFunction="count" queryTableFieldId="2" dataDxfId="1067" totalsRowDxfId="1066"/>
    <tableColumn id="3" uniqueName="3" name="Intitule_Operation" queryTableFieldId="3" dataDxfId="1065" totalsRowDxfId="1064"/>
    <tableColumn id="43" uniqueName="43" name="'Coût total éligible'" totalsRowFunction="sum" queryTableFieldId="46" dataDxfId="1063" totalsRowDxfId="1062"/>
    <tableColumn id="39" uniqueName="39" name="Aide _x000a_publique" totalsRowFunction="sum" queryTableFieldId="42" dataDxfId="1061" totalsRowDxfId="1060">
      <calculatedColumnFormula>Tableau_Lancer_la_requête_à_partir_de_Excel_Files1025678911[[#This Row],[Aide Massif]]+Tableau_Lancer_la_requête_à_partir_de_Excel_Files1025678911[[#This Row],[''Autre Public'']]</calculatedColumnFormula>
    </tableColumn>
    <tableColumn id="81" uniqueName="81" name="Tx Aide publique" queryTableFieldId="92" dataDxfId="1059" totalsRowDxfId="1058">
      <calculatedColumnFormula>Tableau_Lancer_la_requête_à_partir_de_Excel_Files1025678911[[#This Row],[Aide 
publique]]/Tableau_Lancer_la_requête_à_partir_de_Excel_Files1025678911[[#This Row],[''Coût total éligible'']]</calculatedColumnFormula>
    </tableColumn>
    <tableColumn id="40" uniqueName="40" name="Aide Massif" totalsRowFunction="sum" queryTableFieldId="43" dataDxfId="1057" totalsRowDxfId="1056">
      <calculatedColumnFormula>Tableau_Lancer_la_requête_à_partir_de_Excel_Files1025678911[[#This Row],[''FEDER'']]+Tableau_Lancer_la_requête_à_partir_de_Excel_Files1025678911[[#This Row],[Total Etat]]+Tableau_Lancer_la_requête_à_partir_de_Excel_Files1025678911[[#This Row],[Total Régions]]+Tableau_Lancer_la_requête_à_partir_de_Excel_Files1025678911[[#This Row],[Total Dpts]]</calculatedColumnFormula>
    </tableColumn>
    <tableColumn id="82" uniqueName="82" name="Tx_x000a_Aide Massif" queryTableFieldId="93" dataDxfId="1055" totalsRowDxfId="1054">
      <calculatedColumnFormula>Tableau_Lancer_la_requête_à_partir_de_Excel_Files1025678911[[#This Row],[Aide Massif]]/Tableau_Lancer_la_requête_à_partir_de_Excel_Files1025678911[[#This Row],[''Coût total éligible'']]</calculatedColumnFormula>
    </tableColumn>
    <tableColumn id="75" uniqueName="75" name="'FEDER'" totalsRowFunction="sum" queryTableFieldId="78" dataDxfId="1053" totalsRowDxfId="1052"/>
    <tableColumn id="7" uniqueName="7" name="Total Etat" totalsRowFunction="sum" queryTableFieldId="99" dataDxfId="1051" totalsRowDxfId="1050">
      <calculatedColumnFormula>Tableau_Lancer_la_requête_à_partir_de_Excel_Files1025678911[[#This Row],[''FNADT '']]+Tableau_Lancer_la_requête_à_partir_de_Excel_Files1025678911[[#This Row],[''Agriculture'']]</calculatedColumnFormula>
    </tableColumn>
    <tableColumn id="11" uniqueName="11" name="'FNADT '" queryTableFieldId="104" dataDxfId="1049" totalsRowDxfId="1048"/>
    <tableColumn id="46" uniqueName="46" name="'Agriculture'" totalsRowFunction="sum" queryTableFieldId="49" dataDxfId="1047" totalsRowDxfId="1046"/>
    <tableColumn id="8" uniqueName="8" name="Total Régions" totalsRowFunction="sum" queryTableFieldId="100" dataDxfId="1045" totalsRowDxfId="1044">
      <calculatedColumnFormula>Tableau_Lancer_la_requête_à_partir_de_Excel_Files1025678911[[#This Row],[''ALPC'']]+Tableau_Lancer_la_requête_à_partir_de_Excel_Files1025678911[[#This Row],[''AURA'']]+Tableau_Lancer_la_requête_à_partir_de_Excel_Files1025678911[[#This Row],[''BFC'']]+Tableau_Lancer_la_requête_à_partir_de_Excel_Files1025678911[[#This Row],[''LRMP'']]</calculatedColumnFormula>
    </tableColumn>
    <tableColumn id="48" uniqueName="48" name="'ALPC'" totalsRowFunction="sum" queryTableFieldId="51" dataDxfId="1043" totalsRowDxfId="1042"/>
    <tableColumn id="49" uniqueName="49" name="'AURA'" totalsRowFunction="sum" queryTableFieldId="52" dataDxfId="1041" totalsRowDxfId="1040"/>
    <tableColumn id="78" uniqueName="78" name="'BFC'" totalsRowFunction="sum" queryTableFieldId="81" dataDxfId="1039" totalsRowDxfId="1038"/>
    <tableColumn id="79" uniqueName="79" name="'LRMP'" totalsRowFunction="sum" queryTableFieldId="82" dataDxfId="1037" totalsRowDxfId="1036"/>
    <tableColumn id="9" uniqueName="9" name="Total Dpts" totalsRowFunction="sum" queryTableFieldId="101" dataDxfId="1035" totalsRowDxfId="1034">
      <calculatedColumnFormula>Tableau_Lancer_la_requête_à_partir_de_Excel_Files1025678911[[#This Row],[''03'']]+Tableau_Lancer_la_requête_à_partir_de_Excel_Files1025678911[[#This Row],[''07'']]+Tableau_Lancer_la_requête_à_partir_de_Excel_Files1025678911[[#This Row],[''11'']]+Tableau_Lancer_la_requête_à_partir_de_Excel_Files1025678911[[#This Row],[''12'']]+Tableau_Lancer_la_requête_à_partir_de_Excel_Files1025678911[[#This Row],[''15'']]+Tableau_Lancer_la_requête_à_partir_de_Excel_Files1025678911[[#This Row],[''19'']]+Tableau_Lancer_la_requête_à_partir_de_Excel_Files1025678911[[#This Row],[''21'']]+Tableau_Lancer_la_requête_à_partir_de_Excel_Files1025678911[[#This Row],[''23'']]+Tableau_Lancer_la_requête_à_partir_de_Excel_Files1025678911[[#This Row],[''30'']]+Tableau_Lancer_la_requête_à_partir_de_Excel_Files1025678911[[#This Row],[''34'']]+Tableau_Lancer_la_requête_à_partir_de_Excel_Files1025678911[[#This Row],[''42'']]+Tableau_Lancer_la_requête_à_partir_de_Excel_Files1025678911[[#This Row],[''43'']]+Tableau_Lancer_la_requête_à_partir_de_Excel_Files1025678911[[#This Row],[''46'']]+Tableau_Lancer_la_requête_à_partir_de_Excel_Files1025678911[[#This Row],[''48'']]+Tableau_Lancer_la_requête_à_partir_de_Excel_Files1025678911[[#This Row],[''58'']]+Tableau_Lancer_la_requête_à_partir_de_Excel_Files1025678911[[#This Row],[''63'']]+Tableau_Lancer_la_requête_à_partir_de_Excel_Files1025678911[[#This Row],[''69'']]+Tableau_Lancer_la_requête_à_partir_de_Excel_Files1025678911[[#This Row],[''71'']]+Tableau_Lancer_la_requête_à_partir_de_Excel_Files1025678911[[#This Row],[''81'']]+Tableau_Lancer_la_requête_à_partir_de_Excel_Files1025678911[[#This Row],[''82'']]+Tableau_Lancer_la_requête_à_partir_de_Excel_Files1025678911[[#This Row],[''87'']]+Tableau_Lancer_la_requête_à_partir_de_Excel_Files1025678911[[#This Row],[''89'']]</calculatedColumnFormula>
    </tableColumn>
    <tableColumn id="53" uniqueName="53" name="'03'" totalsRowFunction="sum" queryTableFieldId="56" dataDxfId="1033" totalsRowDxfId="1032"/>
    <tableColumn id="54" uniqueName="54" name="'07'" totalsRowFunction="sum" queryTableFieldId="57" dataDxfId="1031" totalsRowDxfId="1030"/>
    <tableColumn id="55" uniqueName="55" name="'11'" totalsRowFunction="sum" queryTableFieldId="58" dataDxfId="1029" totalsRowDxfId="1028"/>
    <tableColumn id="56" uniqueName="56" name="'12'" totalsRowFunction="sum" queryTableFieldId="59" dataDxfId="1027" totalsRowDxfId="1026"/>
    <tableColumn id="57" uniqueName="57" name="'15'" totalsRowFunction="sum" queryTableFieldId="60" dataDxfId="1025" totalsRowDxfId="1024"/>
    <tableColumn id="58" uniqueName="58" name="'19'" totalsRowFunction="sum" queryTableFieldId="61" dataDxfId="1023" totalsRowDxfId="1022"/>
    <tableColumn id="59" uniqueName="59" name="'21'" totalsRowFunction="sum" queryTableFieldId="62" dataDxfId="1021" totalsRowDxfId="1020"/>
    <tableColumn id="80" uniqueName="80" name="'23'" totalsRowFunction="sum" queryTableFieldId="85" dataDxfId="1019" totalsRowDxfId="1018"/>
    <tableColumn id="60" uniqueName="60" name="'30'" totalsRowFunction="sum" queryTableFieldId="63" dataDxfId="1017" totalsRowDxfId="1016"/>
    <tableColumn id="61" uniqueName="61" name="'34'" totalsRowFunction="sum" queryTableFieldId="64" dataDxfId="1015" totalsRowDxfId="1014"/>
    <tableColumn id="62" uniqueName="62" name="'42'" totalsRowFunction="sum" queryTableFieldId="65" dataDxfId="1013" totalsRowDxfId="1012"/>
    <tableColumn id="63" uniqueName="63" name="'43'" totalsRowFunction="sum" queryTableFieldId="66" dataDxfId="1011" totalsRowDxfId="1010"/>
    <tableColumn id="64" uniqueName="64" name="'46'" totalsRowFunction="sum" queryTableFieldId="67" dataDxfId="1009" totalsRowDxfId="1008"/>
    <tableColumn id="65" uniqueName="65" name="'48'" totalsRowFunction="sum" queryTableFieldId="68" dataDxfId="1007" totalsRowDxfId="1006"/>
    <tableColumn id="66" uniqueName="66" name="'58'" totalsRowFunction="sum" queryTableFieldId="69" dataDxfId="1005" totalsRowDxfId="1004"/>
    <tableColumn id="67" uniqueName="67" name="'63'" totalsRowFunction="sum" queryTableFieldId="70" dataDxfId="1003" totalsRowDxfId="1002"/>
    <tableColumn id="68" uniqueName="68" name="'69'" totalsRowFunction="sum" queryTableFieldId="71" dataDxfId="1001" totalsRowDxfId="1000"/>
    <tableColumn id="69" uniqueName="69" name="'71'" totalsRowFunction="sum" queryTableFieldId="72" dataDxfId="999" totalsRowDxfId="998"/>
    <tableColumn id="70" uniqueName="70" name="'81'" totalsRowFunction="sum" queryTableFieldId="73" dataDxfId="997" totalsRowDxfId="996"/>
    <tableColumn id="71" uniqueName="71" name="'82'" totalsRowFunction="sum" queryTableFieldId="74" dataDxfId="995" totalsRowDxfId="994"/>
    <tableColumn id="72" uniqueName="72" name="'87'" totalsRowFunction="sum" queryTableFieldId="75" dataDxfId="993" totalsRowDxfId="992"/>
    <tableColumn id="73" uniqueName="73" name="'89'" totalsRowFunction="sum" queryTableFieldId="76" dataDxfId="991" totalsRowDxfId="990"/>
    <tableColumn id="76" uniqueName="76" name="'Autre Public'" totalsRowFunction="sum" queryTableFieldId="79" dataDxfId="989" totalsRowDxfId="988"/>
    <tableColumn id="35" uniqueName="35" name="Avis Cofimac" queryTableFieldId="35" dataDxfId="987" totalsRowDxfId="986"/>
    <tableColumn id="5" uniqueName="5" name="Date début operation" queryTableFieldId="107" dataDxfId="985" totalsRowDxfId="984"/>
    <tableColumn id="4" uniqueName="4" name="Avis Prog" queryTableFieldId="95" dataDxfId="983" totalsRowDxfId="982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5" name="Tableau_Lancer_la_requête_à_partir_de_Excel_Files316" displayName="Tableau_Lancer_la_requête_à_partir_de_Excel_Files316" ref="A6:AT8" tableType="queryTable" totalsRowCount="1" headerRowDxfId="165" dataDxfId="164" totalsRowDxfId="163">
  <autoFilter ref="A6:AT7"/>
  <sortState ref="A7:AT7">
    <sortCondition ref="C6:C18"/>
  </sortState>
  <tableColumns count="46">
    <tableColumn id="1" uniqueName="1" name="Programme" totalsRowLabel="Total" queryTableFieldId="1" dataDxfId="162" totalsRowDxfId="161"/>
    <tableColumn id="50" uniqueName="50" name="ID_dossier GIP" queryTableFieldId="84" dataDxfId="160" totalsRowDxfId="159"/>
    <tableColumn id="43" uniqueName="43" name="ID_Synergie" totalsRowFunction="count" queryTableFieldId="48" dataDxfId="158" totalsRowDxfId="157"/>
    <tableColumn id="2" uniqueName="2" name="Nom_MO" queryTableFieldId="2" dataDxfId="156" totalsRowDxfId="155"/>
    <tableColumn id="3" uniqueName="3" name="Intitule_Operation" queryTableFieldId="3" dataDxfId="154" totalsRowDxfId="153"/>
    <tableColumn id="4" uniqueName="4" name="Coût total déposé" totalsRowFunction="sum" queryTableFieldId="4" dataDxfId="152" totalsRowDxfId="151"/>
    <tableColumn id="12" uniqueName="12" name="Coût total Eligible FEDER" queryTableFieldId="128" dataDxfId="150" totalsRowDxfId="149"/>
    <tableColumn id="13" uniqueName="13" name="Coût total" totalsRowFunction="sum" queryTableFieldId="131" dataDxfId="148" totalsRowDxfId="147">
      <calculatedColumnFormula>IF(Tableau_Lancer_la_requête_à_partir_de_Excel_Files316[[#This Row],[Coût total Eligible FEDER]]="",Tableau_Lancer_la_requête_à_partir_de_Excel_Files316[[#This Row],[Coût total déposé]],Tableau_Lancer_la_requête_à_partir_de_Excel_Files316[[#This Row],[Coût total Eligible FEDER]])</calculatedColumnFormula>
    </tableColumn>
    <tableColumn id="6" uniqueName="6" name="Aide Publique Obtenue" totalsRowFunction="sum" queryTableFieldId="92" dataDxfId="146" totalsRowDxfId="145">
      <calculatedColumnFormula>Tableau_Lancer_la_requête_à_partir_de_Excel_Files316[[#This Row],[Aide Massif Obtenu]]+Tableau_Lancer_la_requête_à_partir_de_Excel_Files316[[#This Row],[''Autre Public'']]</calculatedColumnFormula>
    </tableColumn>
    <tableColumn id="44" uniqueName="44" name="Taux Aide Publique" queryTableFieldId="44" dataDxfId="144" totalsRowDxfId="143">
      <calculatedColumnFormula>Tableau_Lancer_la_requête_à_partir_de_Excel_Files316[[#This Row],[Aide Publique Obtenue]]/Tableau_Lancer_la_requête_à_partir_de_Excel_Files316[[#This Row],[Coût total]]</calculatedColumnFormula>
    </tableColumn>
    <tableColumn id="40" uniqueName="40" name="Aide Massif Obtenu" totalsRowFunction="sum" queryTableFieldId="40" dataDxfId="142" totalsRowDxfId="141">
      <calculatedColumnFormula>Tableau_Lancer_la_requête_à_partir_de_Excel_Files316[[#This Row],[Etat]]+Tableau_Lancer_la_requête_à_partir_de_Excel_Files316[[#This Row],[Régions]]+Tableau_Lancer_la_requête_à_partir_de_Excel_Files316[[#This Row],[Départements]]+Tableau_Lancer_la_requête_à_partir_de_Excel_Files316[[#This Row],[''FEDER'']]</calculatedColumnFormula>
    </tableColumn>
    <tableColumn id="42" uniqueName="42" name="Taux Aide Massif" queryTableFieldId="42" dataDxfId="140" totalsRowDxfId="139">
      <calculatedColumnFormula>Tableau_Lancer_la_requête_à_partir_de_Excel_Files316[[#This Row],[Aide Massif Obtenu]]/Tableau_Lancer_la_requête_à_partir_de_Excel_Files316[[#This Row],[Coût total]]</calculatedColumnFormula>
    </tableColumn>
    <tableColumn id="52" uniqueName="52" name="Etat" totalsRowFunction="sum" queryTableFieldId="89" dataDxfId="138" totalsRowDxfId="137">
      <calculatedColumnFormula>Tableau_Lancer_la_requête_à_partir_de_Excel_Files316[[#This Row],[''FNADT'']]+Tableau_Lancer_la_requête_à_partir_de_Excel_Files316[[#This Row],[''Agriculture'']]</calculatedColumnFormula>
    </tableColumn>
    <tableColumn id="15" uniqueName="15" name="'FNADT'" queryTableFieldId="133" dataDxfId="136" totalsRowDxfId="135"/>
    <tableColumn id="16" uniqueName="16" name="'Agriculture'" queryTableFieldId="134" dataDxfId="134" totalsRowDxfId="133"/>
    <tableColumn id="54" uniqueName="54" name="Régions" totalsRowFunction="sum" queryTableFieldId="90" dataDxfId="132" totalsRowDxfId="131">
      <calculatedColumnFormula>Tableau_Lancer_la_requête_à_partir_de_Excel_Files316[[#This Row],[''ALPC'']]+Tableau_Lancer_la_requête_à_partir_de_Excel_Files316[[#This Row],[''AURA'']]+Tableau_Lancer_la_requête_à_partir_de_Excel_Files316[[#This Row],[''BFC'']]+Tableau_Lancer_la_requête_à_partir_de_Excel_Files316[[#This Row],[''LRMP'']]</calculatedColumnFormula>
    </tableColumn>
    <tableColumn id="20" uniqueName="20" name="'ALPC'" queryTableFieldId="138" dataDxfId="130" totalsRowDxfId="129"/>
    <tableColumn id="18" uniqueName="18" name="'AURA'" queryTableFieldId="136" dataDxfId="128" totalsRowDxfId="127"/>
    <tableColumn id="19" uniqueName="19" name="'BFC'" queryTableFieldId="137" dataDxfId="126" totalsRowDxfId="125"/>
    <tableColumn id="21" uniqueName="21" name="'LRMP'" queryTableFieldId="139" dataDxfId="124" totalsRowDxfId="123"/>
    <tableColumn id="55" uniqueName="55" name="Départements" totalsRowFunction="sum" queryTableFieldId="91" dataDxfId="122" totalsRowDxfId="121">
      <calculatedColumnFormula>Tableau_Lancer_la_requête_à_partir_de_Excel_Files316[[#This Row],[''03'']]+Tableau_Lancer_la_requête_à_partir_de_Excel_Files316[[#This Row],[''07'']]+Tableau_Lancer_la_requête_à_partir_de_Excel_Files316[[#This Row],[''11'']]+Tableau_Lancer_la_requête_à_partir_de_Excel_Files316[[#This Row],[''12'']]+Tableau_Lancer_la_requête_à_partir_de_Excel_Files316[[#This Row],[''15'']]+Tableau_Lancer_la_requête_à_partir_de_Excel_Files316[[#This Row],[''21'']]+Tableau_Lancer_la_requête_à_partir_de_Excel_Files316[[#This Row],[''19'']]+Tableau_Lancer_la_requête_à_partir_de_Excel_Files316[[#This Row],[''23'']]+Tableau_Lancer_la_requête_à_partir_de_Excel_Files316[[#This Row],[''30'']]+Tableau_Lancer_la_requête_à_partir_de_Excel_Files316[[#This Row],[''34'']]+Tableau_Lancer_la_requête_à_partir_de_Excel_Files316[[#This Row],[''42'']]+Tableau_Lancer_la_requête_à_partir_de_Excel_Files316[[#This Row],[''43'']]+Tableau_Lancer_la_requête_à_partir_de_Excel_Files316[[#This Row],[''46'']]+Tableau_Lancer_la_requête_à_partir_de_Excel_Files316[[#This Row],[''48'']]+Tableau_Lancer_la_requête_à_partir_de_Excel_Files316[[#This Row],[''58'']]+Tableau_Lancer_la_requête_à_partir_de_Excel_Files316[[#This Row],[''63'']]+Tableau_Lancer_la_requête_à_partir_de_Excel_Files316[[#This Row],[''69'']]+Tableau_Lancer_la_requête_à_partir_de_Excel_Files316[[#This Row],[''71'']]+Tableau_Lancer_la_requête_à_partir_de_Excel_Files316[[#This Row],[''81'']]+Tableau_Lancer_la_requête_à_partir_de_Excel_Files316[[#This Row],[''82'']]+Tableau_Lancer_la_requête_à_partir_de_Excel_Files316[[#This Row],[''87'']]+Tableau_Lancer_la_requête_à_partir_de_Excel_Files316[[#This Row],[''89'']]</calculatedColumnFormula>
    </tableColumn>
    <tableColumn id="23" uniqueName="23" name="'03'" queryTableFieldId="141" dataDxfId="120" totalsRowDxfId="119"/>
    <tableColumn id="24" uniqueName="24" name="'07'" queryTableFieldId="142" dataDxfId="118" totalsRowDxfId="117"/>
    <tableColumn id="25" uniqueName="25" name="'11'" queryTableFieldId="143" dataDxfId="116" totalsRowDxfId="115"/>
    <tableColumn id="26" uniqueName="26" name="'12'" queryTableFieldId="144" dataDxfId="114" totalsRowDxfId="113"/>
    <tableColumn id="27" uniqueName="27" name="'15'" queryTableFieldId="145" dataDxfId="112" totalsRowDxfId="111"/>
    <tableColumn id="28" uniqueName="28" name="'19'" queryTableFieldId="146" dataDxfId="110" totalsRowDxfId="109"/>
    <tableColumn id="29" uniqueName="29" name="'21'" queryTableFieldId="147" dataDxfId="108" totalsRowDxfId="107"/>
    <tableColumn id="30" uniqueName="30" name="'23'" queryTableFieldId="148" dataDxfId="106" totalsRowDxfId="105"/>
    <tableColumn id="31" uniqueName="31" name="'30'" queryTableFieldId="149" dataDxfId="104" totalsRowDxfId="103"/>
    <tableColumn id="32" uniqueName="32" name="'34'" queryTableFieldId="150" dataDxfId="102" totalsRowDxfId="101"/>
    <tableColumn id="33" uniqueName="33" name="'42'" queryTableFieldId="151" dataDxfId="100" totalsRowDxfId="99"/>
    <tableColumn id="34" uniqueName="34" name="'43'" queryTableFieldId="152" dataDxfId="98" totalsRowDxfId="97"/>
    <tableColumn id="35" uniqueName="35" name="'46'" queryTableFieldId="153" dataDxfId="96" totalsRowDxfId="95"/>
    <tableColumn id="36" uniqueName="36" name="'48'" queryTableFieldId="154" dataDxfId="94" totalsRowDxfId="93"/>
    <tableColumn id="37" uniqueName="37" name="'58'" queryTableFieldId="155" dataDxfId="92" totalsRowDxfId="91"/>
    <tableColumn id="38" uniqueName="38" name="'63'" queryTableFieldId="156" dataDxfId="90" totalsRowDxfId="89"/>
    <tableColumn id="39" uniqueName="39" name="'69'" queryTableFieldId="157" dataDxfId="88" totalsRowDxfId="87"/>
    <tableColumn id="41" uniqueName="41" name="'71'" queryTableFieldId="158" dataDxfId="86" totalsRowDxfId="85"/>
    <tableColumn id="45" uniqueName="45" name="'81'" queryTableFieldId="159" dataDxfId="84" totalsRowDxfId="83"/>
    <tableColumn id="47" uniqueName="47" name="'82'" queryTableFieldId="160" dataDxfId="82" totalsRowDxfId="81"/>
    <tableColumn id="48" uniqueName="48" name="'87'" queryTableFieldId="161" dataDxfId="80" totalsRowDxfId="79"/>
    <tableColumn id="51" uniqueName="51" name="'89'" queryTableFieldId="162" dataDxfId="78" totalsRowDxfId="77"/>
    <tableColumn id="53" uniqueName="53" name="'FEDER'" totalsRowFunction="sum" queryTableFieldId="163" dataDxfId="76" totalsRowDxfId="75"/>
    <tableColumn id="56" uniqueName="56" name="'Autre Public'" queryTableFieldId="164" dataDxfId="74" totalsRowDxfId="73"/>
    <tableColumn id="5" uniqueName="5" name="Avis Prog" queryTableFieldId="169" dataDxfId="72" totalsRowDxfId="7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6" name="Tableau317" displayName="Tableau317" ref="AX6:CE24" totalsRowCount="1" headerRowDxfId="70" dataDxfId="69" totalsRowDxfId="68">
  <autoFilter ref="AX6:CE23"/>
  <tableColumns count="34">
    <tableColumn id="1" name="NumSym" totalsRowLabel="Total" dataDxfId="67" totalsRowDxfId="66"/>
    <tableColumn id="2" name="Etat" totalsRowFunction="sum" dataDxfId="65" totalsRowDxfId="64">
      <calculatedColumnFormula>SUM(AZ7:BA7)</calculatedColumnFormula>
    </tableColumn>
    <tableColumn id="3" name="'FNADT'" totalsRowFunction="sum" dataDxfId="63" totalsRowDxfId="62"/>
    <tableColumn id="4" name="'Agriculture'" totalsRowFunction="sum" dataDxfId="61" totalsRowDxfId="60">
      <calculatedColumnFormula>SUM(BB7:BE7)</calculatedColumnFormula>
    </tableColumn>
    <tableColumn id="5" name="Régions" totalsRowFunction="sum" dataDxfId="59" totalsRowDxfId="58">
      <calculatedColumnFormula>SUM(BC7:BF7)</calculatedColumnFormula>
    </tableColumn>
    <tableColumn id="6" name="'ALPC'" totalsRowFunction="sum" dataDxfId="57" totalsRowDxfId="56"/>
    <tableColumn id="7" name="'AURA'" totalsRowFunction="sum" dataDxfId="55" totalsRowDxfId="54"/>
    <tableColumn id="8" name="'BFC'" totalsRowFunction="sum" dataDxfId="53" totalsRowDxfId="52"/>
    <tableColumn id="9" name="'LRMP'" totalsRowFunction="sum" dataDxfId="51" totalsRowDxfId="50">
      <calculatedColumnFormula>SUM(BG7:CB7)</calculatedColumnFormula>
    </tableColumn>
    <tableColumn id="10" name="Départements" totalsRowFunction="sum" dataDxfId="49" totalsRowDxfId="48">
      <calculatedColumnFormula>SUM(BH7:CC7)</calculatedColumnFormula>
    </tableColumn>
    <tableColumn id="11" name="'03'" totalsRowFunction="sum" dataDxfId="47" totalsRowDxfId="46"/>
    <tableColumn id="12" name="'07'" totalsRowFunction="sum" dataDxfId="45" totalsRowDxfId="44"/>
    <tableColumn id="13" name="'11'" totalsRowFunction="sum" dataDxfId="43" totalsRowDxfId="42"/>
    <tableColumn id="14" name="'12'" totalsRowFunction="sum" dataDxfId="41" totalsRowDxfId="40"/>
    <tableColumn id="15" name="'15'" totalsRowFunction="sum" dataDxfId="39" totalsRowDxfId="38"/>
    <tableColumn id="16" name="'19'" totalsRowFunction="sum" dataDxfId="37" totalsRowDxfId="36"/>
    <tableColumn id="17" name="'21'" totalsRowFunction="sum" dataDxfId="35" totalsRowDxfId="34"/>
    <tableColumn id="18" name="'23'" totalsRowFunction="sum" dataDxfId="33" totalsRowDxfId="32"/>
    <tableColumn id="19" name="'30'" totalsRowFunction="sum" dataDxfId="31" totalsRowDxfId="30"/>
    <tableColumn id="20" name="'34'" totalsRowFunction="sum" dataDxfId="29" totalsRowDxfId="28"/>
    <tableColumn id="21" name="'42'" totalsRowFunction="sum" dataDxfId="27" totalsRowDxfId="26"/>
    <tableColumn id="22" name="'43'" totalsRowFunction="sum" dataDxfId="25" totalsRowDxfId="24"/>
    <tableColumn id="23" name="'46'" totalsRowFunction="sum" dataDxfId="23" totalsRowDxfId="22"/>
    <tableColumn id="24" name="'48'" totalsRowFunction="sum" dataDxfId="21" totalsRowDxfId="20"/>
    <tableColumn id="25" name="'58'" totalsRowFunction="sum" dataDxfId="19" totalsRowDxfId="18"/>
    <tableColumn id="26" name="'63'" totalsRowFunction="sum" dataDxfId="17" totalsRowDxfId="16"/>
    <tableColumn id="27" name="'69'" totalsRowFunction="sum" dataDxfId="15" totalsRowDxfId="14"/>
    <tableColumn id="28" name="'71'" totalsRowFunction="sum" dataDxfId="13" totalsRowDxfId="12"/>
    <tableColumn id="29" name="'81'" totalsRowFunction="sum" dataDxfId="11" totalsRowDxfId="10"/>
    <tableColumn id="30" name="'82'" totalsRowFunction="sum" dataDxfId="9" totalsRowDxfId="8"/>
    <tableColumn id="31" name="'87'" totalsRowFunction="sum" dataDxfId="7" totalsRowDxfId="6"/>
    <tableColumn id="32" name="'89'" totalsRowFunction="sum" dataDxfId="5" totalsRowDxfId="4"/>
    <tableColumn id="33" name="'FEDER'" totalsRowFunction="sum" dataDxfId="3" totalsRowDxfId="2"/>
    <tableColumn id="34" name="Avis" totalsRowFunction="count" dataDxfId="1" totalsRowDxfId="0">
      <calculatedColumnFormula>VLOOKUP(Tableau317[[#This Row],[NumSym]],Tableau_Lancer_la_requête_à_partir_de_Excel_Files316[[ID_Synergie]:[Avis Prog]],44)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1" name="Tableau_Lancer_la_requête_à_partir_de_Excel_Files102567891112" displayName="Tableau_Lancer_la_requête_à_partir_de_Excel_Files102567891112" ref="A39:AR41" tableType="queryTable" totalsRowCount="1" headerRowDxfId="981" dataDxfId="980" totalsRowDxfId="979">
  <autoFilter ref="A39:AR40"/>
  <sortState ref="A40:AR40">
    <sortCondition ref="A6:A18"/>
  </sortState>
  <tableColumns count="44">
    <tableColumn id="1" uniqueName="1" name="ID_Synergie" totalsRowLabel="Total" queryTableFieldId="1" dataDxfId="978" totalsRowDxfId="977"/>
    <tableColumn id="2" uniqueName="2" name="Nom_MO" totalsRowFunction="count" queryTableFieldId="2" dataDxfId="976" totalsRowDxfId="975"/>
    <tableColumn id="3" uniqueName="3" name="Intitule_Operation" queryTableFieldId="3" dataDxfId="974" totalsRowDxfId="973"/>
    <tableColumn id="43" uniqueName="43" name="Coût total Projet" totalsRowFunction="sum" queryTableFieldId="46" dataDxfId="972" totalsRowDxfId="971"/>
    <tableColumn id="39" uniqueName="39" name="Aide _x000a_publique" totalsRowFunction="sum" queryTableFieldId="42" dataDxfId="970" totalsRowDxfId="969">
      <calculatedColumnFormula>Tableau_Lancer_la_requête_à_partir_de_Excel_Files102567891112[[#This Row],[Aide Massif]]+Tableau_Lancer_la_requête_à_partir_de_Excel_Files102567891112[[#This Row],[''Autre Public'']]</calculatedColumnFormula>
    </tableColumn>
    <tableColumn id="81" uniqueName="81" name="Tx Aide publique" queryTableFieldId="92" dataDxfId="968" totalsRowDxfId="967">
      <calculatedColumnFormula>Tableau_Lancer_la_requête_à_partir_de_Excel_Files102567891112[[#This Row],[Aide 
publique]]/Tableau_Lancer_la_requête_à_partir_de_Excel_Files102567891112[[#This Row],[Coût total Projet]]</calculatedColumnFormula>
    </tableColumn>
    <tableColumn id="40" uniqueName="40" name="Aide Massif" totalsRowFunction="sum" queryTableFieldId="43" dataDxfId="966" totalsRowDxfId="965">
      <calculatedColumnFormula>Tableau_Lancer_la_requête_à_partir_de_Excel_Files102567891112[[#This Row],[''FEDER'']]+Tableau_Lancer_la_requête_à_partir_de_Excel_Files102567891112[[#This Row],[Total Etat]]+Tableau_Lancer_la_requête_à_partir_de_Excel_Files102567891112[[#This Row],[Total Régions]]+Tableau_Lancer_la_requête_à_partir_de_Excel_Files102567891112[[#This Row],[Total Dpts]]</calculatedColumnFormula>
    </tableColumn>
    <tableColumn id="82" uniqueName="82" name="Tx_x000a_Aide Massif" queryTableFieldId="93" dataDxfId="964" totalsRowDxfId="963">
      <calculatedColumnFormula>Tableau_Lancer_la_requête_à_partir_de_Excel_Files102567891112[[#This Row],[Aide Massif]]/Tableau_Lancer_la_requête_à_partir_de_Excel_Files102567891112[[#This Row],[Coût total Projet]]</calculatedColumnFormula>
    </tableColumn>
    <tableColumn id="75" uniqueName="75" name="'FEDER'" totalsRowFunction="sum" queryTableFieldId="78" dataDxfId="962" totalsRowDxfId="961"/>
    <tableColumn id="7" uniqueName="7" name="Total Etat" totalsRowFunction="sum" queryTableFieldId="99" dataDxfId="960" totalsRowDxfId="959">
      <calculatedColumnFormula>Tableau_Lancer_la_requête_à_partir_de_Excel_Files102567891112[[#This Row],[''FNADT '']]+Tableau_Lancer_la_requête_à_partir_de_Excel_Files102567891112[[#This Row],[''Agriculture'']]</calculatedColumnFormula>
    </tableColumn>
    <tableColumn id="11" uniqueName="11" name="'FNADT '" queryTableFieldId="104" dataDxfId="958" totalsRowDxfId="957"/>
    <tableColumn id="46" uniqueName="46" name="'Agriculture'" totalsRowFunction="sum" queryTableFieldId="49" dataDxfId="956" totalsRowDxfId="955"/>
    <tableColumn id="8" uniqueName="8" name="Total Régions" totalsRowFunction="sum" queryTableFieldId="100" dataDxfId="954" totalsRowDxfId="953">
      <calculatedColumnFormula>Tableau_Lancer_la_requête_à_partir_de_Excel_Files102567891112[[#This Row],[''ALPC'']]+Tableau_Lancer_la_requête_à_partir_de_Excel_Files102567891112[[#This Row],[''AURA'']]+Tableau_Lancer_la_requête_à_partir_de_Excel_Files102567891112[[#This Row],[''BFC'']]+Tableau_Lancer_la_requête_à_partir_de_Excel_Files102567891112[[#This Row],[''LRMP'']]</calculatedColumnFormula>
    </tableColumn>
    <tableColumn id="48" uniqueName="48" name="'ALPC'" totalsRowFunction="sum" queryTableFieldId="51" dataDxfId="952" totalsRowDxfId="951"/>
    <tableColumn id="49" uniqueName="49" name="'AURA'" totalsRowFunction="sum" queryTableFieldId="52" dataDxfId="950" totalsRowDxfId="949"/>
    <tableColumn id="78" uniqueName="78" name="'BFC'" totalsRowFunction="sum" queryTableFieldId="81" dataDxfId="948" totalsRowDxfId="947"/>
    <tableColumn id="79" uniqueName="79" name="'LRMP'" totalsRowFunction="sum" queryTableFieldId="82" dataDxfId="946" totalsRowDxfId="945"/>
    <tableColumn id="9" uniqueName="9" name="Total Dpts" totalsRowFunction="sum" queryTableFieldId="101" dataDxfId="944" totalsRowDxfId="943">
      <calculatedColumnFormula>Tableau_Lancer_la_requête_à_partir_de_Excel_Files102567891112[[#This Row],[''03'']]+Tableau_Lancer_la_requête_à_partir_de_Excel_Files102567891112[[#This Row],[''07'']]+Tableau_Lancer_la_requête_à_partir_de_Excel_Files102567891112[[#This Row],[''11'']]+Tableau_Lancer_la_requête_à_partir_de_Excel_Files102567891112[[#This Row],[''12'']]+Tableau_Lancer_la_requête_à_partir_de_Excel_Files102567891112[[#This Row],[''15'']]+Tableau_Lancer_la_requête_à_partir_de_Excel_Files102567891112[[#This Row],[''19'']]+Tableau_Lancer_la_requête_à_partir_de_Excel_Files102567891112[[#This Row],[''21'']]+Tableau_Lancer_la_requête_à_partir_de_Excel_Files102567891112[[#This Row],[''23'']]+Tableau_Lancer_la_requête_à_partir_de_Excel_Files102567891112[[#This Row],[''30'']]+Tableau_Lancer_la_requête_à_partir_de_Excel_Files102567891112[[#This Row],[''34'']]+Tableau_Lancer_la_requête_à_partir_de_Excel_Files102567891112[[#This Row],[''42'']]+Tableau_Lancer_la_requête_à_partir_de_Excel_Files102567891112[[#This Row],[''43'']]+Tableau_Lancer_la_requête_à_partir_de_Excel_Files102567891112[[#This Row],[''46'']]+Tableau_Lancer_la_requête_à_partir_de_Excel_Files102567891112[[#This Row],[''48'']]+Tableau_Lancer_la_requête_à_partir_de_Excel_Files102567891112[[#This Row],[''58'']]+Tableau_Lancer_la_requête_à_partir_de_Excel_Files102567891112[[#This Row],[''63'']]+Tableau_Lancer_la_requête_à_partir_de_Excel_Files102567891112[[#This Row],[''69'']]+Tableau_Lancer_la_requête_à_partir_de_Excel_Files102567891112[[#This Row],[''71'']]+Tableau_Lancer_la_requête_à_partir_de_Excel_Files102567891112[[#This Row],[''81'']]+Tableau_Lancer_la_requête_à_partir_de_Excel_Files102567891112[[#This Row],[''82'']]+Tableau_Lancer_la_requête_à_partir_de_Excel_Files102567891112[[#This Row],[''87'']]+Tableau_Lancer_la_requête_à_partir_de_Excel_Files102567891112[[#This Row],[''89'']]</calculatedColumnFormula>
    </tableColumn>
    <tableColumn id="53" uniqueName="53" name="'03'" totalsRowFunction="sum" queryTableFieldId="56" dataDxfId="942" totalsRowDxfId="941"/>
    <tableColumn id="54" uniqueName="54" name="'07'" totalsRowFunction="sum" queryTableFieldId="57" dataDxfId="940" totalsRowDxfId="939"/>
    <tableColumn id="55" uniqueName="55" name="'11'" totalsRowFunction="sum" queryTableFieldId="58" dataDxfId="938" totalsRowDxfId="937"/>
    <tableColumn id="56" uniqueName="56" name="'12'" totalsRowFunction="sum" queryTableFieldId="59" dataDxfId="936" totalsRowDxfId="935"/>
    <tableColumn id="57" uniqueName="57" name="'15'" totalsRowFunction="sum" queryTableFieldId="60" dataDxfId="934" totalsRowDxfId="933"/>
    <tableColumn id="58" uniqueName="58" name="'19'" totalsRowFunction="sum" queryTableFieldId="61" dataDxfId="932" totalsRowDxfId="931"/>
    <tableColumn id="59" uniqueName="59" name="'21'" totalsRowFunction="sum" queryTableFieldId="62" dataDxfId="930" totalsRowDxfId="929"/>
    <tableColumn id="80" uniqueName="80" name="'23'" totalsRowFunction="sum" queryTableFieldId="85" dataDxfId="928" totalsRowDxfId="927"/>
    <tableColumn id="60" uniqueName="60" name="'30'" totalsRowFunction="sum" queryTableFieldId="63" dataDxfId="926" totalsRowDxfId="925"/>
    <tableColumn id="61" uniqueName="61" name="'34'" totalsRowFunction="sum" queryTableFieldId="64" dataDxfId="924" totalsRowDxfId="923"/>
    <tableColumn id="62" uniqueName="62" name="'42'" totalsRowFunction="sum" queryTableFieldId="65" dataDxfId="922" totalsRowDxfId="921"/>
    <tableColumn id="63" uniqueName="63" name="'43'" totalsRowFunction="sum" queryTableFieldId="66" dataDxfId="920" totalsRowDxfId="919"/>
    <tableColumn id="64" uniqueName="64" name="'46'" totalsRowFunction="sum" queryTableFieldId="67" dataDxfId="918" totalsRowDxfId="917"/>
    <tableColumn id="65" uniqueName="65" name="'48'" totalsRowFunction="sum" queryTableFieldId="68" dataDxfId="916" totalsRowDxfId="915"/>
    <tableColumn id="66" uniqueName="66" name="'58'" totalsRowFunction="sum" queryTableFieldId="69" dataDxfId="914" totalsRowDxfId="913"/>
    <tableColumn id="67" uniqueName="67" name="'63'" totalsRowFunction="sum" queryTableFieldId="70" dataDxfId="912" totalsRowDxfId="911"/>
    <tableColumn id="68" uniqueName="68" name="'69'" totalsRowFunction="sum" queryTableFieldId="71" dataDxfId="910" totalsRowDxfId="909"/>
    <tableColumn id="69" uniqueName="69" name="'71'" totalsRowFunction="sum" queryTableFieldId="72" dataDxfId="908" totalsRowDxfId="907"/>
    <tableColumn id="70" uniqueName="70" name="'81'" totalsRowFunction="sum" queryTableFieldId="73" dataDxfId="906" totalsRowDxfId="905"/>
    <tableColumn id="71" uniqueName="71" name="'82'" totalsRowFunction="sum" queryTableFieldId="74" dataDxfId="904" totalsRowDxfId="903"/>
    <tableColumn id="72" uniqueName="72" name="'87'" totalsRowFunction="sum" queryTableFieldId="75" dataDxfId="902" totalsRowDxfId="901"/>
    <tableColumn id="73" uniqueName="73" name="'89'" totalsRowFunction="sum" queryTableFieldId="76" dataDxfId="900" totalsRowDxfId="899"/>
    <tableColumn id="76" uniqueName="76" name="'Autre Public'" totalsRowFunction="sum" queryTableFieldId="79" dataDxfId="898" totalsRowDxfId="897"/>
    <tableColumn id="35" uniqueName="35" name="Avis Cofimac" queryTableFieldId="35" dataDxfId="896" totalsRowDxfId="895"/>
    <tableColumn id="5" uniqueName="5" name="Date début operation" queryTableFieldId="107" dataDxfId="894" totalsRowDxfId="893"/>
    <tableColumn id="4" uniqueName="4" name="Avis Prog" queryTableFieldId="95" dataDxfId="892" totalsRowDxfId="891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12" name="Tableau_Lancer_la_requête_à_partir_de_Excel_Files102567891113" displayName="Tableau_Lancer_la_requête_à_partir_de_Excel_Files102567891113" ref="A13:AR15" tableType="queryTable" insertRow="1" totalsRowCount="1" headerRowDxfId="890" dataDxfId="889" totalsRowDxfId="888">
  <autoFilter ref="A13:AR14"/>
  <sortState ref="A14:AR14">
    <sortCondition ref="A6:A18"/>
  </sortState>
  <tableColumns count="44">
    <tableColumn id="1" uniqueName="1" name="ID_Synergie" totalsRowLabel="Total" queryTableFieldId="1" dataDxfId="887" totalsRowDxfId="886"/>
    <tableColumn id="2" uniqueName="2" name="Nom_MO" totalsRowFunction="count" queryTableFieldId="2" dataDxfId="885" totalsRowDxfId="884"/>
    <tableColumn id="3" uniqueName="3" name="Intitule_Operation" queryTableFieldId="3" dataDxfId="883" totalsRowDxfId="882"/>
    <tableColumn id="43" uniqueName="43" name="'Coût total éligible'" totalsRowFunction="sum" queryTableFieldId="46" dataDxfId="881" totalsRowDxfId="880"/>
    <tableColumn id="39" uniqueName="39" name="Aide _x000a_publique" totalsRowFunction="sum" queryTableFieldId="42" dataDxfId="879" totalsRowDxfId="878">
      <calculatedColumnFormula>Tableau_Lancer_la_requête_à_partir_de_Excel_Files102567891113[[#This Row],[Aide Massif]]+Tableau_Lancer_la_requête_à_partir_de_Excel_Files102567891113[[#This Row],[''Autre Public'']]</calculatedColumnFormula>
    </tableColumn>
    <tableColumn id="81" uniqueName="81" name="Tx Aide publique" queryTableFieldId="92" dataDxfId="877" totalsRowDxfId="876">
      <calculatedColumnFormula>Tableau_Lancer_la_requête_à_partir_de_Excel_Files102567891113[[#This Row],[Aide 
publique]]/Tableau_Lancer_la_requête_à_partir_de_Excel_Files102567891113[[#This Row],[''Coût total éligible'']]</calculatedColumnFormula>
    </tableColumn>
    <tableColumn id="40" uniqueName="40" name="Aide Massif" totalsRowFunction="sum" queryTableFieldId="43" dataDxfId="875" totalsRowDxfId="874">
      <calculatedColumnFormula>Tableau_Lancer_la_requête_à_partir_de_Excel_Files102567891113[[#This Row],[''FEDER'']]+Tableau_Lancer_la_requête_à_partir_de_Excel_Files102567891113[[#This Row],[Total Etat]]+Tableau_Lancer_la_requête_à_partir_de_Excel_Files102567891113[[#This Row],[Total Régions]]+Tableau_Lancer_la_requête_à_partir_de_Excel_Files102567891113[[#This Row],[Total Dpts]]</calculatedColumnFormula>
    </tableColumn>
    <tableColumn id="82" uniqueName="82" name="Tx_x000a_Aide Massif" queryTableFieldId="93" dataDxfId="873" totalsRowDxfId="872">
      <calculatedColumnFormula>Tableau_Lancer_la_requête_à_partir_de_Excel_Files102567891113[[#This Row],[Aide Massif]]/Tableau_Lancer_la_requête_à_partir_de_Excel_Files102567891113[[#This Row],[''Coût total éligible'']]</calculatedColumnFormula>
    </tableColumn>
    <tableColumn id="75" uniqueName="75" name="'FEDER'" totalsRowFunction="sum" queryTableFieldId="78" dataDxfId="871" totalsRowDxfId="870"/>
    <tableColumn id="7" uniqueName="7" name="Total Etat" totalsRowFunction="sum" queryTableFieldId="99" dataDxfId="869" totalsRowDxfId="868">
      <calculatedColumnFormula>Tableau_Lancer_la_requête_à_partir_de_Excel_Files102567891113[[#This Row],[''FNADT '']]+Tableau_Lancer_la_requête_à_partir_de_Excel_Files102567891113[[#This Row],[''Agriculture'']]</calculatedColumnFormula>
    </tableColumn>
    <tableColumn id="11" uniqueName="11" name="'FNADT '" queryTableFieldId="104" dataDxfId="867" totalsRowDxfId="866"/>
    <tableColumn id="46" uniqueName="46" name="'Agriculture'" totalsRowFunction="sum" queryTableFieldId="49" dataDxfId="865" totalsRowDxfId="864"/>
    <tableColumn id="8" uniqueName="8" name="Total Régions" totalsRowFunction="sum" queryTableFieldId="100" dataDxfId="863" totalsRowDxfId="862">
      <calculatedColumnFormula>Tableau_Lancer_la_requête_à_partir_de_Excel_Files102567891113[[#This Row],[''ALPC'']]+Tableau_Lancer_la_requête_à_partir_de_Excel_Files102567891113[[#This Row],[''AURA'']]+Tableau_Lancer_la_requête_à_partir_de_Excel_Files102567891113[[#This Row],[''BFC'']]+Tableau_Lancer_la_requête_à_partir_de_Excel_Files102567891113[[#This Row],[''LRMP'']]</calculatedColumnFormula>
    </tableColumn>
    <tableColumn id="48" uniqueName="48" name="'ALPC'" totalsRowFunction="sum" queryTableFieldId="51" dataDxfId="861" totalsRowDxfId="860"/>
    <tableColumn id="49" uniqueName="49" name="'AURA'" totalsRowFunction="sum" queryTableFieldId="52" dataDxfId="859" totalsRowDxfId="858"/>
    <tableColumn id="78" uniqueName="78" name="'BFC'" totalsRowFunction="sum" queryTableFieldId="81" dataDxfId="857" totalsRowDxfId="856"/>
    <tableColumn id="79" uniqueName="79" name="'LRMP'" totalsRowFunction="sum" queryTableFieldId="82" dataDxfId="855" totalsRowDxfId="854"/>
    <tableColumn id="9" uniqueName="9" name="Total Dpts" totalsRowFunction="sum" queryTableFieldId="101" dataDxfId="853" totalsRowDxfId="852">
      <calculatedColumnFormula>Tableau_Lancer_la_requête_à_partir_de_Excel_Files102567891113[[#This Row],[''03'']]+Tableau_Lancer_la_requête_à_partir_de_Excel_Files102567891113[[#This Row],[''07'']]+Tableau_Lancer_la_requête_à_partir_de_Excel_Files102567891113[[#This Row],[''11'']]+Tableau_Lancer_la_requête_à_partir_de_Excel_Files102567891113[[#This Row],[''12'']]+Tableau_Lancer_la_requête_à_partir_de_Excel_Files102567891113[[#This Row],[''15'']]+Tableau_Lancer_la_requête_à_partir_de_Excel_Files102567891113[[#This Row],[''19'']]+Tableau_Lancer_la_requête_à_partir_de_Excel_Files102567891113[[#This Row],[''21'']]+Tableau_Lancer_la_requête_à_partir_de_Excel_Files102567891113[[#This Row],[''23'']]+Tableau_Lancer_la_requête_à_partir_de_Excel_Files102567891113[[#This Row],[''30'']]+Tableau_Lancer_la_requête_à_partir_de_Excel_Files102567891113[[#This Row],[''34'']]+Tableau_Lancer_la_requête_à_partir_de_Excel_Files102567891113[[#This Row],[''42'']]+Tableau_Lancer_la_requête_à_partir_de_Excel_Files102567891113[[#This Row],[''43'']]+Tableau_Lancer_la_requête_à_partir_de_Excel_Files102567891113[[#This Row],[''46'']]+Tableau_Lancer_la_requête_à_partir_de_Excel_Files102567891113[[#This Row],[''48'']]+Tableau_Lancer_la_requête_à_partir_de_Excel_Files102567891113[[#This Row],[''58'']]+Tableau_Lancer_la_requête_à_partir_de_Excel_Files102567891113[[#This Row],[''63'']]+Tableau_Lancer_la_requête_à_partir_de_Excel_Files102567891113[[#This Row],[''69'']]+Tableau_Lancer_la_requête_à_partir_de_Excel_Files102567891113[[#This Row],[''71'']]+Tableau_Lancer_la_requête_à_partir_de_Excel_Files102567891113[[#This Row],[''81'']]+Tableau_Lancer_la_requête_à_partir_de_Excel_Files102567891113[[#This Row],[''82'']]+Tableau_Lancer_la_requête_à_partir_de_Excel_Files102567891113[[#This Row],[''87'']]+Tableau_Lancer_la_requête_à_partir_de_Excel_Files102567891113[[#This Row],[''89'']]</calculatedColumnFormula>
    </tableColumn>
    <tableColumn id="53" uniqueName="53" name="'03'" totalsRowFunction="sum" queryTableFieldId="56" dataDxfId="851" totalsRowDxfId="850"/>
    <tableColumn id="54" uniqueName="54" name="'07'" totalsRowFunction="sum" queryTableFieldId="57" dataDxfId="849" totalsRowDxfId="848"/>
    <tableColumn id="55" uniqueName="55" name="'11'" totalsRowFunction="sum" queryTableFieldId="58" dataDxfId="847" totalsRowDxfId="846"/>
    <tableColumn id="56" uniqueName="56" name="'12'" totalsRowFunction="sum" queryTableFieldId="59" dataDxfId="845" totalsRowDxfId="844"/>
    <tableColumn id="57" uniqueName="57" name="'15'" totalsRowFunction="sum" queryTableFieldId="60" dataDxfId="843" totalsRowDxfId="842"/>
    <tableColumn id="58" uniqueName="58" name="'19'" totalsRowFunction="sum" queryTableFieldId="61" dataDxfId="841" totalsRowDxfId="840"/>
    <tableColumn id="59" uniqueName="59" name="'21'" totalsRowFunction="sum" queryTableFieldId="62" dataDxfId="839" totalsRowDxfId="838"/>
    <tableColumn id="80" uniqueName="80" name="'23'" totalsRowFunction="sum" queryTableFieldId="85" dataDxfId="837" totalsRowDxfId="836"/>
    <tableColumn id="60" uniqueName="60" name="'30'" totalsRowFunction="sum" queryTableFieldId="63" dataDxfId="835" totalsRowDxfId="834"/>
    <tableColumn id="61" uniqueName="61" name="'34'" totalsRowFunction="sum" queryTableFieldId="64" dataDxfId="833" totalsRowDxfId="832"/>
    <tableColumn id="62" uniqueName="62" name="'42'" totalsRowFunction="sum" queryTableFieldId="65" dataDxfId="831" totalsRowDxfId="830"/>
    <tableColumn id="63" uniqueName="63" name="'43'" totalsRowFunction="sum" queryTableFieldId="66" dataDxfId="829" totalsRowDxfId="828"/>
    <tableColumn id="64" uniqueName="64" name="'46'" totalsRowFunction="sum" queryTableFieldId="67" dataDxfId="827" totalsRowDxfId="826"/>
    <tableColumn id="65" uniqueName="65" name="'48'" totalsRowFunction="sum" queryTableFieldId="68" dataDxfId="825" totalsRowDxfId="824"/>
    <tableColumn id="66" uniqueName="66" name="'58'" totalsRowFunction="sum" queryTableFieldId="69" dataDxfId="823" totalsRowDxfId="822"/>
    <tableColumn id="67" uniqueName="67" name="'63'" totalsRowFunction="sum" queryTableFieldId="70" dataDxfId="821" totalsRowDxfId="820"/>
    <tableColumn id="68" uniqueName="68" name="'69'" totalsRowFunction="sum" queryTableFieldId="71" dataDxfId="819" totalsRowDxfId="818"/>
    <tableColumn id="69" uniqueName="69" name="'71'" totalsRowFunction="sum" queryTableFieldId="72" dataDxfId="817" totalsRowDxfId="816"/>
    <tableColumn id="70" uniqueName="70" name="'81'" totalsRowFunction="sum" queryTableFieldId="73" dataDxfId="815" totalsRowDxfId="814"/>
    <tableColumn id="71" uniqueName="71" name="'82'" totalsRowFunction="sum" queryTableFieldId="74" dataDxfId="813" totalsRowDxfId="812"/>
    <tableColumn id="72" uniqueName="72" name="'87'" totalsRowFunction="sum" queryTableFieldId="75" dataDxfId="811" totalsRowDxfId="810"/>
    <tableColumn id="73" uniqueName="73" name="'89'" totalsRowFunction="sum" queryTableFieldId="76" dataDxfId="809" totalsRowDxfId="808"/>
    <tableColumn id="76" uniqueName="76" name="'Autre Public'" totalsRowFunction="sum" queryTableFieldId="79" dataDxfId="807" totalsRowDxfId="806"/>
    <tableColumn id="35" uniqueName="35" name="Avis Cofimac" queryTableFieldId="35" dataDxfId="805" totalsRowDxfId="804"/>
    <tableColumn id="5" uniqueName="5" name="Date début operation" queryTableFieldId="107" dataDxfId="803" totalsRowDxfId="802"/>
    <tableColumn id="4" uniqueName="4" name="Avis Prog" queryTableFieldId="95" dataDxfId="801" totalsRowDxfId="800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13" name="Tableau_Lancer_la_requête_à_partir_de_Excel_Files10256789111214" displayName="Tableau_Lancer_la_requête_à_partir_de_Excel_Files10256789111214" ref="A19:AR35" tableType="queryTable" totalsRowCount="1" headerRowDxfId="799" dataDxfId="798" totalsRowDxfId="797">
  <autoFilter ref="A19:AR34"/>
  <sortState ref="A20:AR34">
    <sortCondition ref="A6:A18"/>
  </sortState>
  <tableColumns count="44">
    <tableColumn id="1" uniqueName="1" name="ID_Synergie" totalsRowLabel="Total" queryTableFieldId="1" dataDxfId="796" totalsRowDxfId="795"/>
    <tableColumn id="2" uniqueName="2" name="Nom_MO" totalsRowFunction="count" queryTableFieldId="2" dataDxfId="794" totalsRowDxfId="793"/>
    <tableColumn id="3" uniqueName="3" name="Intitule_Operation" queryTableFieldId="3" dataDxfId="792" totalsRowDxfId="791"/>
    <tableColumn id="43" uniqueName="43" name="Coût total Projet" totalsRowFunction="sum" queryTableFieldId="46" dataDxfId="790" totalsRowDxfId="789"/>
    <tableColumn id="39" uniqueName="39" name="Aide _x000a_publique" totalsRowFunction="sum" queryTableFieldId="42" dataDxfId="788" totalsRowDxfId="787">
      <calculatedColumnFormula>Tableau_Lancer_la_requête_à_partir_de_Excel_Files10256789111214[[#This Row],[Aide Massif]]+Tableau_Lancer_la_requête_à_partir_de_Excel_Files10256789111214[[#This Row],[''Autre Public'']]</calculatedColumnFormula>
    </tableColumn>
    <tableColumn id="81" uniqueName="81" name="Tx Aide publique" queryTableFieldId="92" dataDxfId="786" totalsRowDxfId="785">
      <calculatedColumnFormula>Tableau_Lancer_la_requête_à_partir_de_Excel_Files10256789111214[[#This Row],[Aide 
publique]]/Tableau_Lancer_la_requête_à_partir_de_Excel_Files10256789111214[[#This Row],[Coût total Projet]]</calculatedColumnFormula>
    </tableColumn>
    <tableColumn id="40" uniqueName="40" name="Aide Massif" totalsRowFunction="sum" queryTableFieldId="43" dataDxfId="784" totalsRowDxfId="783">
      <calculatedColumnFormula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calculatedColumnFormula>
    </tableColumn>
    <tableColumn id="82" uniqueName="82" name="Tx_x000a_Aide Massif" queryTableFieldId="93" dataDxfId="782" totalsRowDxfId="781">
      <calculatedColumnFormula>Tableau_Lancer_la_requête_à_partir_de_Excel_Files10256789111214[[#This Row],[Aide Massif]]/Tableau_Lancer_la_requête_à_partir_de_Excel_Files10256789111214[[#This Row],[Coût total Projet]]</calculatedColumnFormula>
    </tableColumn>
    <tableColumn id="75" uniqueName="75" name="'FEDER'" totalsRowFunction="sum" queryTableFieldId="78" dataDxfId="780" totalsRowDxfId="779"/>
    <tableColumn id="7" uniqueName="7" name="Total Etat" totalsRowFunction="sum" queryTableFieldId="99" dataDxfId="778" totalsRowDxfId="777">
      <calculatedColumnFormula>Tableau_Lancer_la_requête_à_partir_de_Excel_Files10256789111214[[#This Row],[''FNADT '']]+Tableau_Lancer_la_requête_à_partir_de_Excel_Files10256789111214[[#This Row],[''Agriculture'']]</calculatedColumnFormula>
    </tableColumn>
    <tableColumn id="11" uniqueName="11" name="'FNADT '" queryTableFieldId="104" dataDxfId="776" totalsRowDxfId="775"/>
    <tableColumn id="46" uniqueName="46" name="'Agriculture'" totalsRowFunction="sum" queryTableFieldId="49" dataDxfId="774" totalsRowDxfId="773"/>
    <tableColumn id="8" uniqueName="8" name="Total Régions" totalsRowFunction="sum" queryTableFieldId="100" dataDxfId="772" totalsRowDxfId="771">
      <calculatedColumnFormula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calculatedColumnFormula>
    </tableColumn>
    <tableColumn id="48" uniqueName="48" name="'ALPC'" totalsRowFunction="sum" queryTableFieldId="51" dataDxfId="770" totalsRowDxfId="769"/>
    <tableColumn id="49" uniqueName="49" name="'AURA'" totalsRowFunction="sum" queryTableFieldId="52" dataDxfId="768" totalsRowDxfId="767"/>
    <tableColumn id="78" uniqueName="78" name="'BFC'" totalsRowFunction="sum" queryTableFieldId="81" dataDxfId="766" totalsRowDxfId="765"/>
    <tableColumn id="79" uniqueName="79" name="'LRMP'" totalsRowFunction="sum" queryTableFieldId="82" dataDxfId="764" totalsRowDxfId="763"/>
    <tableColumn id="9" uniqueName="9" name="Total Dpts" totalsRowFunction="sum" queryTableFieldId="101" dataDxfId="762" totalsRowDxfId="761">
      <calculatedColumnFormula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calculatedColumnFormula>
    </tableColumn>
    <tableColumn id="53" uniqueName="53" name="'03'" totalsRowFunction="sum" queryTableFieldId="56" dataDxfId="760" totalsRowDxfId="759"/>
    <tableColumn id="54" uniqueName="54" name="'07'" totalsRowFunction="sum" queryTableFieldId="57" dataDxfId="758" totalsRowDxfId="757"/>
    <tableColumn id="55" uniqueName="55" name="'11'" totalsRowFunction="sum" queryTableFieldId="58" dataDxfId="756" totalsRowDxfId="755"/>
    <tableColumn id="56" uniqueName="56" name="'12'" totalsRowFunction="sum" queryTableFieldId="59" dataDxfId="754" totalsRowDxfId="753"/>
    <tableColumn id="57" uniqueName="57" name="'15'" totalsRowFunction="sum" queryTableFieldId="60" dataDxfId="752" totalsRowDxfId="751"/>
    <tableColumn id="58" uniqueName="58" name="'19'" totalsRowFunction="sum" queryTableFieldId="61" dataDxfId="750" totalsRowDxfId="749"/>
    <tableColumn id="59" uniqueName="59" name="'21'" totalsRowFunction="sum" queryTableFieldId="62" dataDxfId="748" totalsRowDxfId="747"/>
    <tableColumn id="80" uniqueName="80" name="'23'" totalsRowFunction="sum" queryTableFieldId="85" dataDxfId="746" totalsRowDxfId="745"/>
    <tableColumn id="60" uniqueName="60" name="'30'" totalsRowFunction="sum" queryTableFieldId="63" dataDxfId="744" totalsRowDxfId="743"/>
    <tableColumn id="61" uniqueName="61" name="'34'" totalsRowFunction="sum" queryTableFieldId="64" dataDxfId="742" totalsRowDxfId="741"/>
    <tableColumn id="62" uniqueName="62" name="'42'" totalsRowFunction="sum" queryTableFieldId="65" dataDxfId="740" totalsRowDxfId="739"/>
    <tableColumn id="63" uniqueName="63" name="'43'" totalsRowFunction="sum" queryTableFieldId="66" dataDxfId="738" totalsRowDxfId="737"/>
    <tableColumn id="64" uniqueName="64" name="'46'" totalsRowFunction="sum" queryTableFieldId="67" dataDxfId="736" totalsRowDxfId="735"/>
    <tableColumn id="65" uniqueName="65" name="'48'" totalsRowFunction="sum" queryTableFieldId="68" dataDxfId="734" totalsRowDxfId="733"/>
    <tableColumn id="66" uniqueName="66" name="'58'" totalsRowFunction="sum" queryTableFieldId="69" dataDxfId="732" totalsRowDxfId="731"/>
    <tableColumn id="67" uniqueName="67" name="'63'" totalsRowFunction="sum" queryTableFieldId="70" dataDxfId="730" totalsRowDxfId="729"/>
    <tableColumn id="68" uniqueName="68" name="'69'" totalsRowFunction="sum" queryTableFieldId="71" dataDxfId="728" totalsRowDxfId="727"/>
    <tableColumn id="69" uniqueName="69" name="'71'" totalsRowFunction="sum" queryTableFieldId="72" dataDxfId="726" totalsRowDxfId="725"/>
    <tableColumn id="70" uniqueName="70" name="'81'" totalsRowFunction="sum" queryTableFieldId="73" dataDxfId="724" totalsRowDxfId="723"/>
    <tableColumn id="71" uniqueName="71" name="'82'" totalsRowFunction="sum" queryTableFieldId="74" dataDxfId="722" totalsRowDxfId="721"/>
    <tableColumn id="72" uniqueName="72" name="'87'" totalsRowFunction="sum" queryTableFieldId="75" dataDxfId="720" totalsRowDxfId="719"/>
    <tableColumn id="73" uniqueName="73" name="'89'" totalsRowFunction="sum" queryTableFieldId="76" dataDxfId="718" totalsRowDxfId="717"/>
    <tableColumn id="76" uniqueName="76" name="'Autre Public'" totalsRowFunction="sum" queryTableFieldId="79" dataDxfId="716" totalsRowDxfId="715"/>
    <tableColumn id="35" uniqueName="35" name="Avis Cofimac" queryTableFieldId="35" dataDxfId="714" totalsRowDxfId="713"/>
    <tableColumn id="5" uniqueName="5" name="Date début operation" queryTableFieldId="107" dataDxfId="712" totalsRowDxfId="711"/>
    <tableColumn id="4" uniqueName="4" name="Avis Prog" queryTableFieldId="95" dataDxfId="710" totalsRowDxfId="709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" name="Tableau_Lancer_la_requête_à_partir_de_Excel_Files102" displayName="Tableau_Lancer_la_requête_à_partir_de_Excel_Files102" ref="A6:AR10" tableType="queryTable" totalsRowCount="1" headerRowDxfId="678" dataDxfId="677" totalsRowDxfId="676">
  <autoFilter ref="A6:AR9"/>
  <sortState ref="A7:AR7">
    <sortCondition ref="A6:A18"/>
  </sortState>
  <tableColumns count="44">
    <tableColumn id="1" uniqueName="1" name="ID_Synergie" totalsRowLabel="Total" queryTableFieldId="1" dataDxfId="675" totalsRowDxfId="674"/>
    <tableColumn id="2" uniqueName="2" name="Nom_MO" totalsRowFunction="count" queryTableFieldId="2" dataDxfId="673" totalsRowDxfId="672"/>
    <tableColumn id="3" uniqueName="3" name="Intitule_Operation" queryTableFieldId="3" dataDxfId="671" totalsRowDxfId="670"/>
    <tableColumn id="43" uniqueName="43" name="'Coût total éligible'" totalsRowFunction="sum" queryTableFieldId="46" dataDxfId="669" totalsRowDxfId="668"/>
    <tableColumn id="39" uniqueName="39" name="Aide _x000a_publique" totalsRowFunction="sum" queryTableFieldId="42" dataDxfId="667" totalsRowDxfId="666">
      <calculatedColumnFormula>Tableau_Lancer_la_requête_à_partir_de_Excel_Files102[[#This Row],[Aide Massif]]+Tableau_Lancer_la_requête_à_partir_de_Excel_Files102[[#This Row],[''Autre Public'']]</calculatedColumnFormula>
    </tableColumn>
    <tableColumn id="81" uniqueName="81" name="Tx Aide publique" queryTableFieldId="92" dataDxfId="665" totalsRowDxfId="664">
      <calculatedColumnFormula>Tableau_Lancer_la_requête_à_partir_de_Excel_Files102[[#This Row],[Aide 
publique]]/Tableau_Lancer_la_requête_à_partir_de_Excel_Files102[[#This Row],[''Coût total éligible'']]</calculatedColumnFormula>
    </tableColumn>
    <tableColumn id="40" uniqueName="40" name="Aide Massif" totalsRowFunction="sum" queryTableFieldId="43" dataDxfId="663" totalsRowDxfId="662">
      <calculatedColumnFormula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calculatedColumnFormula>
    </tableColumn>
    <tableColumn id="82" uniqueName="82" name="Tx_x000a_Aide Massif" queryTableFieldId="93" dataDxfId="661" totalsRowDxfId="660">
      <calculatedColumnFormula>Tableau_Lancer_la_requête_à_partir_de_Excel_Files102[[#This Row],[Aide Massif]]/Tableau_Lancer_la_requête_à_partir_de_Excel_Files102[[#This Row],[''Coût total éligible'']]</calculatedColumnFormula>
    </tableColumn>
    <tableColumn id="75" uniqueName="75" name="'FEDER'" totalsRowFunction="sum" queryTableFieldId="78" dataDxfId="659" totalsRowDxfId="658"/>
    <tableColumn id="7" uniqueName="7" name="Total Etat" totalsRowFunction="sum" queryTableFieldId="99" dataDxfId="657" totalsRowDxfId="656">
      <calculatedColumnFormula>Tableau_Lancer_la_requête_à_partir_de_Excel_Files102[[#This Row],[''FNADT '']]+Tableau_Lancer_la_requête_à_partir_de_Excel_Files102[[#This Row],[''Agriculture'']]</calculatedColumnFormula>
    </tableColumn>
    <tableColumn id="10" uniqueName="10" name="'FNADT '" queryTableFieldId="102" dataDxfId="655" totalsRowDxfId="654"/>
    <tableColumn id="46" uniqueName="46" name="'Agriculture'" totalsRowFunction="sum" queryTableFieldId="49" dataDxfId="653" totalsRowDxfId="652"/>
    <tableColumn id="8" uniqueName="8" name="Total Régions" totalsRowFunction="sum" queryTableFieldId="100" dataDxfId="651" totalsRowDxfId="650">
      <calculatedColumnFormula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calculatedColumnFormula>
    </tableColumn>
    <tableColumn id="48" uniqueName="48" name="'ALPC'" totalsRowFunction="sum" queryTableFieldId="51" dataDxfId="649" totalsRowDxfId="648"/>
    <tableColumn id="49" uniqueName="49" name="'AURA'" totalsRowFunction="sum" queryTableFieldId="52" dataDxfId="647" totalsRowDxfId="646"/>
    <tableColumn id="78" uniqueName="78" name="'BFC'" totalsRowFunction="sum" queryTableFieldId="81" dataDxfId="645" totalsRowDxfId="644"/>
    <tableColumn id="79" uniqueName="79" name="'LRMP'" totalsRowFunction="sum" queryTableFieldId="82" dataDxfId="643" totalsRowDxfId="642"/>
    <tableColumn id="9" uniqueName="9" name="Total Dpts" totalsRowFunction="sum" queryTableFieldId="101" dataDxfId="641" totalsRowDxfId="640">
      <calculatedColumnFormula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calculatedColumnFormula>
    </tableColumn>
    <tableColumn id="53" uniqueName="53" name="'03'" totalsRowFunction="sum" queryTableFieldId="56" dataDxfId="639" totalsRowDxfId="638"/>
    <tableColumn id="54" uniqueName="54" name="'07'" totalsRowFunction="sum" queryTableFieldId="57" dataDxfId="637" totalsRowDxfId="636"/>
    <tableColumn id="55" uniqueName="55" name="'11'" totalsRowFunction="sum" queryTableFieldId="58" dataDxfId="635" totalsRowDxfId="634"/>
    <tableColumn id="56" uniqueName="56" name="'12'" totalsRowFunction="sum" queryTableFieldId="59" dataDxfId="633" totalsRowDxfId="632"/>
    <tableColumn id="57" uniqueName="57" name="'15'" totalsRowFunction="sum" queryTableFieldId="60" dataDxfId="631" totalsRowDxfId="630"/>
    <tableColumn id="58" uniqueName="58" name="'19'" totalsRowFunction="sum" queryTableFieldId="61" dataDxfId="629" totalsRowDxfId="628"/>
    <tableColumn id="59" uniqueName="59" name="'21'" totalsRowFunction="sum" queryTableFieldId="62" dataDxfId="627" totalsRowDxfId="626"/>
    <tableColumn id="80" uniqueName="80" name="'23'" totalsRowFunction="sum" queryTableFieldId="85" dataDxfId="625" totalsRowDxfId="624"/>
    <tableColumn id="60" uniqueName="60" name="'30'" totalsRowFunction="sum" queryTableFieldId="63" dataDxfId="623" totalsRowDxfId="622"/>
    <tableColumn id="61" uniqueName="61" name="'34'" totalsRowFunction="sum" queryTableFieldId="64" dataDxfId="621" totalsRowDxfId="620"/>
    <tableColumn id="62" uniqueName="62" name="'42'" totalsRowFunction="sum" queryTableFieldId="65" dataDxfId="619" totalsRowDxfId="618"/>
    <tableColumn id="63" uniqueName="63" name="'43'" totalsRowFunction="sum" queryTableFieldId="66" dataDxfId="617" totalsRowDxfId="616"/>
    <tableColumn id="64" uniqueName="64" name="'46'" totalsRowFunction="sum" queryTableFieldId="67" dataDxfId="615" totalsRowDxfId="614"/>
    <tableColumn id="65" uniqueName="65" name="'48'" totalsRowFunction="sum" queryTableFieldId="68" dataDxfId="613" totalsRowDxfId="612"/>
    <tableColumn id="66" uniqueName="66" name="'58'" totalsRowFunction="sum" queryTableFieldId="69" dataDxfId="611" totalsRowDxfId="610"/>
    <tableColumn id="67" uniqueName="67" name="'63'" totalsRowFunction="sum" queryTableFieldId="70" dataDxfId="609" totalsRowDxfId="608"/>
    <tableColumn id="68" uniqueName="68" name="'69'" totalsRowFunction="sum" queryTableFieldId="71" dataDxfId="607" totalsRowDxfId="606"/>
    <tableColumn id="69" uniqueName="69" name="'71'" totalsRowFunction="sum" queryTableFieldId="72" dataDxfId="605" totalsRowDxfId="604"/>
    <tableColumn id="70" uniqueName="70" name="'81'" totalsRowFunction="sum" queryTableFieldId="73" dataDxfId="603" totalsRowDxfId="602"/>
    <tableColumn id="71" uniqueName="71" name="'82'" totalsRowFunction="sum" queryTableFieldId="74" dataDxfId="601" totalsRowDxfId="600"/>
    <tableColumn id="72" uniqueName="72" name="'87'" totalsRowFunction="sum" queryTableFieldId="75" dataDxfId="599" totalsRowDxfId="598"/>
    <tableColumn id="73" uniqueName="73" name="'89'" totalsRowFunction="sum" queryTableFieldId="76" dataDxfId="597" totalsRowDxfId="596"/>
    <tableColumn id="76" uniqueName="76" name="'Autre Public'" totalsRowFunction="sum" queryTableFieldId="79" dataDxfId="595" totalsRowDxfId="594"/>
    <tableColumn id="35" uniqueName="35" name="Avis Cofimac" queryTableFieldId="35" dataDxfId="593" totalsRowDxfId="592"/>
    <tableColumn id="5" uniqueName="5" name="Date début operation" queryTableFieldId="105" dataDxfId="591" totalsRowDxfId="590"/>
    <tableColumn id="4" uniqueName="4" name="Avis Prog" queryTableFieldId="104" dataDxfId="589" totalsRowDxfId="588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4" name="Tableau_Lancer_la_requête_à_partir_de_Excel_Files1025" displayName="Tableau_Lancer_la_requête_à_partir_de_Excel_Files1025" ref="A6:AQ8" tableType="queryTable" insertRow="1" totalsRowCount="1" headerRowDxfId="575" dataDxfId="574" totalsRowDxfId="573">
  <autoFilter ref="A6:AQ7"/>
  <sortState ref="A7:AQ7">
    <sortCondition ref="A6:A18"/>
  </sortState>
  <tableColumns count="43">
    <tableColumn id="1" uniqueName="1" name="ID_Synergie" totalsRowLabel="Total" queryTableFieldId="1" dataDxfId="572" totalsRowDxfId="571"/>
    <tableColumn id="2" uniqueName="2" name="Nom_MO" totalsRowFunction="count" queryTableFieldId="2" dataDxfId="570" totalsRowDxfId="569"/>
    <tableColumn id="3" uniqueName="3" name="Intitule_Operation" queryTableFieldId="3" dataDxfId="568" totalsRowDxfId="567"/>
    <tableColumn id="43" uniqueName="43" name="'Coût total éligible'" totalsRowFunction="sum" queryTableFieldId="46" dataDxfId="566" totalsRowDxfId="565"/>
    <tableColumn id="39" uniqueName="39" name="Aide _x000a_publique" totalsRowFunction="sum" queryTableFieldId="42" dataDxfId="564" totalsRowDxfId="563">
      <calculatedColumnFormula>Tableau_Lancer_la_requête_à_partir_de_Excel_Files1025[[#This Row],[Aide Massif]]+Tableau_Lancer_la_requête_à_partir_de_Excel_Files1025[[#This Row],[''Autre Public'']]</calculatedColumnFormula>
    </tableColumn>
    <tableColumn id="81" uniqueName="81" name="Tx Aide publique" queryTableFieldId="92" dataDxfId="562" totalsRowDxfId="561">
      <calculatedColumnFormula>Tableau_Lancer_la_requête_à_partir_de_Excel_Files1025[[#This Row],[Aide 
publique]]/Tableau_Lancer_la_requête_à_partir_de_Excel_Files1025[[#This Row],[''Coût total éligible'']]</calculatedColumnFormula>
    </tableColumn>
    <tableColumn id="40" uniqueName="40" name="Aide Massif" totalsRowFunction="sum" queryTableFieldId="43" dataDxfId="560" totalsRowDxfId="559">
      <calculatedColumnFormula>Tableau_Lancer_la_requête_à_partir_de_Excel_Files1025[[#This Row],[''FEDER'']]+Tableau_Lancer_la_requête_à_partir_de_Excel_Files1025[[#This Row],[Total Etat]]+Tableau_Lancer_la_requête_à_partir_de_Excel_Files1025[[#This Row],[Total Régions]]+Tableau_Lancer_la_requête_à_partir_de_Excel_Files1025[[#This Row],[Total Dpts]]</calculatedColumnFormula>
    </tableColumn>
    <tableColumn id="82" uniqueName="82" name="Tx_x000a_Aide Massif" queryTableFieldId="93" dataDxfId="558" totalsRowDxfId="557">
      <calculatedColumnFormula>Tableau_Lancer_la_requête_à_partir_de_Excel_Files1025[[#This Row],[Aide Massif]]/Tableau_Lancer_la_requête_à_partir_de_Excel_Files1025[[#This Row],[''Coût total éligible'']]</calculatedColumnFormula>
    </tableColumn>
    <tableColumn id="75" uniqueName="75" name="'FEDER'" totalsRowFunction="sum" queryTableFieldId="78" dataDxfId="556" totalsRowDxfId="555"/>
    <tableColumn id="7" uniqueName="7" name="Total Etat" totalsRowFunction="sum" queryTableFieldId="99" dataDxfId="554" totalsRowDxfId="553">
      <calculatedColumnFormula>Tableau_Lancer_la_requête_à_partir_de_Excel_Files1025[[#This Row],[''FNADT '']]+Tableau_Lancer_la_requête_à_partir_de_Excel_Files1025[[#This Row],[''Agriculture'']]</calculatedColumnFormula>
    </tableColumn>
    <tableColumn id="11" uniqueName="11" name="'FNADT '" queryTableFieldId="104" dataDxfId="552" totalsRowDxfId="551"/>
    <tableColumn id="46" uniqueName="46" name="'Agriculture'" totalsRowFunction="sum" queryTableFieldId="49" dataDxfId="550" totalsRowDxfId="549"/>
    <tableColumn id="8" uniqueName="8" name="Total Régions" totalsRowFunction="sum" queryTableFieldId="100" dataDxfId="548" totalsRowDxfId="547">
      <calculatedColumnFormula>Tableau_Lancer_la_requête_à_partir_de_Excel_Files1025[[#This Row],[''ALPC'']]+Tableau_Lancer_la_requête_à_partir_de_Excel_Files1025[[#This Row],[''AURA'']]+Tableau_Lancer_la_requête_à_partir_de_Excel_Files1025[[#This Row],[''BFC'']]+Tableau_Lancer_la_requête_à_partir_de_Excel_Files1025[[#This Row],[''LRMP'']]</calculatedColumnFormula>
    </tableColumn>
    <tableColumn id="48" uniqueName="48" name="'ALPC'" totalsRowFunction="sum" queryTableFieldId="51" dataDxfId="546" totalsRowDxfId="545"/>
    <tableColumn id="49" uniqueName="49" name="'AURA'" totalsRowFunction="sum" queryTableFieldId="52" dataDxfId="544" totalsRowDxfId="543"/>
    <tableColumn id="78" uniqueName="78" name="'BFC'" totalsRowFunction="sum" queryTableFieldId="81" dataDxfId="542" totalsRowDxfId="541"/>
    <tableColumn id="79" uniqueName="79" name="'LRMP'" totalsRowFunction="sum" queryTableFieldId="82" dataDxfId="540" totalsRowDxfId="539"/>
    <tableColumn id="9" uniqueName="9" name="Total Dpts" totalsRowFunction="sum" queryTableFieldId="101" dataDxfId="538" totalsRowDxfId="537">
      <calculatedColumnFormula>Tableau_Lancer_la_requête_à_partir_de_Excel_Files1025[[#This Row],[''03'']]+Tableau_Lancer_la_requête_à_partir_de_Excel_Files1025[[#This Row],[''07'']]+Tableau_Lancer_la_requête_à_partir_de_Excel_Files1025[[#This Row],[''11'']]+Tableau_Lancer_la_requête_à_partir_de_Excel_Files1025[[#This Row],[''12'']]+Tableau_Lancer_la_requête_à_partir_de_Excel_Files1025[[#This Row],[''15'']]+Tableau_Lancer_la_requête_à_partir_de_Excel_Files1025[[#This Row],[''19'']]+Tableau_Lancer_la_requête_à_partir_de_Excel_Files1025[[#This Row],[''21'']]+Tableau_Lancer_la_requête_à_partir_de_Excel_Files1025[[#This Row],[''23'']]+Tableau_Lancer_la_requête_à_partir_de_Excel_Files1025[[#This Row],[''30'']]+Tableau_Lancer_la_requête_à_partir_de_Excel_Files1025[[#This Row],[''34'']]+Tableau_Lancer_la_requête_à_partir_de_Excel_Files1025[[#This Row],[''42'']]+Tableau_Lancer_la_requête_à_partir_de_Excel_Files1025[[#This Row],[''43'']]+Tableau_Lancer_la_requête_à_partir_de_Excel_Files1025[[#This Row],[''46'']]+Tableau_Lancer_la_requête_à_partir_de_Excel_Files1025[[#This Row],[''48'']]+Tableau_Lancer_la_requête_à_partir_de_Excel_Files1025[[#This Row],[''58'']]+Tableau_Lancer_la_requête_à_partir_de_Excel_Files1025[[#This Row],[''63'']]+Tableau_Lancer_la_requête_à_partir_de_Excel_Files1025[[#This Row],[''69'']]+Tableau_Lancer_la_requête_à_partir_de_Excel_Files1025[[#This Row],[''71'']]+Tableau_Lancer_la_requête_à_partir_de_Excel_Files1025[[#This Row],[''81'']]+Tableau_Lancer_la_requête_à_partir_de_Excel_Files1025[[#This Row],[''82'']]+Tableau_Lancer_la_requête_à_partir_de_Excel_Files1025[[#This Row],[''87'']]+Tableau_Lancer_la_requête_à_partir_de_Excel_Files1025[[#This Row],[''89'']]</calculatedColumnFormula>
    </tableColumn>
    <tableColumn id="53" uniqueName="53" name="'03'" totalsRowFunction="sum" queryTableFieldId="56" dataDxfId="536" totalsRowDxfId="535"/>
    <tableColumn id="54" uniqueName="54" name="'07'" totalsRowFunction="sum" queryTableFieldId="57" dataDxfId="534" totalsRowDxfId="533"/>
    <tableColumn id="55" uniqueName="55" name="'11'" totalsRowFunction="sum" queryTableFieldId="58" dataDxfId="532" totalsRowDxfId="531"/>
    <tableColumn id="56" uniqueName="56" name="'12'" totalsRowFunction="sum" queryTableFieldId="59" dataDxfId="530" totalsRowDxfId="529"/>
    <tableColumn id="57" uniqueName="57" name="'15'" totalsRowFunction="sum" queryTableFieldId="60" dataDxfId="528" totalsRowDxfId="527"/>
    <tableColumn id="58" uniqueName="58" name="'19'" totalsRowFunction="sum" queryTableFieldId="61" dataDxfId="526" totalsRowDxfId="525"/>
    <tableColumn id="59" uniqueName="59" name="'21'" totalsRowFunction="sum" queryTableFieldId="62" dataDxfId="524" totalsRowDxfId="523"/>
    <tableColumn id="80" uniqueName="80" name="'23'" totalsRowFunction="sum" queryTableFieldId="85" dataDxfId="522" totalsRowDxfId="521"/>
    <tableColumn id="60" uniqueName="60" name="'30'" totalsRowFunction="sum" queryTableFieldId="63" dataDxfId="520" totalsRowDxfId="519"/>
    <tableColumn id="61" uniqueName="61" name="'34'" totalsRowFunction="sum" queryTableFieldId="64" dataDxfId="518" totalsRowDxfId="517"/>
    <tableColumn id="62" uniqueName="62" name="'42'" totalsRowFunction="sum" queryTableFieldId="65" dataDxfId="516" totalsRowDxfId="515"/>
    <tableColumn id="63" uniqueName="63" name="'43'" totalsRowFunction="sum" queryTableFieldId="66" dataDxfId="514" totalsRowDxfId="513"/>
    <tableColumn id="64" uniqueName="64" name="'46'" totalsRowFunction="sum" queryTableFieldId="67" dataDxfId="512" totalsRowDxfId="511"/>
    <tableColumn id="65" uniqueName="65" name="'48'" totalsRowFunction="sum" queryTableFieldId="68" dataDxfId="510" totalsRowDxfId="509"/>
    <tableColumn id="66" uniqueName="66" name="'58'" totalsRowFunction="sum" queryTableFieldId="69" dataDxfId="508" totalsRowDxfId="507"/>
    <tableColumn id="67" uniqueName="67" name="'63'" totalsRowFunction="sum" queryTableFieldId="70" dataDxfId="506" totalsRowDxfId="505"/>
    <tableColumn id="68" uniqueName="68" name="'69'" totalsRowFunction="sum" queryTableFieldId="71" dataDxfId="504" totalsRowDxfId="503"/>
    <tableColumn id="69" uniqueName="69" name="'71'" totalsRowFunction="sum" queryTableFieldId="72" dataDxfId="502" totalsRowDxfId="501"/>
    <tableColumn id="70" uniqueName="70" name="'81'" totalsRowFunction="sum" queryTableFieldId="73" dataDxfId="500" totalsRowDxfId="499"/>
    <tableColumn id="71" uniqueName="71" name="'82'" totalsRowFunction="sum" queryTableFieldId="74" dataDxfId="498" totalsRowDxfId="497"/>
    <tableColumn id="72" uniqueName="72" name="'87'" totalsRowFunction="sum" queryTableFieldId="75" dataDxfId="496" totalsRowDxfId="495"/>
    <tableColumn id="73" uniqueName="73" name="'89'" totalsRowFunction="sum" queryTableFieldId="76" dataDxfId="494" totalsRowDxfId="493"/>
    <tableColumn id="76" uniqueName="76" name="'Autre Public'" totalsRowFunction="sum" queryTableFieldId="79" dataDxfId="492" totalsRowDxfId="491"/>
    <tableColumn id="35" uniqueName="35" name="Avis Cofimac" queryTableFieldId="35" dataDxfId="490" totalsRowDxfId="489"/>
    <tableColumn id="4" uniqueName="4" name="Avis Prog" queryTableFieldId="95" dataDxfId="488" totalsRowDxfId="487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7" name="Tableau_Lancer_la_requête_à_partir_de_Excel_Files1025678" displayName="Tableau_Lancer_la_requête_à_partir_de_Excel_Files1025678" ref="A6:AR20" tableType="queryTable" totalsRowCount="1" headerRowDxfId="452" dataDxfId="451" totalsRowDxfId="450">
  <autoFilter ref="A6:AR19"/>
  <sortState ref="A7:AR19">
    <sortCondition ref="A6:A18"/>
  </sortState>
  <tableColumns count="44">
    <tableColumn id="1" uniqueName="1" name="ID_Synergie" totalsRowLabel="Total" queryTableFieldId="1" dataDxfId="449" totalsRowDxfId="448"/>
    <tableColumn id="2" uniqueName="2" name="Nom_MO" totalsRowFunction="count" queryTableFieldId="2" dataDxfId="447" totalsRowDxfId="446"/>
    <tableColumn id="3" uniqueName="3" name="Intitule_Operation" queryTableFieldId="3" dataDxfId="445" totalsRowDxfId="444"/>
    <tableColumn id="43" uniqueName="43" name="'Coût total éligible'" totalsRowFunction="sum" queryTableFieldId="46" dataDxfId="443" totalsRowDxfId="442"/>
    <tableColumn id="39" uniqueName="39" name="Aide _x000a_publique" totalsRowFunction="sum" queryTableFieldId="42" dataDxfId="441" totalsRowDxfId="440">
      <calculatedColumnFormula>Tableau_Lancer_la_requête_à_partir_de_Excel_Files1025678[[#This Row],[Aide Massif]]+Tableau_Lancer_la_requête_à_partir_de_Excel_Files1025678[[#This Row],[''Autre Public'']]</calculatedColumnFormula>
    </tableColumn>
    <tableColumn id="81" uniqueName="81" name="Tx Aide publique" queryTableFieldId="92" dataDxfId="439" totalsRowDxfId="438">
      <calculatedColumnFormula>Tableau_Lancer_la_requête_à_partir_de_Excel_Files1025678[[#This Row],[Aide 
publique]]/Tableau_Lancer_la_requête_à_partir_de_Excel_Files1025678[[#This Row],[''Coût total éligible'']]</calculatedColumnFormula>
    </tableColumn>
    <tableColumn id="40" uniqueName="40" name="Aide Massif" totalsRowFunction="sum" queryTableFieldId="43" dataDxfId="437" totalsRowDxfId="436">
      <calculatedColumnFormula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calculatedColumnFormula>
    </tableColumn>
    <tableColumn id="82" uniqueName="82" name="Tx_x000a_Aide Massif" queryTableFieldId="93" dataDxfId="435" totalsRowDxfId="434">
      <calculatedColumnFormula>Tableau_Lancer_la_requête_à_partir_de_Excel_Files1025678[[#This Row],[Aide Massif]]/Tableau_Lancer_la_requête_à_partir_de_Excel_Files1025678[[#This Row],[''Coût total éligible'']]</calculatedColumnFormula>
    </tableColumn>
    <tableColumn id="75" uniqueName="75" name="'FEDER'" totalsRowFunction="sum" queryTableFieldId="78" dataDxfId="433" totalsRowDxfId="432"/>
    <tableColumn id="7" uniqueName="7" name="Total Etat" totalsRowFunction="sum" queryTableFieldId="99" dataDxfId="431" totalsRowDxfId="430">
      <calculatedColumnFormula>Tableau_Lancer_la_requête_à_partir_de_Excel_Files1025678[[#This Row],[''FNADT '']]+Tableau_Lancer_la_requête_à_partir_de_Excel_Files1025678[[#This Row],[''Agriculture'']]</calculatedColumnFormula>
    </tableColumn>
    <tableColumn id="11" uniqueName="11" name="'FNADT '" queryTableFieldId="104" dataDxfId="429" totalsRowDxfId="428"/>
    <tableColumn id="46" uniqueName="46" name="'Agriculture'" totalsRowFunction="sum" queryTableFieldId="49" dataDxfId="427" totalsRowDxfId="426"/>
    <tableColumn id="8" uniqueName="8" name="Total Régions" totalsRowFunction="sum" queryTableFieldId="100" dataDxfId="425" totalsRowDxfId="424">
      <calculatedColumnFormula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calculatedColumnFormula>
    </tableColumn>
    <tableColumn id="48" uniqueName="48" name="'ALPC'" totalsRowFunction="sum" queryTableFieldId="51" dataDxfId="423" totalsRowDxfId="422"/>
    <tableColumn id="49" uniqueName="49" name="'AURA'" totalsRowFunction="sum" queryTableFieldId="52" dataDxfId="421" totalsRowDxfId="420"/>
    <tableColumn id="78" uniqueName="78" name="'BFC'" totalsRowFunction="sum" queryTableFieldId="81" dataDxfId="419" totalsRowDxfId="418"/>
    <tableColumn id="79" uniqueName="79" name="'LRMP'" totalsRowFunction="sum" queryTableFieldId="82" dataDxfId="417" totalsRowDxfId="416"/>
    <tableColumn id="9" uniqueName="9" name="Total Dpts" totalsRowFunction="sum" queryTableFieldId="101" dataDxfId="415" totalsRowDxfId="414">
      <calculatedColumnFormula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calculatedColumnFormula>
    </tableColumn>
    <tableColumn id="53" uniqueName="53" name="'03'" totalsRowFunction="sum" queryTableFieldId="56" dataDxfId="413" totalsRowDxfId="412"/>
    <tableColumn id="54" uniqueName="54" name="'07'" totalsRowFunction="sum" queryTableFieldId="57" dataDxfId="411" totalsRowDxfId="410"/>
    <tableColumn id="55" uniqueName="55" name="'11'" totalsRowFunction="sum" queryTableFieldId="58" dataDxfId="409" totalsRowDxfId="408"/>
    <tableColumn id="56" uniqueName="56" name="'12'" totalsRowFunction="sum" queryTableFieldId="59" dataDxfId="407" totalsRowDxfId="406"/>
    <tableColumn id="57" uniqueName="57" name="'15'" totalsRowFunction="sum" queryTableFieldId="60" dataDxfId="405" totalsRowDxfId="404"/>
    <tableColumn id="58" uniqueName="58" name="'19'" totalsRowFunction="sum" queryTableFieldId="61" dataDxfId="403" totalsRowDxfId="402"/>
    <tableColumn id="59" uniqueName="59" name="'21'" totalsRowFunction="sum" queryTableFieldId="62" dataDxfId="401" totalsRowDxfId="400"/>
    <tableColumn id="80" uniqueName="80" name="'23'" totalsRowFunction="sum" queryTableFieldId="85" dataDxfId="399" totalsRowDxfId="398"/>
    <tableColumn id="60" uniqueName="60" name="'30'" totalsRowFunction="sum" queryTableFieldId="63" dataDxfId="397" totalsRowDxfId="396"/>
    <tableColumn id="61" uniqueName="61" name="'34'" totalsRowFunction="sum" queryTableFieldId="64" dataDxfId="395" totalsRowDxfId="394"/>
    <tableColumn id="62" uniqueName="62" name="'42'" totalsRowFunction="sum" queryTableFieldId="65" dataDxfId="393" totalsRowDxfId="392"/>
    <tableColumn id="63" uniqueName="63" name="'43'" totalsRowFunction="sum" queryTableFieldId="66" dataDxfId="391" totalsRowDxfId="390"/>
    <tableColumn id="64" uniqueName="64" name="'46'" totalsRowFunction="sum" queryTableFieldId="67" dataDxfId="389" totalsRowDxfId="388"/>
    <tableColumn id="65" uniqueName="65" name="'48'" totalsRowFunction="sum" queryTableFieldId="68" dataDxfId="387" totalsRowDxfId="386"/>
    <tableColumn id="66" uniqueName="66" name="'58'" totalsRowFunction="sum" queryTableFieldId="69" dataDxfId="385" totalsRowDxfId="384"/>
    <tableColumn id="67" uniqueName="67" name="'63'" totalsRowFunction="sum" queryTableFieldId="70" dataDxfId="383" totalsRowDxfId="382"/>
    <tableColumn id="68" uniqueName="68" name="'69'" totalsRowFunction="sum" queryTableFieldId="71" dataDxfId="381" totalsRowDxfId="380"/>
    <tableColumn id="69" uniqueName="69" name="'71'" totalsRowFunction="sum" queryTableFieldId="72" dataDxfId="379" totalsRowDxfId="378"/>
    <tableColumn id="70" uniqueName="70" name="'81'" totalsRowFunction="sum" queryTableFieldId="73" dataDxfId="377" totalsRowDxfId="376"/>
    <tableColumn id="71" uniqueName="71" name="'82'" totalsRowFunction="sum" queryTableFieldId="74" dataDxfId="375" totalsRowDxfId="374"/>
    <tableColumn id="72" uniqueName="72" name="'87'" totalsRowFunction="sum" queryTableFieldId="75" dataDxfId="373" totalsRowDxfId="372"/>
    <tableColumn id="73" uniqueName="73" name="'89'" totalsRowFunction="sum" queryTableFieldId="76" dataDxfId="371" totalsRowDxfId="370"/>
    <tableColumn id="76" uniqueName="76" name="'Autre Public'" totalsRowFunction="sum" queryTableFieldId="79" dataDxfId="369" totalsRowDxfId="368"/>
    <tableColumn id="35" uniqueName="35" name="Avis Cofimac" queryTableFieldId="35" dataDxfId="367" totalsRowDxfId="366"/>
    <tableColumn id="5" uniqueName="5" name="Date début operation" queryTableFieldId="107" dataDxfId="365" totalsRowDxfId="364"/>
    <tableColumn id="4" uniqueName="4" name="Avis Prog" queryTableFieldId="95" dataDxfId="363" totalsRowDxfId="36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" name="Tableau_Lancer_la_requête_à_partir_de_Excel_Files3" displayName="Tableau_Lancer_la_requête_à_partir_de_Excel_Files3" ref="A6:AT10" tableType="queryTable" totalsRowCount="1" headerRowDxfId="341" dataDxfId="340" totalsRowDxfId="339">
  <autoFilter ref="A6:AT9"/>
  <sortState ref="A7:AT9">
    <sortCondition ref="C6:C18"/>
  </sortState>
  <tableColumns count="46">
    <tableColumn id="1" uniqueName="1" name="Programme" totalsRowLabel="Total" queryTableFieldId="1" dataDxfId="338" totalsRowDxfId="337"/>
    <tableColumn id="50" uniqueName="50" name="ID_dossier GIP" queryTableFieldId="84" dataDxfId="336" totalsRowDxfId="335"/>
    <tableColumn id="43" uniqueName="43" name="ID_Synergie" totalsRowFunction="count" queryTableFieldId="48" dataDxfId="334" totalsRowDxfId="333"/>
    <tableColumn id="2" uniqueName="2" name="Nom_MO" queryTableFieldId="2" dataDxfId="332" totalsRowDxfId="331"/>
    <tableColumn id="3" uniqueName="3" name="Intitule_Operation" queryTableFieldId="3" dataDxfId="330" totalsRowDxfId="329"/>
    <tableColumn id="4" uniqueName="4" name="Coût total déposé" totalsRowFunction="sum" queryTableFieldId="4" dataDxfId="328" totalsRowDxfId="327"/>
    <tableColumn id="12" uniqueName="12" name="Coût total Eligible FEDER" queryTableFieldId="128" dataDxfId="326" totalsRowDxfId="325"/>
    <tableColumn id="13" uniqueName="13" name="Coût total" totalsRowFunction="sum" queryTableFieldId="131" dataDxfId="324" totalsRowDxfId="323">
      <calculatedColumnFormula>IF(Tableau_Lancer_la_requête_à_partir_de_Excel_Files3[[#This Row],[Coût total Eligible FEDER]]="",Tableau_Lancer_la_requête_à_partir_de_Excel_Files3[[#This Row],[Coût total déposé]],Tableau_Lancer_la_requête_à_partir_de_Excel_Files3[[#This Row],[Coût total Eligible FEDER]])</calculatedColumnFormula>
    </tableColumn>
    <tableColumn id="6" uniqueName="6" name="Aide Publique Obtenue" totalsRowFunction="sum" queryTableFieldId="92" dataDxfId="322" totalsRowDxfId="321">
      <calculatedColumnFormula>Tableau_Lancer_la_requête_à_partir_de_Excel_Files3[[#This Row],[Aide Massif Obtenue]]+Tableau_Lancer_la_requête_à_partir_de_Excel_Files3[[#This Row],[''Autre Public'']]</calculatedColumnFormula>
    </tableColumn>
    <tableColumn id="44" uniqueName="44" name="Taux Aide Publique" queryTableFieldId="44" dataDxfId="320" totalsRowDxfId="319">
      <calculatedColumnFormula>Tableau_Lancer_la_requête_à_partir_de_Excel_Files3[[#This Row],[Aide Publique Obtenue]]/Tableau_Lancer_la_requête_à_partir_de_Excel_Files3[[#This Row],[Coût total]]</calculatedColumnFormula>
    </tableColumn>
    <tableColumn id="40" uniqueName="40" name="Aide Massif Obtenue" totalsRowFunction="sum" queryTableFieldId="40" dataDxfId="318" totalsRowDxfId="317">
      <calculatedColumnFormula>Tableau_Lancer_la_requête_à_partir_de_Excel_Files3[[#This Row],[Etat]]+Tableau_Lancer_la_requête_à_partir_de_Excel_Files3[[#This Row],[Régions]]+Tableau_Lancer_la_requête_à_partir_de_Excel_Files3[[#This Row],[Départements]]+Tableau_Lancer_la_requête_à_partir_de_Excel_Files3[[#This Row],[''FEDER'']]</calculatedColumnFormula>
    </tableColumn>
    <tableColumn id="42" uniqueName="42" name="Taux Aide Massif" queryTableFieldId="42" dataDxfId="316" totalsRowDxfId="315">
      <calculatedColumnFormula>Tableau_Lancer_la_requête_à_partir_de_Excel_Files3[[#This Row],[Aide Massif Obtenue]]/Tableau_Lancer_la_requête_à_partir_de_Excel_Files3[[#This Row],[Coût total]]</calculatedColumnFormula>
    </tableColumn>
    <tableColumn id="52" uniqueName="52" name="Etat" totalsRowFunction="sum" queryTableFieldId="89" dataDxfId="314" totalsRowDxfId="313">
      <calculatedColumnFormula>Tableau_Lancer_la_requête_à_partir_de_Excel_Files3[[#This Row],[''FNADT'']]+Tableau_Lancer_la_requête_à_partir_de_Excel_Files3[[#This Row],[''Agriculture'']]</calculatedColumnFormula>
    </tableColumn>
    <tableColumn id="15" uniqueName="15" name="'FNADT'" queryTableFieldId="133" dataDxfId="312" totalsRowDxfId="311"/>
    <tableColumn id="16" uniqueName="16" name="'Agriculture'" queryTableFieldId="134" dataDxfId="310" totalsRowDxfId="309"/>
    <tableColumn id="54" uniqueName="54" name="Régions" totalsRowFunction="sum" queryTableFieldId="90" dataDxfId="308" totalsRowDxfId="307">
      <calculatedColumnFormula>Tableau_Lancer_la_requête_à_partir_de_Excel_Files3[[#This Row],[''ALPC'']]+Tableau_Lancer_la_requête_à_partir_de_Excel_Files3[[#This Row],[''AURA'']]+Tableau_Lancer_la_requête_à_partir_de_Excel_Files3[[#This Row],[''BFC'']]+Tableau_Lancer_la_requête_à_partir_de_Excel_Files3[[#This Row],[''LRMP'']]</calculatedColumnFormula>
    </tableColumn>
    <tableColumn id="20" uniqueName="20" name="'ALPC'" queryTableFieldId="138" dataDxfId="306" totalsRowDxfId="305"/>
    <tableColumn id="18" uniqueName="18" name="'AURA'" queryTableFieldId="136" dataDxfId="304" totalsRowDxfId="303"/>
    <tableColumn id="19" uniqueName="19" name="'BFC'" queryTableFieldId="137" dataDxfId="302" totalsRowDxfId="301"/>
    <tableColumn id="21" uniqueName="21" name="'LRMP'" queryTableFieldId="139" dataDxfId="300" totalsRowDxfId="299"/>
    <tableColumn id="55" uniqueName="55" name="Départements" totalsRowFunction="sum" queryTableFieldId="91" dataDxfId="298" totalsRowDxfId="297">
      <calculatedColumnFormula>Tableau_Lancer_la_requête_à_partir_de_Excel_Files3[[#This Row],[''03'']]+Tableau_Lancer_la_requête_à_partir_de_Excel_Files3[[#This Row],[''07'']]+Tableau_Lancer_la_requête_à_partir_de_Excel_Files3[[#This Row],[''11'']]+Tableau_Lancer_la_requête_à_partir_de_Excel_Files3[[#This Row],[''12'']]+Tableau_Lancer_la_requête_à_partir_de_Excel_Files3[[#This Row],[''15'']]+Tableau_Lancer_la_requête_à_partir_de_Excel_Files3[[#This Row],[''21'']]+Tableau_Lancer_la_requête_à_partir_de_Excel_Files3[[#This Row],[''19'']]+Tableau_Lancer_la_requête_à_partir_de_Excel_Files3[[#This Row],[''23'']]+Tableau_Lancer_la_requête_à_partir_de_Excel_Files3[[#This Row],[''30'']]+Tableau_Lancer_la_requête_à_partir_de_Excel_Files3[[#This Row],[''34'']]+Tableau_Lancer_la_requête_à_partir_de_Excel_Files3[[#This Row],[''42'']]+Tableau_Lancer_la_requête_à_partir_de_Excel_Files3[[#This Row],[''43'']]+Tableau_Lancer_la_requête_à_partir_de_Excel_Files3[[#This Row],[''46'']]+Tableau_Lancer_la_requête_à_partir_de_Excel_Files3[[#This Row],[''48'']]+Tableau_Lancer_la_requête_à_partir_de_Excel_Files3[[#This Row],[''58'']]+Tableau_Lancer_la_requête_à_partir_de_Excel_Files3[[#This Row],[''63'']]+Tableau_Lancer_la_requête_à_partir_de_Excel_Files3[[#This Row],[''69'']]+Tableau_Lancer_la_requête_à_partir_de_Excel_Files3[[#This Row],[''71'']]+Tableau_Lancer_la_requête_à_partir_de_Excel_Files3[[#This Row],[''81'']]+Tableau_Lancer_la_requête_à_partir_de_Excel_Files3[[#This Row],[''82'']]+Tableau_Lancer_la_requête_à_partir_de_Excel_Files3[[#This Row],[''87'']]+Tableau_Lancer_la_requête_à_partir_de_Excel_Files3[[#This Row],[''89'']]</calculatedColumnFormula>
    </tableColumn>
    <tableColumn id="23" uniqueName="23" name="'03'" queryTableFieldId="141" dataDxfId="296" totalsRowDxfId="295"/>
    <tableColumn id="24" uniqueName="24" name="'07'" queryTableFieldId="142" dataDxfId="294" totalsRowDxfId="293"/>
    <tableColumn id="25" uniqueName="25" name="'11'" queryTableFieldId="143" dataDxfId="292" totalsRowDxfId="291"/>
    <tableColumn id="26" uniqueName="26" name="'12'" queryTableFieldId="144" dataDxfId="290" totalsRowDxfId="289"/>
    <tableColumn id="27" uniqueName="27" name="'15'" queryTableFieldId="145" dataDxfId="288" totalsRowDxfId="287"/>
    <tableColumn id="28" uniqueName="28" name="'19'" queryTableFieldId="146" dataDxfId="286" totalsRowDxfId="285"/>
    <tableColumn id="29" uniqueName="29" name="'21'" queryTableFieldId="147" dataDxfId="284" totalsRowDxfId="283"/>
    <tableColumn id="30" uniqueName="30" name="'23'" queryTableFieldId="148" dataDxfId="282" totalsRowDxfId="281"/>
    <tableColumn id="31" uniqueName="31" name="'30'" queryTableFieldId="149" dataDxfId="280" totalsRowDxfId="279"/>
    <tableColumn id="32" uniqueName="32" name="'34'" queryTableFieldId="150" dataDxfId="278" totalsRowDxfId="277"/>
    <tableColumn id="33" uniqueName="33" name="'42'" queryTableFieldId="151" dataDxfId="276" totalsRowDxfId="275"/>
    <tableColumn id="34" uniqueName="34" name="'43'" queryTableFieldId="152" dataDxfId="274" totalsRowDxfId="273"/>
    <tableColumn id="35" uniqueName="35" name="'46'" queryTableFieldId="153" dataDxfId="272" totalsRowDxfId="271"/>
    <tableColumn id="36" uniqueName="36" name="'48'" queryTableFieldId="154" dataDxfId="270" totalsRowDxfId="269"/>
    <tableColumn id="37" uniqueName="37" name="'58'" queryTableFieldId="155" dataDxfId="268" totalsRowDxfId="267"/>
    <tableColumn id="38" uniqueName="38" name="'63'" queryTableFieldId="156" dataDxfId="266" totalsRowDxfId="265"/>
    <tableColumn id="39" uniqueName="39" name="'69'" queryTableFieldId="157" dataDxfId="264" totalsRowDxfId="263"/>
    <tableColumn id="41" uniqueName="41" name="'71'" queryTableFieldId="158" dataDxfId="262" totalsRowDxfId="261"/>
    <tableColumn id="45" uniqueName="45" name="'81'" queryTableFieldId="159" dataDxfId="260" totalsRowDxfId="259"/>
    <tableColumn id="47" uniqueName="47" name="'82'" queryTableFieldId="160" dataDxfId="258" totalsRowDxfId="257"/>
    <tableColumn id="48" uniqueName="48" name="'87'" queryTableFieldId="161" dataDxfId="256" totalsRowDxfId="255"/>
    <tableColumn id="51" uniqueName="51" name="'89'" queryTableFieldId="162" dataDxfId="254" totalsRowDxfId="253"/>
    <tableColumn id="53" uniqueName="53" name="'FEDER'" totalsRowFunction="sum" queryTableFieldId="163" dataDxfId="252" totalsRowDxfId="251"/>
    <tableColumn id="56" uniqueName="56" name="'Autre Public'" totalsRowFunction="sum" queryTableFieldId="164" dataDxfId="250" totalsRowDxfId="249"/>
    <tableColumn id="5" uniqueName="5" name="Avis Prog" queryTableFieldId="169" dataDxfId="248" totalsRowDxfId="24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3" name="Tableau3" displayName="Tableau3" ref="AX6:CE24" totalsRowCount="1" headerRowDxfId="246" dataDxfId="245" totalsRowDxfId="244">
  <autoFilter ref="AX6:CE23"/>
  <tableColumns count="34">
    <tableColumn id="1" name="NumSym" totalsRowLabel="Total" dataDxfId="243" totalsRowDxfId="242"/>
    <tableColumn id="2" name="Etat" totalsRowFunction="sum" dataDxfId="241" totalsRowDxfId="240">
      <calculatedColumnFormula>SUM(AZ7:BA7)</calculatedColumnFormula>
    </tableColumn>
    <tableColumn id="3" name="'FNADT'" totalsRowFunction="sum" dataDxfId="239" totalsRowDxfId="238"/>
    <tableColumn id="4" name="'Agriculture'" totalsRowFunction="sum" dataDxfId="237" totalsRowDxfId="236">
      <calculatedColumnFormula>SUM(BB7:BE7)</calculatedColumnFormula>
    </tableColumn>
    <tableColumn id="5" name="Régions" totalsRowFunction="sum" dataDxfId="235" totalsRowDxfId="234">
      <calculatedColumnFormula>SUM(BC7:BF7)</calculatedColumnFormula>
    </tableColumn>
    <tableColumn id="6" name="'ALPC'" totalsRowFunction="sum" dataDxfId="233" totalsRowDxfId="232"/>
    <tableColumn id="7" name="'AURA'" totalsRowFunction="sum" dataDxfId="231" totalsRowDxfId="230"/>
    <tableColumn id="8" name="'BFC'" totalsRowFunction="sum" dataDxfId="229" totalsRowDxfId="228"/>
    <tableColumn id="9" name="'LRMP'" totalsRowFunction="sum" dataDxfId="227" totalsRowDxfId="226">
      <calculatedColumnFormula>SUM(BG7:CB7)</calculatedColumnFormula>
    </tableColumn>
    <tableColumn id="10" name="Départements" totalsRowFunction="sum" dataDxfId="225" totalsRowDxfId="224">
      <calculatedColumnFormula>SUM(BH7:CC7)</calculatedColumnFormula>
    </tableColumn>
    <tableColumn id="11" name="'03'" totalsRowFunction="sum" dataDxfId="223" totalsRowDxfId="222"/>
    <tableColumn id="12" name="'07'" totalsRowFunction="sum" dataDxfId="221" totalsRowDxfId="220"/>
    <tableColumn id="13" name="'11'" totalsRowFunction="sum" dataDxfId="219" totalsRowDxfId="218"/>
    <tableColumn id="14" name="'12'" totalsRowFunction="sum" dataDxfId="217" totalsRowDxfId="216"/>
    <tableColumn id="15" name="'15'" totalsRowFunction="sum" dataDxfId="215" totalsRowDxfId="214"/>
    <tableColumn id="16" name="'19'" totalsRowFunction="sum" dataDxfId="213" totalsRowDxfId="212"/>
    <tableColumn id="17" name="'21'" totalsRowFunction="sum" dataDxfId="211" totalsRowDxfId="210"/>
    <tableColumn id="18" name="'23'" totalsRowFunction="sum" dataDxfId="209" totalsRowDxfId="208"/>
    <tableColumn id="19" name="'30'" totalsRowFunction="sum" dataDxfId="207" totalsRowDxfId="206"/>
    <tableColumn id="20" name="'34'" totalsRowFunction="sum" dataDxfId="205" totalsRowDxfId="204"/>
    <tableColumn id="21" name="'42'" totalsRowFunction="sum" dataDxfId="203" totalsRowDxfId="202"/>
    <tableColumn id="22" name="'43'" totalsRowFunction="sum" dataDxfId="201" totalsRowDxfId="200"/>
    <tableColumn id="23" name="'46'" totalsRowFunction="sum" dataDxfId="199" totalsRowDxfId="198"/>
    <tableColumn id="24" name="'48'" totalsRowFunction="sum" dataDxfId="197" totalsRowDxfId="196"/>
    <tableColumn id="25" name="'58'" totalsRowFunction="sum" dataDxfId="195" totalsRowDxfId="194"/>
    <tableColumn id="26" name="'63'" totalsRowFunction="sum" dataDxfId="193" totalsRowDxfId="192"/>
    <tableColumn id="27" name="'69'" totalsRowFunction="sum" dataDxfId="191" totalsRowDxfId="190"/>
    <tableColumn id="28" name="'71'" totalsRowFunction="sum" dataDxfId="189" totalsRowDxfId="188"/>
    <tableColumn id="29" name="'81'" totalsRowFunction="sum" dataDxfId="187" totalsRowDxfId="186"/>
    <tableColumn id="30" name="'82'" totalsRowFunction="sum" dataDxfId="185" totalsRowDxfId="184"/>
    <tableColumn id="31" name="'87'" totalsRowFunction="sum" dataDxfId="183" totalsRowDxfId="182"/>
    <tableColumn id="32" name="'89'" totalsRowFunction="sum" dataDxfId="181" totalsRowDxfId="180"/>
    <tableColumn id="33" name="'FEDER'" totalsRowFunction="sum" dataDxfId="179" totalsRowDxfId="178"/>
    <tableColumn id="34" name="Avis" totalsRowFunction="count" dataDxfId="177" totalsRowDxfId="176">
      <calculatedColumnFormula>VLOOKUP(Tableau3[[#This Row],[NumSym]],Tableau_Lancer_la_requête_à_partir_de_Excel_Files3[[ID_Synergie]:[Avis Prog]],44)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1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00"/>
  <sheetViews>
    <sheetView topLeftCell="A31" zoomScale="70" zoomScaleNormal="70" zoomScaleSheetLayoutView="80" workbookViewId="0">
      <selection activeCell="E40" sqref="E40"/>
    </sheetView>
  </sheetViews>
  <sheetFormatPr baseColWidth="10" defaultRowHeight="15" outlineLevelCol="1" x14ac:dyDescent="0.25"/>
  <cols>
    <col min="1" max="1" width="13.85546875" style="3" customWidth="1"/>
    <col min="2" max="2" width="35" style="4" customWidth="1"/>
    <col min="3" max="3" width="48" style="5" hidden="1" customWidth="1"/>
    <col min="4" max="4" width="20" style="3" bestFit="1" customWidth="1"/>
    <col min="5" max="5" width="14" style="3" customWidth="1"/>
    <col min="6" max="6" width="12" style="6" customWidth="1"/>
    <col min="7" max="7" width="16" style="3" bestFit="1" customWidth="1"/>
    <col min="8" max="8" width="11.28515625" style="6" customWidth="1"/>
    <col min="9" max="9" width="17.140625" style="3" bestFit="1" customWidth="1"/>
    <col min="10" max="10" width="15" style="3" bestFit="1" customWidth="1"/>
    <col min="11" max="11" width="5.7109375" style="3" hidden="1" customWidth="1" outlineLevel="1"/>
    <col min="12" max="12" width="5.42578125" style="3" hidden="1" customWidth="1" outlineLevel="1"/>
    <col min="13" max="13" width="13.7109375" style="3" bestFit="1" customWidth="1" collapsed="1"/>
    <col min="14" max="14" width="11.140625" style="3" hidden="1" customWidth="1" outlineLevel="1"/>
    <col min="15" max="15" width="11.85546875" style="3" hidden="1" customWidth="1" outlineLevel="1"/>
    <col min="16" max="16" width="10" style="3" hidden="1" customWidth="1" outlineLevel="1"/>
    <col min="17" max="17" width="11.7109375" style="3" hidden="1" customWidth="1" outlineLevel="1"/>
    <col min="18" max="18" width="16.140625" style="3" bestFit="1" customWidth="1" collapsed="1"/>
    <col min="19" max="40" width="8.7109375" style="3" hidden="1" customWidth="1" outlineLevel="1"/>
    <col min="41" max="41" width="15.7109375" style="3" customWidth="1" collapsed="1"/>
    <col min="42" max="43" width="11.5703125" style="3" customWidth="1"/>
    <col min="44" max="44" width="15.42578125" style="4" bestFit="1" customWidth="1"/>
    <col min="45" max="45" width="3.42578125" style="3" customWidth="1"/>
    <col min="46" max="46" width="69" style="4" customWidth="1"/>
    <col min="47" max="47" width="15.42578125" style="3" bestFit="1" customWidth="1"/>
    <col min="48" max="48" width="17.28515625" style="3" bestFit="1" customWidth="1"/>
    <col min="49" max="49" width="9.42578125" style="3" customWidth="1"/>
    <col min="50" max="64" width="9.7109375" style="3" customWidth="1"/>
    <col min="65" max="65" width="15.140625" style="3" customWidth="1"/>
    <col min="66" max="66" width="14.5703125" style="3" customWidth="1"/>
    <col min="67" max="67" width="18.5703125" style="3" customWidth="1"/>
    <col min="68" max="68" width="12.5703125" style="3" customWidth="1"/>
    <col min="69" max="69" width="20.42578125" style="3" customWidth="1"/>
    <col min="70" max="70" width="12.7109375" style="3" customWidth="1"/>
    <col min="71" max="71" width="9.28515625" style="3" customWidth="1"/>
    <col min="72" max="72" width="14.28515625" style="3" customWidth="1"/>
    <col min="73" max="73" width="11.42578125" style="3" customWidth="1"/>
    <col min="74" max="74" width="9" style="3" customWidth="1"/>
    <col min="75" max="75" width="9.5703125" style="3" customWidth="1"/>
    <col min="76" max="76" width="11" style="3" customWidth="1"/>
    <col min="77" max="77" width="12.7109375" style="3" customWidth="1"/>
    <col min="78" max="80" width="9.7109375" style="3" customWidth="1"/>
    <col min="81" max="81" width="15.140625" style="3" customWidth="1"/>
    <col min="82" max="82" width="17.28515625" style="3" customWidth="1"/>
    <col min="83" max="83" width="49.28515625" style="4" customWidth="1"/>
    <col min="84" max="84" width="17.28515625" style="3" customWidth="1"/>
    <col min="85" max="16384" width="11.42578125" style="3"/>
  </cols>
  <sheetData>
    <row r="1" spans="1:46" ht="18.75" x14ac:dyDescent="0.3">
      <c r="B1" s="21" t="s">
        <v>75</v>
      </c>
      <c r="C1" s="22">
        <v>42696</v>
      </c>
    </row>
    <row r="5" spans="1:46" hidden="1" x14ac:dyDescent="0.25"/>
    <row r="6" spans="1:46" hidden="1" x14ac:dyDescent="0.25">
      <c r="A6" s="1" t="s">
        <v>134</v>
      </c>
      <c r="B6" s="2"/>
    </row>
    <row r="7" spans="1:46" s="7" customFormat="1" ht="45" hidden="1" x14ac:dyDescent="0.25">
      <c r="A7" s="7" t="s">
        <v>7</v>
      </c>
      <c r="B7" s="7" t="s">
        <v>1</v>
      </c>
      <c r="C7" s="7" t="s">
        <v>2</v>
      </c>
      <c r="D7" s="7" t="s">
        <v>52</v>
      </c>
      <c r="E7" s="7" t="s">
        <v>54</v>
      </c>
      <c r="F7" s="7" t="s">
        <v>53</v>
      </c>
      <c r="G7" s="7" t="s">
        <v>50</v>
      </c>
      <c r="H7" s="7" t="s">
        <v>55</v>
      </c>
      <c r="I7" s="7" t="s">
        <v>44</v>
      </c>
      <c r="J7" s="7" t="s">
        <v>65</v>
      </c>
      <c r="K7" s="7" t="s">
        <v>69</v>
      </c>
      <c r="L7" s="7" t="s">
        <v>17</v>
      </c>
      <c r="M7" s="7" t="s">
        <v>66</v>
      </c>
      <c r="N7" s="7" t="s">
        <v>20</v>
      </c>
      <c r="O7" s="7" t="s">
        <v>18</v>
      </c>
      <c r="P7" s="7" t="s">
        <v>19</v>
      </c>
      <c r="Q7" s="7" t="s">
        <v>21</v>
      </c>
      <c r="R7" s="7" t="s">
        <v>67</v>
      </c>
      <c r="S7" s="7" t="s">
        <v>22</v>
      </c>
      <c r="T7" s="7" t="s">
        <v>23</v>
      </c>
      <c r="U7" s="7" t="s">
        <v>24</v>
      </c>
      <c r="V7" s="7" t="s">
        <v>25</v>
      </c>
      <c r="W7" s="7" t="s">
        <v>26</v>
      </c>
      <c r="X7" s="7" t="s">
        <v>27</v>
      </c>
      <c r="Y7" s="7" t="s">
        <v>28</v>
      </c>
      <c r="Z7" s="7" t="s">
        <v>29</v>
      </c>
      <c r="AA7" s="7" t="s">
        <v>30</v>
      </c>
      <c r="AB7" s="7" t="s">
        <v>31</v>
      </c>
      <c r="AC7" s="7" t="s">
        <v>32</v>
      </c>
      <c r="AD7" s="7" t="s">
        <v>33</v>
      </c>
      <c r="AE7" s="7" t="s">
        <v>34</v>
      </c>
      <c r="AF7" s="7" t="s">
        <v>35</v>
      </c>
      <c r="AG7" s="7" t="s">
        <v>36</v>
      </c>
      <c r="AH7" s="7" t="s">
        <v>37</v>
      </c>
      <c r="AI7" s="7" t="s">
        <v>38</v>
      </c>
      <c r="AJ7" s="7" t="s">
        <v>39</v>
      </c>
      <c r="AK7" s="7" t="s">
        <v>40</v>
      </c>
      <c r="AL7" s="7" t="s">
        <v>41</v>
      </c>
      <c r="AM7" s="7" t="s">
        <v>42</v>
      </c>
      <c r="AN7" s="7" t="s">
        <v>43</v>
      </c>
      <c r="AO7" s="7" t="s">
        <v>45</v>
      </c>
      <c r="AP7" s="7" t="s">
        <v>49</v>
      </c>
      <c r="AQ7" s="7" t="s">
        <v>131</v>
      </c>
      <c r="AR7" s="17" t="s">
        <v>56</v>
      </c>
      <c r="AT7" s="29" t="s">
        <v>64</v>
      </c>
    </row>
    <row r="8" spans="1:46" s="10" customFormat="1" hidden="1" x14ac:dyDescent="0.25">
      <c r="A8" s="13"/>
      <c r="B8" s="12"/>
      <c r="C8" s="12"/>
      <c r="D8" s="15"/>
      <c r="E8" s="15"/>
      <c r="F8" s="16"/>
      <c r="G8" s="15"/>
      <c r="H8" s="1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1"/>
      <c r="AQ8" s="53"/>
      <c r="AR8" s="12"/>
      <c r="AT8" s="54"/>
    </row>
    <row r="9" spans="1:46" s="10" customFormat="1" ht="62.25" hidden="1" customHeight="1" x14ac:dyDescent="0.25">
      <c r="A9" s="10" t="s">
        <v>8</v>
      </c>
      <c r="B9" s="5">
        <f>SUBTOTAL(103,Tableau_Lancer_la_requête_à_partir_de_Excel_Files1025678911[Nom_MO])</f>
        <v>0</v>
      </c>
      <c r="C9" s="5"/>
      <c r="D9" s="49">
        <f>SUBTOTAL(109,Tableau_Lancer_la_requête_à_partir_de_Excel_Files1025678911[''Coût total éligible''])</f>
        <v>0</v>
      </c>
      <c r="E9" s="49">
        <f>SUBTOTAL(109,Tableau_Lancer_la_requête_à_partir_de_Excel_Files1025678911[Aide 
publique])</f>
        <v>0</v>
      </c>
      <c r="F9" s="84"/>
      <c r="G9" s="49">
        <f>SUBTOTAL(109,Tableau_Lancer_la_requête_à_partir_de_Excel_Files1025678911[Aide Massif])</f>
        <v>0</v>
      </c>
      <c r="H9" s="84"/>
      <c r="I9" s="49">
        <f>SUBTOTAL(109,Tableau_Lancer_la_requête_à_partir_de_Excel_Files1025678911[''FEDER''])</f>
        <v>0</v>
      </c>
      <c r="J9" s="49">
        <f>SUBTOTAL(109,Tableau_Lancer_la_requête_à_partir_de_Excel_Files1025678911[Total Etat])</f>
        <v>0</v>
      </c>
      <c r="L9" s="49">
        <f>SUBTOTAL(109,Tableau_Lancer_la_requête_à_partir_de_Excel_Files1025678911[''Agriculture''])</f>
        <v>0</v>
      </c>
      <c r="M9" s="49">
        <f>SUBTOTAL(109,Tableau_Lancer_la_requête_à_partir_de_Excel_Files1025678911[Total Régions])</f>
        <v>0</v>
      </c>
      <c r="N9" s="49">
        <f>SUBTOTAL(109,Tableau_Lancer_la_requête_à_partir_de_Excel_Files1025678911[''ALPC''])</f>
        <v>0</v>
      </c>
      <c r="O9" s="49">
        <f>SUBTOTAL(109,Tableau_Lancer_la_requête_à_partir_de_Excel_Files1025678911[''AURA''])</f>
        <v>0</v>
      </c>
      <c r="P9" s="49">
        <f>SUBTOTAL(109,Tableau_Lancer_la_requête_à_partir_de_Excel_Files1025678911[''BFC''])</f>
        <v>0</v>
      </c>
      <c r="Q9" s="49">
        <f>SUBTOTAL(109,Tableau_Lancer_la_requête_à_partir_de_Excel_Files1025678911[''LRMP''])</f>
        <v>0</v>
      </c>
      <c r="R9" s="49">
        <f>SUBTOTAL(109,Tableau_Lancer_la_requête_à_partir_de_Excel_Files1025678911[Total Dpts])</f>
        <v>0</v>
      </c>
      <c r="S9" s="49">
        <f>SUBTOTAL(109,Tableau_Lancer_la_requête_à_partir_de_Excel_Files1025678911[''03''])</f>
        <v>0</v>
      </c>
      <c r="T9" s="49">
        <f>SUBTOTAL(109,Tableau_Lancer_la_requête_à_partir_de_Excel_Files1025678911[''07''])</f>
        <v>0</v>
      </c>
      <c r="U9" s="49">
        <f>SUBTOTAL(109,Tableau_Lancer_la_requête_à_partir_de_Excel_Files1025678911[''11''])</f>
        <v>0</v>
      </c>
      <c r="V9" s="49">
        <f>SUBTOTAL(109,Tableau_Lancer_la_requête_à_partir_de_Excel_Files1025678911[''12''])</f>
        <v>0</v>
      </c>
      <c r="W9" s="49">
        <f>SUBTOTAL(109,Tableau_Lancer_la_requête_à_partir_de_Excel_Files1025678911[''15''])</f>
        <v>0</v>
      </c>
      <c r="X9" s="49">
        <f>SUBTOTAL(109,Tableau_Lancer_la_requête_à_partir_de_Excel_Files1025678911[''19''])</f>
        <v>0</v>
      </c>
      <c r="Y9" s="49">
        <f>SUBTOTAL(109,Tableau_Lancer_la_requête_à_partir_de_Excel_Files1025678911[''21''])</f>
        <v>0</v>
      </c>
      <c r="Z9" s="49">
        <f>SUBTOTAL(109,Tableau_Lancer_la_requête_à_partir_de_Excel_Files1025678911[''23''])</f>
        <v>0</v>
      </c>
      <c r="AA9" s="49">
        <f>SUBTOTAL(109,Tableau_Lancer_la_requête_à_partir_de_Excel_Files1025678911[''30''])</f>
        <v>0</v>
      </c>
      <c r="AB9" s="49">
        <f>SUBTOTAL(109,Tableau_Lancer_la_requête_à_partir_de_Excel_Files1025678911[''34''])</f>
        <v>0</v>
      </c>
      <c r="AC9" s="49">
        <f>SUBTOTAL(109,Tableau_Lancer_la_requête_à_partir_de_Excel_Files1025678911[''42''])</f>
        <v>0</v>
      </c>
      <c r="AD9" s="49">
        <f>SUBTOTAL(109,Tableau_Lancer_la_requête_à_partir_de_Excel_Files1025678911[''43''])</f>
        <v>0</v>
      </c>
      <c r="AE9" s="49">
        <f>SUBTOTAL(109,Tableau_Lancer_la_requête_à_partir_de_Excel_Files1025678911[''46''])</f>
        <v>0</v>
      </c>
      <c r="AF9" s="49">
        <f>SUBTOTAL(109,Tableau_Lancer_la_requête_à_partir_de_Excel_Files1025678911[''48''])</f>
        <v>0</v>
      </c>
      <c r="AG9" s="49">
        <f>SUBTOTAL(109,Tableau_Lancer_la_requête_à_partir_de_Excel_Files1025678911[''58''])</f>
        <v>0</v>
      </c>
      <c r="AH9" s="49">
        <f>SUBTOTAL(109,Tableau_Lancer_la_requête_à_partir_de_Excel_Files1025678911[''63''])</f>
        <v>0</v>
      </c>
      <c r="AI9" s="49">
        <f>SUBTOTAL(109,Tableau_Lancer_la_requête_à_partir_de_Excel_Files1025678911[''69''])</f>
        <v>0</v>
      </c>
      <c r="AJ9" s="49">
        <f>SUBTOTAL(109,Tableau_Lancer_la_requête_à_partir_de_Excel_Files1025678911[''71''])</f>
        <v>0</v>
      </c>
      <c r="AK9" s="49">
        <f>SUBTOTAL(109,Tableau_Lancer_la_requête_à_partir_de_Excel_Files1025678911[''81''])</f>
        <v>0</v>
      </c>
      <c r="AL9" s="49">
        <f>SUBTOTAL(109,Tableau_Lancer_la_requête_à_partir_de_Excel_Files1025678911[''82''])</f>
        <v>0</v>
      </c>
      <c r="AM9" s="49">
        <f>SUBTOTAL(109,Tableau_Lancer_la_requête_à_partir_de_Excel_Files1025678911[''87''])</f>
        <v>0</v>
      </c>
      <c r="AN9" s="49">
        <f>SUBTOTAL(109,Tableau_Lancer_la_requête_à_partir_de_Excel_Files1025678911[''89''])</f>
        <v>0</v>
      </c>
      <c r="AO9" s="49">
        <f>SUBTOTAL(109,Tableau_Lancer_la_requête_à_partir_de_Excel_Files1025678911[''Autre Public''])</f>
        <v>0</v>
      </c>
      <c r="AR9" s="4"/>
      <c r="AT9" s="56"/>
    </row>
    <row r="10" spans="1:46" s="10" customFormat="1" ht="15.75" hidden="1" thickBot="1" x14ac:dyDescent="0.3">
      <c r="B10" s="5"/>
      <c r="C10" s="5"/>
      <c r="D10" s="49"/>
      <c r="E10" s="49"/>
      <c r="F10" s="50"/>
      <c r="G10" s="49"/>
      <c r="H10" s="50"/>
      <c r="I10" s="49"/>
      <c r="J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R10" s="4"/>
      <c r="AT10" s="54"/>
    </row>
    <row r="11" spans="1:46" s="10" customFormat="1" ht="15.75" hidden="1" thickTop="1" x14ac:dyDescent="0.25">
      <c r="B11" s="5"/>
      <c r="C11" s="5"/>
      <c r="D11" s="49"/>
      <c r="E11" s="49"/>
      <c r="F11" s="50"/>
      <c r="G11" s="49"/>
      <c r="H11" s="50"/>
      <c r="I11" s="49"/>
      <c r="J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R11" s="4"/>
      <c r="AT11" s="57"/>
    </row>
    <row r="12" spans="1:46" s="10" customFormat="1" hidden="1" x14ac:dyDescent="0.25">
      <c r="A12" s="1" t="s">
        <v>136</v>
      </c>
      <c r="B12" s="2"/>
      <c r="C12" s="5"/>
      <c r="D12" s="3"/>
      <c r="E12" s="3"/>
      <c r="F12" s="6"/>
      <c r="G12" s="3"/>
      <c r="H12" s="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4"/>
      <c r="AT12" s="3"/>
    </row>
    <row r="13" spans="1:46" s="10" customFormat="1" ht="45" hidden="1" x14ac:dyDescent="0.25">
      <c r="A13" s="7" t="s">
        <v>7</v>
      </c>
      <c r="B13" s="7" t="s">
        <v>1</v>
      </c>
      <c r="C13" s="7" t="s">
        <v>2</v>
      </c>
      <c r="D13" s="7" t="s">
        <v>52</v>
      </c>
      <c r="E13" s="7" t="s">
        <v>54</v>
      </c>
      <c r="F13" s="7" t="s">
        <v>53</v>
      </c>
      <c r="G13" s="7" t="s">
        <v>50</v>
      </c>
      <c r="H13" s="7" t="s">
        <v>55</v>
      </c>
      <c r="I13" s="7" t="s">
        <v>44</v>
      </c>
      <c r="J13" s="7" t="s">
        <v>65</v>
      </c>
      <c r="K13" s="7" t="s">
        <v>69</v>
      </c>
      <c r="L13" s="7" t="s">
        <v>17</v>
      </c>
      <c r="M13" s="7" t="s">
        <v>66</v>
      </c>
      <c r="N13" s="7" t="s">
        <v>20</v>
      </c>
      <c r="O13" s="7" t="s">
        <v>18</v>
      </c>
      <c r="P13" s="7" t="s">
        <v>19</v>
      </c>
      <c r="Q13" s="7" t="s">
        <v>21</v>
      </c>
      <c r="R13" s="7" t="s">
        <v>67</v>
      </c>
      <c r="S13" s="7" t="s">
        <v>22</v>
      </c>
      <c r="T13" s="7" t="s">
        <v>23</v>
      </c>
      <c r="U13" s="7" t="s">
        <v>24</v>
      </c>
      <c r="V13" s="7" t="s">
        <v>25</v>
      </c>
      <c r="W13" s="7" t="s">
        <v>26</v>
      </c>
      <c r="X13" s="7" t="s">
        <v>27</v>
      </c>
      <c r="Y13" s="7" t="s">
        <v>28</v>
      </c>
      <c r="Z13" s="7" t="s">
        <v>29</v>
      </c>
      <c r="AA13" s="7" t="s">
        <v>30</v>
      </c>
      <c r="AB13" s="7" t="s">
        <v>31</v>
      </c>
      <c r="AC13" s="7" t="s">
        <v>32</v>
      </c>
      <c r="AD13" s="7" t="s">
        <v>33</v>
      </c>
      <c r="AE13" s="7" t="s">
        <v>34</v>
      </c>
      <c r="AF13" s="7" t="s">
        <v>35</v>
      </c>
      <c r="AG13" s="7" t="s">
        <v>36</v>
      </c>
      <c r="AH13" s="7" t="s">
        <v>37</v>
      </c>
      <c r="AI13" s="7" t="s">
        <v>38</v>
      </c>
      <c r="AJ13" s="7" t="s">
        <v>39</v>
      </c>
      <c r="AK13" s="7" t="s">
        <v>40</v>
      </c>
      <c r="AL13" s="7" t="s">
        <v>41</v>
      </c>
      <c r="AM13" s="7" t="s">
        <v>42</v>
      </c>
      <c r="AN13" s="7" t="s">
        <v>43</v>
      </c>
      <c r="AO13" s="7" t="s">
        <v>45</v>
      </c>
      <c r="AP13" s="7" t="s">
        <v>49</v>
      </c>
      <c r="AQ13" s="7" t="s">
        <v>131</v>
      </c>
      <c r="AR13" s="17" t="s">
        <v>56</v>
      </c>
      <c r="AT13" s="3"/>
    </row>
    <row r="14" spans="1:46" hidden="1" x14ac:dyDescent="0.25">
      <c r="A14" s="13"/>
      <c r="B14" s="12"/>
      <c r="C14" s="12"/>
      <c r="D14" s="15"/>
      <c r="E14" s="15"/>
      <c r="F14" s="16"/>
      <c r="G14" s="15"/>
      <c r="H14" s="16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1"/>
      <c r="AQ14" s="53"/>
      <c r="AR14" s="12"/>
      <c r="AT14" s="3"/>
    </row>
    <row r="15" spans="1:46" s="7" customFormat="1" hidden="1" x14ac:dyDescent="0.25">
      <c r="A15" s="10" t="s">
        <v>8</v>
      </c>
      <c r="B15" s="5">
        <f>SUBTOTAL(103,Tableau_Lancer_la_requête_à_partir_de_Excel_Files102567891113[Nom_MO])</f>
        <v>0</v>
      </c>
      <c r="C15" s="5"/>
      <c r="D15" s="49">
        <f>SUBTOTAL(109,Tableau_Lancer_la_requête_à_partir_de_Excel_Files102567891113[''Coût total éligible''])</f>
        <v>0</v>
      </c>
      <c r="E15" s="49">
        <f>SUBTOTAL(109,Tableau_Lancer_la_requête_à_partir_de_Excel_Files102567891113[Aide 
publique])</f>
        <v>0</v>
      </c>
      <c r="F15" s="84"/>
      <c r="G15" s="49">
        <f>SUBTOTAL(109,Tableau_Lancer_la_requête_à_partir_de_Excel_Files102567891113[Aide Massif])</f>
        <v>0</v>
      </c>
      <c r="H15" s="84"/>
      <c r="I15" s="49">
        <f>SUBTOTAL(109,Tableau_Lancer_la_requête_à_partir_de_Excel_Files102567891113[''FEDER''])</f>
        <v>0</v>
      </c>
      <c r="J15" s="49">
        <f>SUBTOTAL(109,Tableau_Lancer_la_requête_à_partir_de_Excel_Files102567891113[Total Etat])</f>
        <v>0</v>
      </c>
      <c r="K15" s="10"/>
      <c r="L15" s="49">
        <f>SUBTOTAL(109,Tableau_Lancer_la_requête_à_partir_de_Excel_Files102567891113[''Agriculture''])</f>
        <v>0</v>
      </c>
      <c r="M15" s="49">
        <f>SUBTOTAL(109,Tableau_Lancer_la_requête_à_partir_de_Excel_Files102567891113[Total Régions])</f>
        <v>0</v>
      </c>
      <c r="N15" s="49">
        <f>SUBTOTAL(109,Tableau_Lancer_la_requête_à_partir_de_Excel_Files102567891113[''ALPC''])</f>
        <v>0</v>
      </c>
      <c r="O15" s="49">
        <f>SUBTOTAL(109,Tableau_Lancer_la_requête_à_partir_de_Excel_Files102567891113[''AURA''])</f>
        <v>0</v>
      </c>
      <c r="P15" s="49">
        <f>SUBTOTAL(109,Tableau_Lancer_la_requête_à_partir_de_Excel_Files102567891113[''BFC''])</f>
        <v>0</v>
      </c>
      <c r="Q15" s="49">
        <f>SUBTOTAL(109,Tableau_Lancer_la_requête_à_partir_de_Excel_Files102567891113[''LRMP''])</f>
        <v>0</v>
      </c>
      <c r="R15" s="49">
        <f>SUBTOTAL(109,Tableau_Lancer_la_requête_à_partir_de_Excel_Files102567891113[Total Dpts])</f>
        <v>0</v>
      </c>
      <c r="S15" s="49">
        <f>SUBTOTAL(109,Tableau_Lancer_la_requête_à_partir_de_Excel_Files102567891113[''03''])</f>
        <v>0</v>
      </c>
      <c r="T15" s="49">
        <f>SUBTOTAL(109,Tableau_Lancer_la_requête_à_partir_de_Excel_Files102567891113[''07''])</f>
        <v>0</v>
      </c>
      <c r="U15" s="49">
        <f>SUBTOTAL(109,Tableau_Lancer_la_requête_à_partir_de_Excel_Files102567891113[''11''])</f>
        <v>0</v>
      </c>
      <c r="V15" s="49">
        <f>SUBTOTAL(109,Tableau_Lancer_la_requête_à_partir_de_Excel_Files102567891113[''12''])</f>
        <v>0</v>
      </c>
      <c r="W15" s="49">
        <f>SUBTOTAL(109,Tableau_Lancer_la_requête_à_partir_de_Excel_Files102567891113[''15''])</f>
        <v>0</v>
      </c>
      <c r="X15" s="49">
        <f>SUBTOTAL(109,Tableau_Lancer_la_requête_à_partir_de_Excel_Files102567891113[''19''])</f>
        <v>0</v>
      </c>
      <c r="Y15" s="49">
        <f>SUBTOTAL(109,Tableau_Lancer_la_requête_à_partir_de_Excel_Files102567891113[''21''])</f>
        <v>0</v>
      </c>
      <c r="Z15" s="49">
        <f>SUBTOTAL(109,Tableau_Lancer_la_requête_à_partir_de_Excel_Files102567891113[''23''])</f>
        <v>0</v>
      </c>
      <c r="AA15" s="49">
        <f>SUBTOTAL(109,Tableau_Lancer_la_requête_à_partir_de_Excel_Files102567891113[''30''])</f>
        <v>0</v>
      </c>
      <c r="AB15" s="49">
        <f>SUBTOTAL(109,Tableau_Lancer_la_requête_à_partir_de_Excel_Files102567891113[''34''])</f>
        <v>0</v>
      </c>
      <c r="AC15" s="49">
        <f>SUBTOTAL(109,Tableau_Lancer_la_requête_à_partir_de_Excel_Files102567891113[''42''])</f>
        <v>0</v>
      </c>
      <c r="AD15" s="49">
        <f>SUBTOTAL(109,Tableau_Lancer_la_requête_à_partir_de_Excel_Files102567891113[''43''])</f>
        <v>0</v>
      </c>
      <c r="AE15" s="49">
        <f>SUBTOTAL(109,Tableau_Lancer_la_requête_à_partir_de_Excel_Files102567891113[''46''])</f>
        <v>0</v>
      </c>
      <c r="AF15" s="49">
        <f>SUBTOTAL(109,Tableau_Lancer_la_requête_à_partir_de_Excel_Files102567891113[''48''])</f>
        <v>0</v>
      </c>
      <c r="AG15" s="49">
        <f>SUBTOTAL(109,Tableau_Lancer_la_requête_à_partir_de_Excel_Files102567891113[''58''])</f>
        <v>0</v>
      </c>
      <c r="AH15" s="49">
        <f>SUBTOTAL(109,Tableau_Lancer_la_requête_à_partir_de_Excel_Files102567891113[''63''])</f>
        <v>0</v>
      </c>
      <c r="AI15" s="49">
        <f>SUBTOTAL(109,Tableau_Lancer_la_requête_à_partir_de_Excel_Files102567891113[''69''])</f>
        <v>0</v>
      </c>
      <c r="AJ15" s="49">
        <f>SUBTOTAL(109,Tableau_Lancer_la_requête_à_partir_de_Excel_Files102567891113[''71''])</f>
        <v>0</v>
      </c>
      <c r="AK15" s="49">
        <f>SUBTOTAL(109,Tableau_Lancer_la_requête_à_partir_de_Excel_Files102567891113[''81''])</f>
        <v>0</v>
      </c>
      <c r="AL15" s="49">
        <f>SUBTOTAL(109,Tableau_Lancer_la_requête_à_partir_de_Excel_Files102567891113[''82''])</f>
        <v>0</v>
      </c>
      <c r="AM15" s="49">
        <f>SUBTOTAL(109,Tableau_Lancer_la_requête_à_partir_de_Excel_Files102567891113[''87''])</f>
        <v>0</v>
      </c>
      <c r="AN15" s="49">
        <f>SUBTOTAL(109,Tableau_Lancer_la_requête_à_partir_de_Excel_Files102567891113[''89''])</f>
        <v>0</v>
      </c>
      <c r="AO15" s="49">
        <f>SUBTOTAL(109,Tableau_Lancer_la_requête_à_partir_de_Excel_Files102567891113[''Autre Public''])</f>
        <v>0</v>
      </c>
      <c r="AP15" s="10"/>
      <c r="AQ15" s="10"/>
      <c r="AR15" s="4"/>
      <c r="AT15" s="29" t="s">
        <v>64</v>
      </c>
    </row>
    <row r="16" spans="1:46" s="10" customFormat="1" hidden="1" x14ac:dyDescent="0.25">
      <c r="B16" s="5"/>
      <c r="C16" s="5"/>
      <c r="D16" s="49"/>
      <c r="E16" s="49"/>
      <c r="F16" s="50"/>
      <c r="G16" s="49"/>
      <c r="H16" s="50"/>
      <c r="I16" s="49"/>
      <c r="J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R16" s="4"/>
      <c r="AT16" s="54"/>
    </row>
    <row r="17" spans="1:83" s="10" customFormat="1" hidden="1" x14ac:dyDescent="0.25">
      <c r="B17" s="5"/>
      <c r="C17" s="5"/>
      <c r="D17" s="49"/>
      <c r="E17" s="49"/>
      <c r="F17" s="50"/>
      <c r="G17" s="49"/>
      <c r="H17" s="50"/>
      <c r="I17" s="49"/>
      <c r="J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R17" s="4"/>
      <c r="AT17" s="163"/>
    </row>
    <row r="18" spans="1:83" s="10" customFormat="1" x14ac:dyDescent="0.25">
      <c r="A18" s="1" t="s">
        <v>116</v>
      </c>
      <c r="B18" s="4"/>
      <c r="C18" s="5"/>
      <c r="D18" s="3"/>
      <c r="E18" s="3"/>
      <c r="F18" s="6"/>
      <c r="G18" s="3"/>
      <c r="H18" s="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4"/>
      <c r="AT18" s="160"/>
    </row>
    <row r="19" spans="1:83" s="10" customFormat="1" ht="45" x14ac:dyDescent="0.25">
      <c r="A19" s="7" t="s">
        <v>7</v>
      </c>
      <c r="B19" s="7" t="s">
        <v>1</v>
      </c>
      <c r="C19" s="7" t="s">
        <v>2</v>
      </c>
      <c r="D19" s="7" t="s">
        <v>256</v>
      </c>
      <c r="E19" s="7" t="s">
        <v>54</v>
      </c>
      <c r="F19" s="7" t="s">
        <v>53</v>
      </c>
      <c r="G19" s="7" t="s">
        <v>50</v>
      </c>
      <c r="H19" s="7" t="s">
        <v>55</v>
      </c>
      <c r="I19" s="7" t="s">
        <v>44</v>
      </c>
      <c r="J19" s="7" t="s">
        <v>65</v>
      </c>
      <c r="K19" s="7" t="s">
        <v>69</v>
      </c>
      <c r="L19" s="7" t="s">
        <v>17</v>
      </c>
      <c r="M19" s="7" t="s">
        <v>66</v>
      </c>
      <c r="N19" s="7" t="s">
        <v>20</v>
      </c>
      <c r="O19" s="7" t="s">
        <v>18</v>
      </c>
      <c r="P19" s="7" t="s">
        <v>19</v>
      </c>
      <c r="Q19" s="7" t="s">
        <v>21</v>
      </c>
      <c r="R19" s="7" t="s">
        <v>67</v>
      </c>
      <c r="S19" s="7" t="s">
        <v>22</v>
      </c>
      <c r="T19" s="7" t="s">
        <v>23</v>
      </c>
      <c r="U19" s="7" t="s">
        <v>24</v>
      </c>
      <c r="V19" s="7" t="s">
        <v>25</v>
      </c>
      <c r="W19" s="7" t="s">
        <v>26</v>
      </c>
      <c r="X19" s="7" t="s">
        <v>27</v>
      </c>
      <c r="Y19" s="7" t="s">
        <v>28</v>
      </c>
      <c r="Z19" s="7" t="s">
        <v>29</v>
      </c>
      <c r="AA19" s="7" t="s">
        <v>30</v>
      </c>
      <c r="AB19" s="7" t="s">
        <v>31</v>
      </c>
      <c r="AC19" s="7" t="s">
        <v>32</v>
      </c>
      <c r="AD19" s="7" t="s">
        <v>33</v>
      </c>
      <c r="AE19" s="7" t="s">
        <v>34</v>
      </c>
      <c r="AF19" s="7" t="s">
        <v>35</v>
      </c>
      <c r="AG19" s="7" t="s">
        <v>36</v>
      </c>
      <c r="AH19" s="7" t="s">
        <v>37</v>
      </c>
      <c r="AI19" s="7" t="s">
        <v>38</v>
      </c>
      <c r="AJ19" s="7" t="s">
        <v>39</v>
      </c>
      <c r="AK19" s="7" t="s">
        <v>40</v>
      </c>
      <c r="AL19" s="7" t="s">
        <v>41</v>
      </c>
      <c r="AM19" s="7" t="s">
        <v>42</v>
      </c>
      <c r="AN19" s="7" t="s">
        <v>43</v>
      </c>
      <c r="AO19" s="7" t="s">
        <v>45</v>
      </c>
      <c r="AP19" s="7" t="s">
        <v>49</v>
      </c>
      <c r="AQ19" s="7" t="s">
        <v>131</v>
      </c>
      <c r="AR19" s="17" t="s">
        <v>56</v>
      </c>
      <c r="AT19" s="55" t="s">
        <v>64</v>
      </c>
    </row>
    <row r="20" spans="1:83" s="10" customFormat="1" ht="30" x14ac:dyDescent="0.25">
      <c r="A20" s="13" t="s">
        <v>164</v>
      </c>
      <c r="B20" s="12" t="s">
        <v>103</v>
      </c>
      <c r="C20" s="12" t="s">
        <v>104</v>
      </c>
      <c r="D20" s="15">
        <v>245370</v>
      </c>
      <c r="E20" s="15">
        <f>Tableau_Lancer_la_requête_à_partir_de_Excel_Files10256789111214[[#This Row],[Aide Massif]]+Tableau_Lancer_la_requête_à_partir_de_Excel_Files10256789111214[[#This Row],[''Autre Public'']]</f>
        <v>116401</v>
      </c>
      <c r="F20" s="16">
        <f>Tableau_Lancer_la_requête_à_partir_de_Excel_Files10256789111214[[#This Row],[Aide 
publique]]/Tableau_Lancer_la_requête_à_partir_de_Excel_Files10256789111214[[#This Row],[Coût total Projet]]</f>
        <v>0.47438969719199575</v>
      </c>
      <c r="G20" s="15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116401</v>
      </c>
      <c r="H20" s="16">
        <f>Tableau_Lancer_la_requête_à_partir_de_Excel_Files10256789111214[[#This Row],[Aide Massif]]/Tableau_Lancer_la_requête_à_partir_de_Excel_Files10256789111214[[#This Row],[Coût total Projet]]</f>
        <v>0.47438969719199575</v>
      </c>
      <c r="I20" s="15">
        <v>53040</v>
      </c>
      <c r="J20" s="15">
        <f>Tableau_Lancer_la_requête_à_partir_de_Excel_Files10256789111214[[#This Row],[''FNADT '']]+Tableau_Lancer_la_requête_à_partir_de_Excel_Files10256789111214[[#This Row],[''Agriculture'']]</f>
        <v>29611</v>
      </c>
      <c r="K20" s="15">
        <v>29611</v>
      </c>
      <c r="L20" s="15"/>
      <c r="M20" s="15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33750</v>
      </c>
      <c r="N20" s="15"/>
      <c r="O20" s="15">
        <v>33750</v>
      </c>
      <c r="P20" s="15"/>
      <c r="Q20" s="15"/>
      <c r="R20" s="15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0</v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>
        <v>0</v>
      </c>
      <c r="AP20" s="11" t="s">
        <v>150</v>
      </c>
      <c r="AQ20" s="53"/>
      <c r="AR20" s="12" t="s">
        <v>149</v>
      </c>
      <c r="AT20" s="54" t="s">
        <v>255</v>
      </c>
    </row>
    <row r="21" spans="1:83" ht="75" x14ac:dyDescent="0.25">
      <c r="A21" s="6" t="s">
        <v>165</v>
      </c>
      <c r="B21" s="5" t="s">
        <v>105</v>
      </c>
      <c r="C21" s="5" t="s">
        <v>106</v>
      </c>
      <c r="D21" s="8">
        <v>50160</v>
      </c>
      <c r="E21" s="8">
        <f>Tableau_Lancer_la_requête_à_partir_de_Excel_Files10256789111214[[#This Row],[Aide Massif]]+Tableau_Lancer_la_requête_à_partir_de_Excel_Files10256789111214[[#This Row],[''Autre Public'']]</f>
        <v>28342</v>
      </c>
      <c r="F21" s="9">
        <f>Tableau_Lancer_la_requête_à_partir_de_Excel_Files10256789111214[[#This Row],[Aide 
publique]]/Tableau_Lancer_la_requête_à_partir_de_Excel_Files10256789111214[[#This Row],[Coût total Projet]]</f>
        <v>0.56503189792663477</v>
      </c>
      <c r="G21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28342</v>
      </c>
      <c r="H21" s="9">
        <f>Tableau_Lancer_la_requête_à_partir_de_Excel_Files10256789111214[[#This Row],[Aide Massif]]/Tableau_Lancer_la_requête_à_partir_de_Excel_Files10256789111214[[#This Row],[Coût total Projet]]</f>
        <v>0.56503189792663477</v>
      </c>
      <c r="I21" s="8">
        <v>18310</v>
      </c>
      <c r="J21" s="8">
        <f>Tableau_Lancer_la_requête_à_partir_de_Excel_Files10256789111214[[#This Row],[''FNADT '']]+Tableau_Lancer_la_requête_à_partir_de_Excel_Files10256789111214[[#This Row],[''Agriculture'']]</f>
        <v>0</v>
      </c>
      <c r="K21" s="8"/>
      <c r="L21" s="8"/>
      <c r="M21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5016</v>
      </c>
      <c r="N21" s="8"/>
      <c r="O21" s="8"/>
      <c r="P21" s="8"/>
      <c r="Q21" s="8">
        <v>5016</v>
      </c>
      <c r="R21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5016</v>
      </c>
      <c r="S21" s="8"/>
      <c r="T21" s="8"/>
      <c r="U21" s="8"/>
      <c r="V21" s="8">
        <v>5016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>
        <v>0</v>
      </c>
      <c r="AP21" s="10" t="s">
        <v>150</v>
      </c>
      <c r="AQ21" s="53"/>
      <c r="AR21" s="5" t="s">
        <v>149</v>
      </c>
      <c r="AT21" s="56" t="s">
        <v>255</v>
      </c>
      <c r="CB21" s="4"/>
      <c r="CE21" s="3"/>
    </row>
    <row r="22" spans="1:83" s="7" customFormat="1" ht="30" x14ac:dyDescent="0.25">
      <c r="A22" s="6" t="s">
        <v>166</v>
      </c>
      <c r="B22" s="5" t="s">
        <v>107</v>
      </c>
      <c r="C22" s="5" t="s">
        <v>108</v>
      </c>
      <c r="D22" s="8">
        <v>62999.1</v>
      </c>
      <c r="E22" s="8">
        <f>Tableau_Lancer_la_requête_à_partir_de_Excel_Files10256789111214[[#This Row],[Aide Massif]]+Tableau_Lancer_la_requête_à_partir_de_Excel_Files10256789111214[[#This Row],[''Autre Public'']]</f>
        <v>12272</v>
      </c>
      <c r="F22" s="9">
        <f>Tableau_Lancer_la_requête_à_partir_de_Excel_Files10256789111214[[#This Row],[Aide 
publique]]/Tableau_Lancer_la_requête_à_partir_de_Excel_Files10256789111214[[#This Row],[Coût total Projet]]</f>
        <v>0.19479643359984508</v>
      </c>
      <c r="G22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12272</v>
      </c>
      <c r="H22" s="9">
        <f>Tableau_Lancer_la_requête_à_partir_de_Excel_Files10256789111214[[#This Row],[Aide Massif]]/Tableau_Lancer_la_requête_à_partir_de_Excel_Files10256789111214[[#This Row],[Coût total Projet]]</f>
        <v>0.19479643359984508</v>
      </c>
      <c r="I22" s="8">
        <v>7110</v>
      </c>
      <c r="J22" s="8">
        <f>Tableau_Lancer_la_requête_à_partir_de_Excel_Files10256789111214[[#This Row],[''FNADT '']]+Tableau_Lancer_la_requête_à_partir_de_Excel_Files10256789111214[[#This Row],[''Agriculture'']]</f>
        <v>0</v>
      </c>
      <c r="K22" s="8"/>
      <c r="L22" s="8"/>
      <c r="M22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5162</v>
      </c>
      <c r="N22" s="8"/>
      <c r="O22" s="8"/>
      <c r="P22" s="8"/>
      <c r="Q22" s="8">
        <v>5162</v>
      </c>
      <c r="R22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0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>
        <v>0</v>
      </c>
      <c r="AP22" s="10" t="s">
        <v>150</v>
      </c>
      <c r="AQ22" s="53"/>
      <c r="AR22" s="5" t="s">
        <v>149</v>
      </c>
      <c r="AT22" s="54" t="s">
        <v>255</v>
      </c>
    </row>
    <row r="23" spans="1:83" s="10" customFormat="1" ht="45" x14ac:dyDescent="0.25">
      <c r="A23" s="6" t="s">
        <v>167</v>
      </c>
      <c r="B23" s="5" t="s">
        <v>109</v>
      </c>
      <c r="C23" s="5" t="s">
        <v>110</v>
      </c>
      <c r="D23" s="8">
        <v>47098.65</v>
      </c>
      <c r="E23" s="8">
        <f>Tableau_Lancer_la_requête_à_partir_de_Excel_Files10256789111214[[#This Row],[Aide Massif]]+Tableau_Lancer_la_requête_à_partir_de_Excel_Files10256789111214[[#This Row],[''Autre Public'']]</f>
        <v>32356</v>
      </c>
      <c r="F23" s="9">
        <f>Tableau_Lancer_la_requête_à_partir_de_Excel_Files10256789111214[[#This Row],[Aide 
publique]]/Tableau_Lancer_la_requête_à_partir_de_Excel_Files10256789111214[[#This Row],[Coût total Projet]]</f>
        <v>0.68698359719439939</v>
      </c>
      <c r="G23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32356</v>
      </c>
      <c r="H23" s="9">
        <f>Tableau_Lancer_la_requête_à_partir_de_Excel_Files10256789111214[[#This Row],[Aide Massif]]/Tableau_Lancer_la_requête_à_partir_de_Excel_Files10256789111214[[#This Row],[Coût total Projet]]</f>
        <v>0.68698359719439939</v>
      </c>
      <c r="I23" s="8">
        <v>17190</v>
      </c>
      <c r="J23" s="8">
        <f>Tableau_Lancer_la_requête_à_partir_de_Excel_Files10256789111214[[#This Row],[''FNADT '']]+Tableau_Lancer_la_requête_à_partir_de_Excel_Files10256789111214[[#This Row],[''Agriculture'']]</f>
        <v>0</v>
      </c>
      <c r="K23" s="8"/>
      <c r="L23" s="8"/>
      <c r="M23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7583</v>
      </c>
      <c r="N23" s="8"/>
      <c r="O23" s="8"/>
      <c r="P23" s="8"/>
      <c r="Q23" s="8">
        <v>7583</v>
      </c>
      <c r="R23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7583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>
        <v>7583</v>
      </c>
      <c r="AG23" s="8"/>
      <c r="AH23" s="8"/>
      <c r="AI23" s="8"/>
      <c r="AJ23" s="8"/>
      <c r="AK23" s="8"/>
      <c r="AL23" s="8"/>
      <c r="AM23" s="8"/>
      <c r="AN23" s="8"/>
      <c r="AO23" s="8">
        <v>0</v>
      </c>
      <c r="AP23" s="10" t="s">
        <v>150</v>
      </c>
      <c r="AQ23" s="53"/>
      <c r="AR23" s="5" t="s">
        <v>149</v>
      </c>
      <c r="AT23" s="56" t="s">
        <v>255</v>
      </c>
    </row>
    <row r="24" spans="1:83" s="10" customFormat="1" ht="45" x14ac:dyDescent="0.25">
      <c r="A24" s="6" t="s">
        <v>168</v>
      </c>
      <c r="B24" s="5" t="s">
        <v>111</v>
      </c>
      <c r="C24" s="5" t="s">
        <v>112</v>
      </c>
      <c r="D24" s="8">
        <v>115660.06</v>
      </c>
      <c r="E24" s="8">
        <f>Tableau_Lancer_la_requête_à_partir_de_Excel_Files10256789111214[[#This Row],[Aide Massif]]+Tableau_Lancer_la_requête_à_partir_de_Excel_Files10256789111214[[#This Row],[''Autre Public'']]</f>
        <v>64412</v>
      </c>
      <c r="F24" s="9">
        <f>Tableau_Lancer_la_requête_à_partir_de_Excel_Files10256789111214[[#This Row],[Aide 
publique]]/Tableau_Lancer_la_requête_à_partir_de_Excel_Files10256789111214[[#This Row],[Coût total Projet]]</f>
        <v>0.55690789024318332</v>
      </c>
      <c r="G24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64412</v>
      </c>
      <c r="H24" s="9">
        <f>Tableau_Lancer_la_requête_à_partir_de_Excel_Files10256789111214[[#This Row],[Aide Massif]]/Tableau_Lancer_la_requête_à_partir_de_Excel_Files10256789111214[[#This Row],[Coût total Projet]]</f>
        <v>0.55690789024318332</v>
      </c>
      <c r="I24" s="8">
        <v>41280</v>
      </c>
      <c r="J24" s="8">
        <f>Tableau_Lancer_la_requête_à_partir_de_Excel_Files10256789111214[[#This Row],[''FNADT '']]+Tableau_Lancer_la_requête_à_partir_de_Excel_Files10256789111214[[#This Row],[''Agriculture'']]</f>
        <v>0</v>
      </c>
      <c r="K24" s="8"/>
      <c r="L24" s="8"/>
      <c r="M24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11566</v>
      </c>
      <c r="N24" s="8"/>
      <c r="O24" s="8"/>
      <c r="P24" s="8"/>
      <c r="Q24" s="8">
        <v>11566</v>
      </c>
      <c r="R24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11566</v>
      </c>
      <c r="S24" s="8"/>
      <c r="T24" s="8"/>
      <c r="U24" s="8"/>
      <c r="V24" s="8">
        <v>11566</v>
      </c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>
        <v>0</v>
      </c>
      <c r="AP24" s="10" t="s">
        <v>150</v>
      </c>
      <c r="AQ24" s="53"/>
      <c r="AR24" s="5" t="s">
        <v>149</v>
      </c>
      <c r="AT24" s="54" t="s">
        <v>255</v>
      </c>
    </row>
    <row r="25" spans="1:83" s="10" customFormat="1" ht="60" x14ac:dyDescent="0.25">
      <c r="A25" s="6" t="s">
        <v>169</v>
      </c>
      <c r="B25" s="5" t="s">
        <v>113</v>
      </c>
      <c r="C25" s="5" t="s">
        <v>114</v>
      </c>
      <c r="D25" s="8">
        <v>80000</v>
      </c>
      <c r="E25" s="8">
        <f>Tableau_Lancer_la_requête_à_partir_de_Excel_Files10256789111214[[#This Row],[Aide Massif]]+Tableau_Lancer_la_requête_à_partir_de_Excel_Files10256789111214[[#This Row],[''Autre Public'']]</f>
        <v>38290</v>
      </c>
      <c r="F25" s="9">
        <f>Tableau_Lancer_la_requête_à_partir_de_Excel_Files10256789111214[[#This Row],[Aide 
publique]]/Tableau_Lancer_la_requête_à_partir_de_Excel_Files10256789111214[[#This Row],[Coût total Projet]]</f>
        <v>0.47862500000000002</v>
      </c>
      <c r="G25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38290</v>
      </c>
      <c r="H25" s="9">
        <f>Tableau_Lancer_la_requête_à_partir_de_Excel_Files10256789111214[[#This Row],[Aide Massif]]/Tableau_Lancer_la_requête_à_partir_de_Excel_Files10256789111214[[#This Row],[Coût total Projet]]</f>
        <v>0.47862500000000002</v>
      </c>
      <c r="I25" s="8">
        <v>28290</v>
      </c>
      <c r="J25" s="8">
        <f>Tableau_Lancer_la_requête_à_partir_de_Excel_Files10256789111214[[#This Row],[''FNADT '']]+Tableau_Lancer_la_requête_à_partir_de_Excel_Files10256789111214[[#This Row],[''Agriculture'']]</f>
        <v>0</v>
      </c>
      <c r="K25" s="8"/>
      <c r="L25" s="8"/>
      <c r="M25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10000</v>
      </c>
      <c r="N25" s="8"/>
      <c r="O25" s="8"/>
      <c r="P25" s="8"/>
      <c r="Q25" s="8">
        <v>10000</v>
      </c>
      <c r="R25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0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>
        <v>0</v>
      </c>
      <c r="AP25" s="10" t="s">
        <v>150</v>
      </c>
      <c r="AQ25" s="53"/>
      <c r="AR25" s="5" t="s">
        <v>149</v>
      </c>
      <c r="AT25" s="56" t="s">
        <v>255</v>
      </c>
    </row>
    <row r="26" spans="1:83" s="10" customFormat="1" ht="30" x14ac:dyDescent="0.25">
      <c r="A26" s="6" t="s">
        <v>170</v>
      </c>
      <c r="B26" s="5" t="s">
        <v>115</v>
      </c>
      <c r="C26" s="5" t="s">
        <v>116</v>
      </c>
      <c r="D26" s="8">
        <v>76329.56</v>
      </c>
      <c r="E26" s="8">
        <f>Tableau_Lancer_la_requête_à_partir_de_Excel_Files10256789111214[[#This Row],[Aide Massif]]+Tableau_Lancer_la_requête_à_partir_de_Excel_Files10256789111214[[#This Row],[''Autre Public'']]</f>
        <v>0</v>
      </c>
      <c r="F26" s="9">
        <f>Tableau_Lancer_la_requête_à_partir_de_Excel_Files10256789111214[[#This Row],[Aide 
publique]]/Tableau_Lancer_la_requête_à_partir_de_Excel_Files10256789111214[[#This Row],[Coût total Projet]]</f>
        <v>0</v>
      </c>
      <c r="G26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0</v>
      </c>
      <c r="H26" s="9">
        <f>Tableau_Lancer_la_requête_à_partir_de_Excel_Files10256789111214[[#This Row],[Aide Massif]]/Tableau_Lancer_la_requête_à_partir_de_Excel_Files10256789111214[[#This Row],[Coût total Projet]]</f>
        <v>0</v>
      </c>
      <c r="I26" s="8">
        <v>0</v>
      </c>
      <c r="J26" s="8">
        <f>Tableau_Lancer_la_requête_à_partir_de_Excel_Files10256789111214[[#This Row],[''FNADT '']]+Tableau_Lancer_la_requête_à_partir_de_Excel_Files10256789111214[[#This Row],[''Agriculture'']]</f>
        <v>0</v>
      </c>
      <c r="K26" s="8"/>
      <c r="L26" s="8"/>
      <c r="M26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0</v>
      </c>
      <c r="N26" s="8"/>
      <c r="O26" s="8"/>
      <c r="P26" s="8"/>
      <c r="Q26" s="8"/>
      <c r="R26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0</v>
      </c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>
        <v>0</v>
      </c>
      <c r="AP26" s="10" t="s">
        <v>161</v>
      </c>
      <c r="AQ26" s="53"/>
      <c r="AR26" s="5" t="s">
        <v>161</v>
      </c>
      <c r="AT26" s="54"/>
    </row>
    <row r="27" spans="1:83" s="10" customFormat="1" ht="30" x14ac:dyDescent="0.25">
      <c r="A27" s="6" t="s">
        <v>171</v>
      </c>
      <c r="B27" s="5" t="s">
        <v>117</v>
      </c>
      <c r="C27" s="5" t="s">
        <v>118</v>
      </c>
      <c r="D27" s="8">
        <v>166000</v>
      </c>
      <c r="E27" s="8">
        <f>Tableau_Lancer_la_requête_à_partir_de_Excel_Files10256789111214[[#This Row],[Aide Massif]]+Tableau_Lancer_la_requête_à_partir_de_Excel_Files10256789111214[[#This Row],[''Autre Public'']]</f>
        <v>79280</v>
      </c>
      <c r="F27" s="9">
        <f>Tableau_Lancer_la_requête_à_partir_de_Excel_Files10256789111214[[#This Row],[Aide 
publique]]/Tableau_Lancer_la_requête_à_partir_de_Excel_Files10256789111214[[#This Row],[Coût total Projet]]</f>
        <v>0.47759036144578315</v>
      </c>
      <c r="G27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79280</v>
      </c>
      <c r="H27" s="9">
        <f>Tableau_Lancer_la_requête_à_partir_de_Excel_Files10256789111214[[#This Row],[Aide Massif]]/Tableau_Lancer_la_requête_à_partir_de_Excel_Files10256789111214[[#This Row],[Coût total Projet]]</f>
        <v>0.47759036144578315</v>
      </c>
      <c r="I27" s="8">
        <v>37780</v>
      </c>
      <c r="J27" s="8">
        <f>Tableau_Lancer_la_requête_à_partir_de_Excel_Files10256789111214[[#This Row],[''FNADT '']]+Tableau_Lancer_la_requête_à_partir_de_Excel_Files10256789111214[[#This Row],[''Agriculture'']]</f>
        <v>0</v>
      </c>
      <c r="K27" s="8"/>
      <c r="L27" s="8"/>
      <c r="M27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41500</v>
      </c>
      <c r="N27" s="8"/>
      <c r="O27" s="8">
        <v>41500</v>
      </c>
      <c r="P27" s="8"/>
      <c r="Q27" s="8"/>
      <c r="R27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0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>
        <v>0</v>
      </c>
      <c r="AP27" s="10" t="s">
        <v>150</v>
      </c>
      <c r="AQ27" s="53"/>
      <c r="AR27" s="5" t="s">
        <v>149</v>
      </c>
      <c r="AT27" s="56" t="s">
        <v>255</v>
      </c>
    </row>
    <row r="28" spans="1:83" s="10" customFormat="1" ht="45" x14ac:dyDescent="0.25">
      <c r="A28" s="6" t="s">
        <v>172</v>
      </c>
      <c r="B28" s="5" t="s">
        <v>119</v>
      </c>
      <c r="C28" s="5" t="s">
        <v>120</v>
      </c>
      <c r="D28" s="8">
        <v>213321</v>
      </c>
      <c r="E28" s="8">
        <f>Tableau_Lancer_la_requête_à_partir_de_Excel_Files10256789111214[[#This Row],[Aide Massif]]+Tableau_Lancer_la_requête_à_partir_de_Excel_Files10256789111214[[#This Row],[''Autre Public'']]</f>
        <v>114874</v>
      </c>
      <c r="F28" s="9">
        <f>Tableau_Lancer_la_requête_à_partir_de_Excel_Files10256789111214[[#This Row],[Aide 
publique]]/Tableau_Lancer_la_requête_à_partir_de_Excel_Files10256789111214[[#This Row],[Coût total Projet]]</f>
        <v>0.53850300720510402</v>
      </c>
      <c r="G28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114874</v>
      </c>
      <c r="H28" s="9">
        <f>Tableau_Lancer_la_requête_à_partir_de_Excel_Files10256789111214[[#This Row],[Aide Massif]]/Tableau_Lancer_la_requête_à_partir_de_Excel_Files10256789111214[[#This Row],[Coût total Projet]]</f>
        <v>0.53850300720510402</v>
      </c>
      <c r="I28" s="8">
        <v>72210</v>
      </c>
      <c r="J28" s="8">
        <f>Tableau_Lancer_la_requête_à_partir_de_Excel_Files10256789111214[[#This Row],[''FNADT '']]+Tableau_Lancer_la_requête_à_partir_de_Excel_Files10256789111214[[#This Row],[''Agriculture'']]</f>
        <v>0</v>
      </c>
      <c r="K28" s="8"/>
      <c r="L28" s="8"/>
      <c r="M28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21332</v>
      </c>
      <c r="N28" s="8"/>
      <c r="O28" s="8"/>
      <c r="P28" s="8"/>
      <c r="Q28" s="8">
        <v>21332</v>
      </c>
      <c r="R28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21332</v>
      </c>
      <c r="S28" s="8"/>
      <c r="T28" s="8"/>
      <c r="U28" s="8"/>
      <c r="V28" s="8">
        <v>21332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>
        <v>0</v>
      </c>
      <c r="AP28" s="10" t="s">
        <v>150</v>
      </c>
      <c r="AQ28" s="53"/>
      <c r="AR28" s="5" t="s">
        <v>149</v>
      </c>
      <c r="AT28" s="54" t="s">
        <v>255</v>
      </c>
    </row>
    <row r="29" spans="1:83" s="10" customFormat="1" ht="30" x14ac:dyDescent="0.25">
      <c r="A29" s="6" t="s">
        <v>173</v>
      </c>
      <c r="B29" s="5" t="s">
        <v>121</v>
      </c>
      <c r="C29" s="5" t="s">
        <v>122</v>
      </c>
      <c r="D29" s="8">
        <v>54513</v>
      </c>
      <c r="E29" s="8">
        <f>Tableau_Lancer_la_requête_à_partir_de_Excel_Files10256789111214[[#This Row],[Aide Massif]]+Tableau_Lancer_la_requête_à_partir_de_Excel_Files10256789111214[[#This Row],[''Autre Public'']]</f>
        <v>22550</v>
      </c>
      <c r="F29" s="9">
        <f>Tableau_Lancer_la_requête_à_partir_de_Excel_Files10256789111214[[#This Row],[Aide 
publique]]/Tableau_Lancer_la_requête_à_partir_de_Excel_Files10256789111214[[#This Row],[Coût total Projet]]</f>
        <v>0.4136627960303047</v>
      </c>
      <c r="G29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22550</v>
      </c>
      <c r="H29" s="9">
        <f>Tableau_Lancer_la_requête_à_partir_de_Excel_Files10256789111214[[#This Row],[Aide Massif]]/Tableau_Lancer_la_requête_à_partir_de_Excel_Files10256789111214[[#This Row],[Coût total Projet]]</f>
        <v>0.4136627960303047</v>
      </c>
      <c r="I29" s="8">
        <v>14570</v>
      </c>
      <c r="J29" s="8">
        <f>Tableau_Lancer_la_requête_à_partir_de_Excel_Files10256789111214[[#This Row],[''FNADT '']]+Tableau_Lancer_la_requête_à_partir_de_Excel_Files10256789111214[[#This Row],[''Agriculture'']]</f>
        <v>0</v>
      </c>
      <c r="K29" s="8"/>
      <c r="L29" s="8"/>
      <c r="M29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7980</v>
      </c>
      <c r="N29" s="8"/>
      <c r="O29" s="8"/>
      <c r="P29" s="8"/>
      <c r="Q29" s="8">
        <v>7980</v>
      </c>
      <c r="R29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0</v>
      </c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>
        <v>0</v>
      </c>
      <c r="AP29" s="10" t="s">
        <v>150</v>
      </c>
      <c r="AQ29" s="53"/>
      <c r="AR29" s="5" t="s">
        <v>149</v>
      </c>
      <c r="AT29" s="56" t="s">
        <v>255</v>
      </c>
    </row>
    <row r="30" spans="1:83" s="10" customFormat="1" ht="30" x14ac:dyDescent="0.25">
      <c r="A30" s="6" t="s">
        <v>174</v>
      </c>
      <c r="B30" s="5" t="s">
        <v>123</v>
      </c>
      <c r="C30" s="5" t="s">
        <v>124</v>
      </c>
      <c r="D30" s="8">
        <v>51647</v>
      </c>
      <c r="E30" s="8">
        <f>Tableau_Lancer_la_requête_à_partir_de_Excel_Files10256789111214[[#This Row],[Aide Massif]]+Tableau_Lancer_la_requête_à_partir_de_Excel_Files10256789111214[[#This Row],[''Autre Public'']]</f>
        <v>22922</v>
      </c>
      <c r="F30" s="9">
        <f>Tableau_Lancer_la_requête_à_partir_de_Excel_Files10256789111214[[#This Row],[Aide 
publique]]/Tableau_Lancer_la_requête_à_partir_de_Excel_Files10256789111214[[#This Row],[Coût total Projet]]</f>
        <v>0.44382055104846363</v>
      </c>
      <c r="G30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22922</v>
      </c>
      <c r="H30" s="9">
        <f>Tableau_Lancer_la_requête_à_partir_de_Excel_Files10256789111214[[#This Row],[Aide Massif]]/Tableau_Lancer_la_requête_à_partir_de_Excel_Files10256789111214[[#This Row],[Coût total Projet]]</f>
        <v>0.44382055104846363</v>
      </c>
      <c r="I30" s="8">
        <v>10210</v>
      </c>
      <c r="J30" s="8">
        <f>Tableau_Lancer_la_requête_à_partir_de_Excel_Files10256789111214[[#This Row],[''FNADT '']]+Tableau_Lancer_la_requête_à_partir_de_Excel_Files10256789111214[[#This Row],[''Agriculture'']]</f>
        <v>0</v>
      </c>
      <c r="K30" s="8"/>
      <c r="L30" s="8"/>
      <c r="M30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4965</v>
      </c>
      <c r="N30" s="8"/>
      <c r="O30" s="8"/>
      <c r="P30" s="8"/>
      <c r="Q30" s="8">
        <v>4965</v>
      </c>
      <c r="R30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7747</v>
      </c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>
        <v>7747</v>
      </c>
      <c r="AG30" s="8"/>
      <c r="AH30" s="8"/>
      <c r="AI30" s="8"/>
      <c r="AJ30" s="8"/>
      <c r="AK30" s="8"/>
      <c r="AL30" s="8"/>
      <c r="AM30" s="8"/>
      <c r="AN30" s="8"/>
      <c r="AO30" s="8">
        <v>0</v>
      </c>
      <c r="AP30" s="10" t="s">
        <v>150</v>
      </c>
      <c r="AQ30" s="53"/>
      <c r="AR30" s="5" t="s">
        <v>149</v>
      </c>
      <c r="AT30" s="54" t="s">
        <v>255</v>
      </c>
    </row>
    <row r="31" spans="1:83" s="10" customFormat="1" ht="30" x14ac:dyDescent="0.25">
      <c r="A31" s="6" t="s">
        <v>175</v>
      </c>
      <c r="B31" s="5" t="s">
        <v>11</v>
      </c>
      <c r="C31" s="5" t="s">
        <v>125</v>
      </c>
      <c r="D31" s="8">
        <v>105000</v>
      </c>
      <c r="E31" s="8">
        <f>Tableau_Lancer_la_requête_à_partir_de_Excel_Files10256789111214[[#This Row],[Aide Massif]]+Tableau_Lancer_la_requête_à_partir_de_Excel_Files10256789111214[[#This Row],[''Autre Public'']]</f>
        <v>59330</v>
      </c>
      <c r="F31" s="9">
        <f>Tableau_Lancer_la_requête_à_partir_de_Excel_Files10256789111214[[#This Row],[Aide 
publique]]/Tableau_Lancer_la_requête_à_partir_de_Excel_Files10256789111214[[#This Row],[Coût total Projet]]</f>
        <v>0.56504761904761902</v>
      </c>
      <c r="G31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59330</v>
      </c>
      <c r="H31" s="9">
        <f>Tableau_Lancer_la_requête_à_partir_de_Excel_Files10256789111214[[#This Row],[Aide Massif]]/Tableau_Lancer_la_requête_à_partir_de_Excel_Files10256789111214[[#This Row],[Coût total Projet]]</f>
        <v>0.56504761904761902</v>
      </c>
      <c r="I31" s="8">
        <v>38330</v>
      </c>
      <c r="J31" s="8">
        <f>Tableau_Lancer_la_requête_à_partir_de_Excel_Files10256789111214[[#This Row],[''FNADT '']]+Tableau_Lancer_la_requête_à_partir_de_Excel_Files10256789111214[[#This Row],[''Agriculture'']]</f>
        <v>0</v>
      </c>
      <c r="K31" s="8"/>
      <c r="L31" s="8"/>
      <c r="M31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21000</v>
      </c>
      <c r="N31" s="8"/>
      <c r="O31" s="8"/>
      <c r="P31" s="8"/>
      <c r="Q31" s="8">
        <v>21000</v>
      </c>
      <c r="R31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0</v>
      </c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>
        <v>0</v>
      </c>
      <c r="AP31" s="10" t="s">
        <v>150</v>
      </c>
      <c r="AQ31" s="53"/>
      <c r="AR31" s="5" t="s">
        <v>149</v>
      </c>
      <c r="AT31" s="56" t="s">
        <v>255</v>
      </c>
    </row>
    <row r="32" spans="1:83" s="10" customFormat="1" ht="30" x14ac:dyDescent="0.25">
      <c r="A32" s="6" t="s">
        <v>176</v>
      </c>
      <c r="B32" s="5" t="s">
        <v>126</v>
      </c>
      <c r="C32" s="5" t="s">
        <v>122</v>
      </c>
      <c r="D32" s="8">
        <v>91565</v>
      </c>
      <c r="E32" s="8">
        <f>Tableau_Lancer_la_requête_à_partir_de_Excel_Files10256789111214[[#This Row],[Aide Massif]]+Tableau_Lancer_la_requête_à_partir_de_Excel_Files10256789111214[[#This Row],[''Autre Public'']]</f>
        <v>48493</v>
      </c>
      <c r="F32" s="9">
        <f>Tableau_Lancer_la_requête_à_partir_de_Excel_Files10256789111214[[#This Row],[Aide 
publique]]/Tableau_Lancer_la_requête_à_partir_de_Excel_Files10256789111214[[#This Row],[Coût total Projet]]</f>
        <v>0.52960192213181889</v>
      </c>
      <c r="G32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48493</v>
      </c>
      <c r="H32" s="9">
        <f>Tableau_Lancer_la_requête_à_partir_de_Excel_Files10256789111214[[#This Row],[Aide Massif]]/Tableau_Lancer_la_requête_à_partir_de_Excel_Files10256789111214[[#This Row],[Coût total Projet]]</f>
        <v>0.52960192213181889</v>
      </c>
      <c r="I32" s="8">
        <v>30180</v>
      </c>
      <c r="J32" s="8">
        <f>Tableau_Lancer_la_requête_à_partir_de_Excel_Files10256789111214[[#This Row],[''FNADT '']]+Tableau_Lancer_la_requête_à_partir_de_Excel_Files10256789111214[[#This Row],[''Agriculture'']]</f>
        <v>0</v>
      </c>
      <c r="K32" s="8"/>
      <c r="L32" s="8"/>
      <c r="M32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18313</v>
      </c>
      <c r="N32" s="8"/>
      <c r="O32" s="8"/>
      <c r="P32" s="8"/>
      <c r="Q32" s="8">
        <v>18313</v>
      </c>
      <c r="R32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0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>
        <v>0</v>
      </c>
      <c r="AP32" s="10" t="s">
        <v>150</v>
      </c>
      <c r="AQ32" s="53"/>
      <c r="AR32" s="5" t="s">
        <v>149</v>
      </c>
      <c r="AT32" s="54" t="s">
        <v>255</v>
      </c>
    </row>
    <row r="33" spans="1:83" s="10" customFormat="1" ht="45" x14ac:dyDescent="0.25">
      <c r="A33" s="6" t="s">
        <v>177</v>
      </c>
      <c r="B33" s="5" t="s">
        <v>86</v>
      </c>
      <c r="C33" s="5" t="s">
        <v>127</v>
      </c>
      <c r="D33" s="8">
        <v>24173</v>
      </c>
      <c r="E33" s="8">
        <f>Tableau_Lancer_la_requête_à_partir_de_Excel_Files10256789111214[[#This Row],[Aide Massif]]+Tableau_Lancer_la_requête_à_partir_de_Excel_Files10256789111214[[#This Row],[''Autre Public'']]</f>
        <v>11422.65</v>
      </c>
      <c r="F33" s="9">
        <f>Tableau_Lancer_la_requête_à_partir_de_Excel_Files10256789111214[[#This Row],[Aide 
publique]]/Tableau_Lancer_la_requête_à_partir_de_Excel_Files10256789111214[[#This Row],[Coût total Projet]]</f>
        <v>0.47253754188557479</v>
      </c>
      <c r="G33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11422.65</v>
      </c>
      <c r="H33" s="9">
        <f>Tableau_Lancer_la_requête_à_partir_de_Excel_Files10256789111214[[#This Row],[Aide Massif]]/Tableau_Lancer_la_requête_à_partir_de_Excel_Files10256789111214[[#This Row],[Coût total Projet]]</f>
        <v>0.47253754188557479</v>
      </c>
      <c r="I33" s="8">
        <v>6588.65</v>
      </c>
      <c r="J33" s="8">
        <f>Tableau_Lancer_la_requête_à_partir_de_Excel_Files10256789111214[[#This Row],[''FNADT '']]+Tableau_Lancer_la_requête_à_partir_de_Excel_Files10256789111214[[#This Row],[''Agriculture'']]</f>
        <v>0</v>
      </c>
      <c r="K33" s="8">
        <v>0</v>
      </c>
      <c r="L33" s="8"/>
      <c r="M33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2417</v>
      </c>
      <c r="N33" s="8"/>
      <c r="O33" s="8"/>
      <c r="P33" s="8"/>
      <c r="Q33" s="8">
        <v>2417</v>
      </c>
      <c r="R33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2417</v>
      </c>
      <c r="S33" s="8"/>
      <c r="T33" s="8"/>
      <c r="U33" s="8"/>
      <c r="V33" s="8">
        <v>2417</v>
      </c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>
        <v>0</v>
      </c>
      <c r="AP33" s="10" t="s">
        <v>150</v>
      </c>
      <c r="AQ33" s="53"/>
      <c r="AR33" s="5" t="s">
        <v>149</v>
      </c>
      <c r="AT33" s="56" t="s">
        <v>255</v>
      </c>
    </row>
    <row r="34" spans="1:83" s="10" customFormat="1" ht="45.75" thickBot="1" x14ac:dyDescent="0.3">
      <c r="A34" s="6" t="s">
        <v>177</v>
      </c>
      <c r="B34" s="5" t="s">
        <v>128</v>
      </c>
      <c r="C34" s="5" t="s">
        <v>127</v>
      </c>
      <c r="D34" s="8">
        <v>72750</v>
      </c>
      <c r="E34" s="8">
        <f>Tableau_Lancer_la_requête_à_partir_de_Excel_Files10256789111214[[#This Row],[Aide Massif]]+Tableau_Lancer_la_requête_à_partir_de_Excel_Files10256789111214[[#This Row],[''Autre Public'']]</f>
        <v>39281.35</v>
      </c>
      <c r="F34" s="9">
        <f>Tableau_Lancer_la_requête_à_partir_de_Excel_Files10256789111214[[#This Row],[Aide 
publique]]/Tableau_Lancer_la_requête_à_partir_de_Excel_Files10256789111214[[#This Row],[Coût total Projet]]</f>
        <v>0.53994982817869419</v>
      </c>
      <c r="G34" s="8">
        <f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f>
        <v>39281.35</v>
      </c>
      <c r="H34" s="9">
        <f>Tableau_Lancer_la_requête_à_partir_de_Excel_Files10256789111214[[#This Row],[Aide Massif]]/Tableau_Lancer_la_requête_à_partir_de_Excel_Files10256789111214[[#This Row],[Coût total Projet]]</f>
        <v>0.53994982817869419</v>
      </c>
      <c r="I34" s="8">
        <v>24731.35</v>
      </c>
      <c r="J34" s="8">
        <f>Tableau_Lancer_la_requête_à_partir_de_Excel_Files10256789111214[[#This Row],[''FNADT '']]+Tableau_Lancer_la_requête_à_partir_de_Excel_Files10256789111214[[#This Row],[''Agriculture'']]</f>
        <v>0</v>
      </c>
      <c r="K34" s="8">
        <v>0</v>
      </c>
      <c r="L34" s="8"/>
      <c r="M34" s="8">
        <f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f>
        <v>7275</v>
      </c>
      <c r="N34" s="8"/>
      <c r="O34" s="8"/>
      <c r="P34" s="8"/>
      <c r="Q34" s="8">
        <v>7275</v>
      </c>
      <c r="R34" s="8">
        <f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f>
        <v>7275</v>
      </c>
      <c r="S34" s="8"/>
      <c r="T34" s="8"/>
      <c r="U34" s="8"/>
      <c r="V34" s="8">
        <v>7275</v>
      </c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>
        <v>0</v>
      </c>
      <c r="AP34" s="10" t="s">
        <v>150</v>
      </c>
      <c r="AQ34" s="53"/>
      <c r="AR34" s="5" t="s">
        <v>149</v>
      </c>
      <c r="AT34" s="54" t="s">
        <v>255</v>
      </c>
    </row>
    <row r="35" spans="1:83" s="10" customFormat="1" ht="15.75" thickTop="1" x14ac:dyDescent="0.25">
      <c r="A35" s="10" t="s">
        <v>8</v>
      </c>
      <c r="B35" s="5">
        <f>SUBTOTAL(103,Tableau_Lancer_la_requête_à_partir_de_Excel_Files10256789111214[Nom_MO])</f>
        <v>15</v>
      </c>
      <c r="C35" s="5"/>
      <c r="D35" s="49">
        <f>SUBTOTAL(109,Tableau_Lancer_la_requête_à_partir_de_Excel_Files10256789111214[Coût total Projet])</f>
        <v>1456586.37</v>
      </c>
      <c r="E35" s="49">
        <f>SUBTOTAL(109,Tableau_Lancer_la_requête_à_partir_de_Excel_Files10256789111214[Aide 
publique])</f>
        <v>690226</v>
      </c>
      <c r="F35" s="84"/>
      <c r="G35" s="49">
        <f>SUBTOTAL(109,Tableau_Lancer_la_requête_à_partir_de_Excel_Files10256789111214[Aide Massif])</f>
        <v>690226</v>
      </c>
      <c r="H35" s="84"/>
      <c r="I35" s="49">
        <f>SUBTOTAL(109,Tableau_Lancer_la_requête_à_partir_de_Excel_Files10256789111214[''FEDER''])</f>
        <v>399820</v>
      </c>
      <c r="J35" s="49">
        <f>SUBTOTAL(109,Tableau_Lancer_la_requête_à_partir_de_Excel_Files10256789111214[Total Etat])</f>
        <v>29611</v>
      </c>
      <c r="L35" s="49">
        <f>SUBTOTAL(109,Tableau_Lancer_la_requête_à_partir_de_Excel_Files10256789111214[''Agriculture''])</f>
        <v>0</v>
      </c>
      <c r="M35" s="49">
        <f>SUBTOTAL(109,Tableau_Lancer_la_requête_à_partir_de_Excel_Files10256789111214[Total Régions])</f>
        <v>197859</v>
      </c>
      <c r="N35" s="49">
        <f>SUBTOTAL(109,Tableau_Lancer_la_requête_à_partir_de_Excel_Files10256789111214[''ALPC''])</f>
        <v>0</v>
      </c>
      <c r="O35" s="49">
        <f>SUBTOTAL(109,Tableau_Lancer_la_requête_à_partir_de_Excel_Files10256789111214[''AURA''])</f>
        <v>75250</v>
      </c>
      <c r="P35" s="49">
        <f>SUBTOTAL(109,Tableau_Lancer_la_requête_à_partir_de_Excel_Files10256789111214[''BFC''])</f>
        <v>0</v>
      </c>
      <c r="Q35" s="49">
        <f>SUBTOTAL(109,Tableau_Lancer_la_requête_à_partir_de_Excel_Files10256789111214[''LRMP''])</f>
        <v>122609</v>
      </c>
      <c r="R35" s="49">
        <f>SUBTOTAL(109,Tableau_Lancer_la_requête_à_partir_de_Excel_Files10256789111214[Total Dpts])</f>
        <v>62936</v>
      </c>
      <c r="S35" s="49">
        <f>SUBTOTAL(109,Tableau_Lancer_la_requête_à_partir_de_Excel_Files10256789111214[''03''])</f>
        <v>0</v>
      </c>
      <c r="T35" s="49">
        <f>SUBTOTAL(109,Tableau_Lancer_la_requête_à_partir_de_Excel_Files10256789111214[''07''])</f>
        <v>0</v>
      </c>
      <c r="U35" s="49">
        <f>SUBTOTAL(109,Tableau_Lancer_la_requête_à_partir_de_Excel_Files10256789111214[''11''])</f>
        <v>0</v>
      </c>
      <c r="V35" s="49">
        <f>SUBTOTAL(109,Tableau_Lancer_la_requête_à_partir_de_Excel_Files10256789111214[''12''])</f>
        <v>47606</v>
      </c>
      <c r="W35" s="49">
        <f>SUBTOTAL(109,Tableau_Lancer_la_requête_à_partir_de_Excel_Files10256789111214[''15''])</f>
        <v>0</v>
      </c>
      <c r="X35" s="49">
        <f>SUBTOTAL(109,Tableau_Lancer_la_requête_à_partir_de_Excel_Files10256789111214[''19''])</f>
        <v>0</v>
      </c>
      <c r="Y35" s="49">
        <f>SUBTOTAL(109,Tableau_Lancer_la_requête_à_partir_de_Excel_Files10256789111214[''21''])</f>
        <v>0</v>
      </c>
      <c r="Z35" s="49">
        <f>SUBTOTAL(109,Tableau_Lancer_la_requête_à_partir_de_Excel_Files10256789111214[''23''])</f>
        <v>0</v>
      </c>
      <c r="AA35" s="49">
        <f>SUBTOTAL(109,Tableau_Lancer_la_requête_à_partir_de_Excel_Files10256789111214[''30''])</f>
        <v>0</v>
      </c>
      <c r="AB35" s="49">
        <f>SUBTOTAL(109,Tableau_Lancer_la_requête_à_partir_de_Excel_Files10256789111214[''34''])</f>
        <v>0</v>
      </c>
      <c r="AC35" s="49">
        <f>SUBTOTAL(109,Tableau_Lancer_la_requête_à_partir_de_Excel_Files10256789111214[''42''])</f>
        <v>0</v>
      </c>
      <c r="AD35" s="49">
        <f>SUBTOTAL(109,Tableau_Lancer_la_requête_à_partir_de_Excel_Files10256789111214[''43''])</f>
        <v>0</v>
      </c>
      <c r="AE35" s="49">
        <f>SUBTOTAL(109,Tableau_Lancer_la_requête_à_partir_de_Excel_Files10256789111214[''46''])</f>
        <v>0</v>
      </c>
      <c r="AF35" s="49">
        <f>SUBTOTAL(109,Tableau_Lancer_la_requête_à_partir_de_Excel_Files10256789111214[''48''])</f>
        <v>15330</v>
      </c>
      <c r="AG35" s="49">
        <f>SUBTOTAL(109,Tableau_Lancer_la_requête_à_partir_de_Excel_Files10256789111214[''58''])</f>
        <v>0</v>
      </c>
      <c r="AH35" s="49">
        <f>SUBTOTAL(109,Tableau_Lancer_la_requête_à_partir_de_Excel_Files10256789111214[''63''])</f>
        <v>0</v>
      </c>
      <c r="AI35" s="49">
        <f>SUBTOTAL(109,Tableau_Lancer_la_requête_à_partir_de_Excel_Files10256789111214[''69''])</f>
        <v>0</v>
      </c>
      <c r="AJ35" s="49">
        <f>SUBTOTAL(109,Tableau_Lancer_la_requête_à_partir_de_Excel_Files10256789111214[''71''])</f>
        <v>0</v>
      </c>
      <c r="AK35" s="49">
        <f>SUBTOTAL(109,Tableau_Lancer_la_requête_à_partir_de_Excel_Files10256789111214[''81''])</f>
        <v>0</v>
      </c>
      <c r="AL35" s="49">
        <f>SUBTOTAL(109,Tableau_Lancer_la_requête_à_partir_de_Excel_Files10256789111214[''82''])</f>
        <v>0</v>
      </c>
      <c r="AM35" s="49">
        <f>SUBTOTAL(109,Tableau_Lancer_la_requête_à_partir_de_Excel_Files10256789111214[''87''])</f>
        <v>0</v>
      </c>
      <c r="AN35" s="49">
        <f>SUBTOTAL(109,Tableau_Lancer_la_requête_à_partir_de_Excel_Files10256789111214[''89''])</f>
        <v>0</v>
      </c>
      <c r="AO35" s="49">
        <f>SUBTOTAL(109,Tableau_Lancer_la_requête_à_partir_de_Excel_Files10256789111214[''Autre Public''])</f>
        <v>0</v>
      </c>
      <c r="AR35" s="4"/>
      <c r="AT35" s="57"/>
    </row>
    <row r="36" spans="1:83" s="10" customFormat="1" x14ac:dyDescent="0.25">
      <c r="B36" s="5"/>
      <c r="C36" s="5"/>
      <c r="D36" s="49"/>
      <c r="E36" s="49"/>
      <c r="F36" s="50"/>
      <c r="G36" s="49"/>
      <c r="H36" s="50"/>
      <c r="I36" s="49"/>
      <c r="J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R36" s="4"/>
      <c r="AT36" s="160"/>
    </row>
    <row r="37" spans="1:83" s="10" customFormat="1" x14ac:dyDescent="0.25">
      <c r="B37" s="5"/>
      <c r="C37" s="5"/>
      <c r="D37" s="49"/>
      <c r="E37" s="49"/>
      <c r="F37" s="50"/>
      <c r="G37" s="49"/>
      <c r="H37" s="50"/>
      <c r="I37" s="49"/>
      <c r="J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R37" s="4"/>
      <c r="AT37" s="160"/>
    </row>
    <row r="38" spans="1:83" s="10" customFormat="1" x14ac:dyDescent="0.25">
      <c r="A38" s="1" t="s">
        <v>135</v>
      </c>
      <c r="B38" s="4"/>
      <c r="C38" s="5"/>
      <c r="D38" s="3"/>
      <c r="E38" s="3"/>
      <c r="F38" s="6"/>
      <c r="G38" s="3"/>
      <c r="H38" s="6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4"/>
      <c r="AT38" s="160"/>
    </row>
    <row r="39" spans="1:83" s="10" customFormat="1" ht="45" x14ac:dyDescent="0.25">
      <c r="A39" s="7" t="s">
        <v>7</v>
      </c>
      <c r="B39" s="7" t="s">
        <v>1</v>
      </c>
      <c r="C39" s="7" t="s">
        <v>2</v>
      </c>
      <c r="D39" s="7" t="s">
        <v>256</v>
      </c>
      <c r="E39" s="7" t="s">
        <v>54</v>
      </c>
      <c r="F39" s="7" t="s">
        <v>53</v>
      </c>
      <c r="G39" s="7" t="s">
        <v>50</v>
      </c>
      <c r="H39" s="7" t="s">
        <v>55</v>
      </c>
      <c r="I39" s="7" t="s">
        <v>44</v>
      </c>
      <c r="J39" s="7" t="s">
        <v>65</v>
      </c>
      <c r="K39" s="7" t="s">
        <v>69</v>
      </c>
      <c r="L39" s="7" t="s">
        <v>17</v>
      </c>
      <c r="M39" s="7" t="s">
        <v>66</v>
      </c>
      <c r="N39" s="7" t="s">
        <v>20</v>
      </c>
      <c r="O39" s="7" t="s">
        <v>18</v>
      </c>
      <c r="P39" s="7" t="s">
        <v>19</v>
      </c>
      <c r="Q39" s="7" t="s">
        <v>21</v>
      </c>
      <c r="R39" s="7" t="s">
        <v>67</v>
      </c>
      <c r="S39" s="7" t="s">
        <v>22</v>
      </c>
      <c r="T39" s="7" t="s">
        <v>23</v>
      </c>
      <c r="U39" s="7" t="s">
        <v>24</v>
      </c>
      <c r="V39" s="7" t="s">
        <v>25</v>
      </c>
      <c r="W39" s="7" t="s">
        <v>26</v>
      </c>
      <c r="X39" s="7" t="s">
        <v>27</v>
      </c>
      <c r="Y39" s="7" t="s">
        <v>28</v>
      </c>
      <c r="Z39" s="7" t="s">
        <v>29</v>
      </c>
      <c r="AA39" s="7" t="s">
        <v>30</v>
      </c>
      <c r="AB39" s="7" t="s">
        <v>31</v>
      </c>
      <c r="AC39" s="7" t="s">
        <v>32</v>
      </c>
      <c r="AD39" s="7" t="s">
        <v>33</v>
      </c>
      <c r="AE39" s="7" t="s">
        <v>34</v>
      </c>
      <c r="AF39" s="7" t="s">
        <v>35</v>
      </c>
      <c r="AG39" s="7" t="s">
        <v>36</v>
      </c>
      <c r="AH39" s="7" t="s">
        <v>37</v>
      </c>
      <c r="AI39" s="7" t="s">
        <v>38</v>
      </c>
      <c r="AJ39" s="7" t="s">
        <v>39</v>
      </c>
      <c r="AK39" s="7" t="s">
        <v>40</v>
      </c>
      <c r="AL39" s="7" t="s">
        <v>41</v>
      </c>
      <c r="AM39" s="7" t="s">
        <v>42</v>
      </c>
      <c r="AN39" s="7" t="s">
        <v>43</v>
      </c>
      <c r="AO39" s="7" t="s">
        <v>45</v>
      </c>
      <c r="AP39" s="7" t="s">
        <v>49</v>
      </c>
      <c r="AQ39" s="7" t="s">
        <v>131</v>
      </c>
      <c r="AR39" s="17" t="s">
        <v>56</v>
      </c>
      <c r="AT39" s="55" t="s">
        <v>64</v>
      </c>
    </row>
    <row r="40" spans="1:83" s="10" customFormat="1" ht="45.75" thickBot="1" x14ac:dyDescent="0.3">
      <c r="A40" s="13" t="s">
        <v>178</v>
      </c>
      <c r="B40" s="12" t="s">
        <v>101</v>
      </c>
      <c r="C40" s="12" t="s">
        <v>102</v>
      </c>
      <c r="D40" s="15">
        <v>66064</v>
      </c>
      <c r="E40" s="15">
        <f>Tableau_Lancer_la_requête_à_partir_de_Excel_Files102567891112[[#This Row],[Aide Massif]]+Tableau_Lancer_la_requête_à_partir_de_Excel_Files102567891112[[#This Row],[''Autre Public'']]</f>
        <v>46244.800000000003</v>
      </c>
      <c r="F40" s="16">
        <f>Tableau_Lancer_la_requête_à_partir_de_Excel_Files102567891112[[#This Row],[Aide 
publique]]/Tableau_Lancer_la_requête_à_partir_de_Excel_Files102567891112[[#This Row],[Coût total Projet]]</f>
        <v>0.70000000000000007</v>
      </c>
      <c r="G40" s="15">
        <f>Tableau_Lancer_la_requête_à_partir_de_Excel_Files102567891112[[#This Row],[''FEDER'']]+Tableau_Lancer_la_requête_à_partir_de_Excel_Files102567891112[[#This Row],[Total Etat]]+Tableau_Lancer_la_requête_à_partir_de_Excel_Files102567891112[[#This Row],[Total Régions]]+Tableau_Lancer_la_requête_à_partir_de_Excel_Files102567891112[[#This Row],[Total Dpts]]</f>
        <v>46244.800000000003</v>
      </c>
      <c r="H40" s="16">
        <f>Tableau_Lancer_la_requête_à_partir_de_Excel_Files102567891112[[#This Row],[Aide Massif]]/Tableau_Lancer_la_requête_à_partir_de_Excel_Files102567891112[[#This Row],[Coût total Projet]]</f>
        <v>0.70000000000000007</v>
      </c>
      <c r="I40" s="15">
        <v>0</v>
      </c>
      <c r="J40" s="15">
        <f>Tableau_Lancer_la_requête_à_partir_de_Excel_Files102567891112[[#This Row],[''FNADT '']]+Tableau_Lancer_la_requête_à_partir_de_Excel_Files102567891112[[#This Row],[''Agriculture'']]</f>
        <v>35544.800000000003</v>
      </c>
      <c r="K40" s="15">
        <v>35544.800000000003</v>
      </c>
      <c r="L40" s="15"/>
      <c r="M40" s="15">
        <f>Tableau_Lancer_la_requête_à_partir_de_Excel_Files102567891112[[#This Row],[''ALPC'']]+Tableau_Lancer_la_requête_à_partir_de_Excel_Files102567891112[[#This Row],[''AURA'']]+Tableau_Lancer_la_requête_à_partir_de_Excel_Files102567891112[[#This Row],[''BFC'']]+Tableau_Lancer_la_requête_à_partir_de_Excel_Files102567891112[[#This Row],[''LRMP'']]</f>
        <v>10700</v>
      </c>
      <c r="N40" s="15"/>
      <c r="O40" s="15"/>
      <c r="P40" s="15"/>
      <c r="Q40" s="15">
        <v>10700</v>
      </c>
      <c r="R40" s="15">
        <f>Tableau_Lancer_la_requête_à_partir_de_Excel_Files102567891112[[#This Row],[''03'']]+Tableau_Lancer_la_requête_à_partir_de_Excel_Files102567891112[[#This Row],[''07'']]+Tableau_Lancer_la_requête_à_partir_de_Excel_Files102567891112[[#This Row],[''11'']]+Tableau_Lancer_la_requête_à_partir_de_Excel_Files102567891112[[#This Row],[''12'']]+Tableau_Lancer_la_requête_à_partir_de_Excel_Files102567891112[[#This Row],[''15'']]+Tableau_Lancer_la_requête_à_partir_de_Excel_Files102567891112[[#This Row],[''19'']]+Tableau_Lancer_la_requête_à_partir_de_Excel_Files102567891112[[#This Row],[''21'']]+Tableau_Lancer_la_requête_à_partir_de_Excel_Files102567891112[[#This Row],[''23'']]+Tableau_Lancer_la_requête_à_partir_de_Excel_Files102567891112[[#This Row],[''30'']]+Tableau_Lancer_la_requête_à_partir_de_Excel_Files102567891112[[#This Row],[''34'']]+Tableau_Lancer_la_requête_à_partir_de_Excel_Files102567891112[[#This Row],[''42'']]+Tableau_Lancer_la_requête_à_partir_de_Excel_Files102567891112[[#This Row],[''43'']]+Tableau_Lancer_la_requête_à_partir_de_Excel_Files102567891112[[#This Row],[''46'']]+Tableau_Lancer_la_requête_à_partir_de_Excel_Files102567891112[[#This Row],[''48'']]+Tableau_Lancer_la_requête_à_partir_de_Excel_Files102567891112[[#This Row],[''58'']]+Tableau_Lancer_la_requête_à_partir_de_Excel_Files102567891112[[#This Row],[''63'']]+Tableau_Lancer_la_requête_à_partir_de_Excel_Files102567891112[[#This Row],[''69'']]+Tableau_Lancer_la_requête_à_partir_de_Excel_Files102567891112[[#This Row],[''71'']]+Tableau_Lancer_la_requête_à_partir_de_Excel_Files102567891112[[#This Row],[''81'']]+Tableau_Lancer_la_requête_à_partir_de_Excel_Files102567891112[[#This Row],[''82'']]+Tableau_Lancer_la_requête_à_partir_de_Excel_Files102567891112[[#This Row],[''87'']]+Tableau_Lancer_la_requête_à_partir_de_Excel_Files102567891112[[#This Row],[''89'']]</f>
        <v>0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>
        <v>0</v>
      </c>
      <c r="AP40" s="10" t="s">
        <v>150</v>
      </c>
      <c r="AQ40" s="53"/>
      <c r="AR40" s="12" t="s">
        <v>149</v>
      </c>
      <c r="AT40" s="54"/>
    </row>
    <row r="41" spans="1:83" s="10" customFormat="1" ht="15.75" thickTop="1" x14ac:dyDescent="0.25">
      <c r="A41" s="10" t="s">
        <v>8</v>
      </c>
      <c r="B41" s="5">
        <f>SUBTOTAL(103,Tableau_Lancer_la_requête_à_partir_de_Excel_Files102567891112[Nom_MO])</f>
        <v>1</v>
      </c>
      <c r="C41" s="5"/>
      <c r="D41" s="49">
        <f>SUBTOTAL(109,Tableau_Lancer_la_requête_à_partir_de_Excel_Files102567891112[Coût total Projet])</f>
        <v>66064</v>
      </c>
      <c r="E41" s="49">
        <f>SUBTOTAL(109,Tableau_Lancer_la_requête_à_partir_de_Excel_Files102567891112[Aide 
publique])</f>
        <v>46244.800000000003</v>
      </c>
      <c r="F41" s="84"/>
      <c r="G41" s="49">
        <f>SUBTOTAL(109,Tableau_Lancer_la_requête_à_partir_de_Excel_Files102567891112[Aide Massif])</f>
        <v>46244.800000000003</v>
      </c>
      <c r="H41" s="84"/>
      <c r="I41" s="49">
        <f>SUBTOTAL(109,Tableau_Lancer_la_requête_à_partir_de_Excel_Files102567891112[''FEDER''])</f>
        <v>0</v>
      </c>
      <c r="J41" s="49">
        <f>SUBTOTAL(109,Tableau_Lancer_la_requête_à_partir_de_Excel_Files102567891112[Total Etat])</f>
        <v>35544.800000000003</v>
      </c>
      <c r="L41" s="49">
        <f>SUBTOTAL(109,Tableau_Lancer_la_requête_à_partir_de_Excel_Files102567891112[''Agriculture''])</f>
        <v>0</v>
      </c>
      <c r="M41" s="49">
        <f>SUBTOTAL(109,Tableau_Lancer_la_requête_à_partir_de_Excel_Files102567891112[Total Régions])</f>
        <v>10700</v>
      </c>
      <c r="N41" s="49">
        <f>SUBTOTAL(109,Tableau_Lancer_la_requête_à_partir_de_Excel_Files102567891112[''ALPC''])</f>
        <v>0</v>
      </c>
      <c r="O41" s="49">
        <f>SUBTOTAL(109,Tableau_Lancer_la_requête_à_partir_de_Excel_Files102567891112[''AURA''])</f>
        <v>0</v>
      </c>
      <c r="P41" s="49">
        <f>SUBTOTAL(109,Tableau_Lancer_la_requête_à_partir_de_Excel_Files102567891112[''BFC''])</f>
        <v>0</v>
      </c>
      <c r="Q41" s="49">
        <f>SUBTOTAL(109,Tableau_Lancer_la_requête_à_partir_de_Excel_Files102567891112[''LRMP''])</f>
        <v>10700</v>
      </c>
      <c r="R41" s="49">
        <f>SUBTOTAL(109,Tableau_Lancer_la_requête_à_partir_de_Excel_Files102567891112[Total Dpts])</f>
        <v>0</v>
      </c>
      <c r="S41" s="49">
        <f>SUBTOTAL(109,Tableau_Lancer_la_requête_à_partir_de_Excel_Files102567891112[''03''])</f>
        <v>0</v>
      </c>
      <c r="T41" s="49">
        <f>SUBTOTAL(109,Tableau_Lancer_la_requête_à_partir_de_Excel_Files102567891112[''07''])</f>
        <v>0</v>
      </c>
      <c r="U41" s="49">
        <f>SUBTOTAL(109,Tableau_Lancer_la_requête_à_partir_de_Excel_Files102567891112[''11''])</f>
        <v>0</v>
      </c>
      <c r="V41" s="49">
        <f>SUBTOTAL(109,Tableau_Lancer_la_requête_à_partir_de_Excel_Files102567891112[''12''])</f>
        <v>0</v>
      </c>
      <c r="W41" s="49">
        <f>SUBTOTAL(109,Tableau_Lancer_la_requête_à_partir_de_Excel_Files102567891112[''15''])</f>
        <v>0</v>
      </c>
      <c r="X41" s="49">
        <f>SUBTOTAL(109,Tableau_Lancer_la_requête_à_partir_de_Excel_Files102567891112[''19''])</f>
        <v>0</v>
      </c>
      <c r="Y41" s="49">
        <f>SUBTOTAL(109,Tableau_Lancer_la_requête_à_partir_de_Excel_Files102567891112[''21''])</f>
        <v>0</v>
      </c>
      <c r="Z41" s="49">
        <f>SUBTOTAL(109,Tableau_Lancer_la_requête_à_partir_de_Excel_Files102567891112[''23''])</f>
        <v>0</v>
      </c>
      <c r="AA41" s="49">
        <f>SUBTOTAL(109,Tableau_Lancer_la_requête_à_partir_de_Excel_Files102567891112[''30''])</f>
        <v>0</v>
      </c>
      <c r="AB41" s="49">
        <f>SUBTOTAL(109,Tableau_Lancer_la_requête_à_partir_de_Excel_Files102567891112[''34''])</f>
        <v>0</v>
      </c>
      <c r="AC41" s="49">
        <f>SUBTOTAL(109,Tableau_Lancer_la_requête_à_partir_de_Excel_Files102567891112[''42''])</f>
        <v>0</v>
      </c>
      <c r="AD41" s="49">
        <f>SUBTOTAL(109,Tableau_Lancer_la_requête_à_partir_de_Excel_Files102567891112[''43''])</f>
        <v>0</v>
      </c>
      <c r="AE41" s="49">
        <f>SUBTOTAL(109,Tableau_Lancer_la_requête_à_partir_de_Excel_Files102567891112[''46''])</f>
        <v>0</v>
      </c>
      <c r="AF41" s="49">
        <f>SUBTOTAL(109,Tableau_Lancer_la_requête_à_partir_de_Excel_Files102567891112[''48''])</f>
        <v>0</v>
      </c>
      <c r="AG41" s="49">
        <f>SUBTOTAL(109,Tableau_Lancer_la_requête_à_partir_de_Excel_Files102567891112[''58''])</f>
        <v>0</v>
      </c>
      <c r="AH41" s="49">
        <f>SUBTOTAL(109,Tableau_Lancer_la_requête_à_partir_de_Excel_Files102567891112[''63''])</f>
        <v>0</v>
      </c>
      <c r="AI41" s="49">
        <f>SUBTOTAL(109,Tableau_Lancer_la_requête_à_partir_de_Excel_Files102567891112[''69''])</f>
        <v>0</v>
      </c>
      <c r="AJ41" s="49">
        <f>SUBTOTAL(109,Tableau_Lancer_la_requête_à_partir_de_Excel_Files102567891112[''71''])</f>
        <v>0</v>
      </c>
      <c r="AK41" s="49">
        <f>SUBTOTAL(109,Tableau_Lancer_la_requête_à_partir_de_Excel_Files102567891112[''81''])</f>
        <v>0</v>
      </c>
      <c r="AL41" s="49">
        <f>SUBTOTAL(109,Tableau_Lancer_la_requête_à_partir_de_Excel_Files102567891112[''82''])</f>
        <v>0</v>
      </c>
      <c r="AM41" s="49">
        <f>SUBTOTAL(109,Tableau_Lancer_la_requête_à_partir_de_Excel_Files102567891112[''87''])</f>
        <v>0</v>
      </c>
      <c r="AN41" s="49">
        <f>SUBTOTAL(109,Tableau_Lancer_la_requête_à_partir_de_Excel_Files102567891112[''89''])</f>
        <v>0</v>
      </c>
      <c r="AO41" s="49">
        <f>SUBTOTAL(109,Tableau_Lancer_la_requête_à_partir_de_Excel_Files102567891112[''Autre Public''])</f>
        <v>0</v>
      </c>
      <c r="AR41" s="4"/>
      <c r="AS41" s="3"/>
      <c r="AT41" s="57"/>
    </row>
    <row r="42" spans="1:83" x14ac:dyDescent="0.25">
      <c r="A42" s="10"/>
      <c r="B42" s="5"/>
      <c r="D42" s="49"/>
      <c r="E42" s="49"/>
      <c r="F42" s="50"/>
      <c r="G42" s="49"/>
      <c r="H42" s="50"/>
      <c r="I42" s="49"/>
      <c r="J42" s="49"/>
      <c r="K42" s="10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10"/>
      <c r="AQ42" s="10"/>
      <c r="CD42" s="4"/>
      <c r="CE42" s="3"/>
    </row>
    <row r="43" spans="1:83" x14ac:dyDescent="0.25">
      <c r="A43" s="10"/>
      <c r="B43" s="5"/>
      <c r="D43" s="49"/>
      <c r="E43" s="49"/>
      <c r="F43" s="50"/>
      <c r="G43" s="49"/>
      <c r="H43" s="50"/>
      <c r="I43" s="49"/>
      <c r="J43" s="49"/>
      <c r="K43" s="10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10"/>
      <c r="AQ43" s="10"/>
      <c r="AT43" s="160"/>
    </row>
    <row r="44" spans="1:83" x14ac:dyDescent="0.25">
      <c r="A44" s="10"/>
      <c r="B44" s="5"/>
      <c r="D44" s="49"/>
      <c r="E44" s="49"/>
      <c r="F44" s="50"/>
      <c r="G44" s="49"/>
      <c r="H44" s="50"/>
      <c r="I44" s="49"/>
      <c r="J44" s="49"/>
      <c r="K44" s="10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10"/>
      <c r="AQ44" s="10"/>
      <c r="AT44" s="160"/>
    </row>
    <row r="45" spans="1:83" x14ac:dyDescent="0.25">
      <c r="A45" s="10"/>
      <c r="B45" s="5"/>
      <c r="D45" s="49"/>
      <c r="E45" s="49"/>
      <c r="F45" s="50"/>
      <c r="G45" s="49"/>
      <c r="H45" s="50"/>
      <c r="I45" s="177" t="s">
        <v>137</v>
      </c>
      <c r="J45" s="177"/>
      <c r="K45" s="177"/>
      <c r="L45" s="177"/>
      <c r="M45" s="177"/>
      <c r="N45" s="58"/>
      <c r="O45" s="58"/>
      <c r="P45" s="58"/>
      <c r="Q45" s="58"/>
      <c r="R45" s="59">
        <v>1000000</v>
      </c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60" t="s">
        <v>140</v>
      </c>
      <c r="AT45" s="160"/>
    </row>
    <row r="46" spans="1:83" x14ac:dyDescent="0.25">
      <c r="A46" s="10"/>
      <c r="B46" s="5"/>
      <c r="D46" s="49"/>
      <c r="E46" s="49"/>
      <c r="F46" s="50"/>
      <c r="G46" s="49"/>
      <c r="H46" s="50"/>
      <c r="I46" s="178" t="s">
        <v>138</v>
      </c>
      <c r="J46" s="178"/>
      <c r="K46" s="178"/>
      <c r="L46" s="178"/>
      <c r="M46" s="178"/>
      <c r="N46" s="58"/>
      <c r="O46" s="58"/>
      <c r="P46" s="58"/>
      <c r="Q46" s="58"/>
      <c r="R46" s="58">
        <f>SUMIF(Tableau_Lancer_la_requête_à_partir_de_Excel_Files1025678911[Avis Cofimac],"1-Favorable",Tableau_Lancer_la_requête_à_partir_de_Excel_Files1025678911[''FEDER''])+SUMIF(Tableau_Lancer_la_requête_à_partir_de_Excel_Files102567891113[Avis Cofimac],"1-Favorable",Tableau_Lancer_la_requête_à_partir_de_Excel_Files102567891113[''FEDER''])+SUMIF(Tableau_Lancer_la_requête_à_partir_de_Excel_Files102567891113[Avis Cofimac],"2-Favorable sous réserve",Tableau_Lancer_la_requête_à_partir_de_Excel_Files102567891113[''FEDER''])+SUMIF(Tableau_Lancer_la_requête_à_partir_de_Excel_Files10256789111214[Avis Cofimac],"1-Favorable",Tableau_Lancer_la_requête_à_partir_de_Excel_Files10256789111214[''FEDER''])+SUMIF(Tableau_Lancer_la_requête_à_partir_de_Excel_Files10256789111214[Avis Cofimac],"2-Favorable sous réserve",Tableau_Lancer_la_requête_à_partir_de_Excel_Files10256789111214[''FEDER''])+600179.01</f>
        <v>999999.01</v>
      </c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>
        <f>$R$45-R46</f>
        <v>0.98999999999068677</v>
      </c>
      <c r="AP46" s="10"/>
      <c r="AQ46" s="10"/>
      <c r="AT46" s="160"/>
    </row>
    <row r="47" spans="1:83" x14ac:dyDescent="0.25">
      <c r="A47" s="10"/>
      <c r="B47" s="5"/>
      <c r="D47" s="49"/>
      <c r="E47" s="49"/>
      <c r="F47" s="50"/>
      <c r="G47" s="49"/>
      <c r="H47" s="50"/>
      <c r="I47" s="178" t="s">
        <v>139</v>
      </c>
      <c r="J47" s="178"/>
      <c r="K47" s="178"/>
      <c r="L47" s="178"/>
      <c r="M47" s="178"/>
      <c r="N47" s="58"/>
      <c r="O47" s="58"/>
      <c r="P47" s="58"/>
      <c r="Q47" s="58"/>
      <c r="R47" s="58">
        <f>SUMIF(Tableau_Lancer_la_requête_à_partir_de_Excel_Files1025678911[Avis Prog],"1-Favorable",Tableau_Lancer_la_requête_à_partir_de_Excel_Files1025678911[''FEDER''])+SUMIF(Tableau_Lancer_la_requête_à_partir_de_Excel_Files102567891113[Avis Prog],"1-Favorable",Tableau_Lancer_la_requête_à_partir_de_Excel_Files102567891113[''FEDER''])+SUMIF(Tableau_Lancer_la_requête_à_partir_de_Excel_Files102567891113[Avis Prog],"2-Favorable sous réserve",Tableau_Lancer_la_requête_à_partir_de_Excel_Files102567891113[''FEDER''])+SUMIF(Tableau_Lancer_la_requête_à_partir_de_Excel_Files10256789111214[Avis Prog],"1-Favorable",Tableau_Lancer_la_requête_à_partir_de_Excel_Files10256789111214[''FEDER''])+SUMIF(Tableau_Lancer_la_requête_à_partir_de_Excel_Files10256789111214[Avis Prog],"2-Favorable sous réserve",Tableau_Lancer_la_requête_à_partir_de_Excel_Files10256789111214[''FEDER''])+600179.01</f>
        <v>999999.01</v>
      </c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>
        <f>$R$45-R47</f>
        <v>0.98999999999068677</v>
      </c>
      <c r="AP47" s="10"/>
      <c r="AQ47" s="10"/>
      <c r="AT47" s="160"/>
    </row>
    <row r="48" spans="1:83" x14ac:dyDescent="0.25">
      <c r="A48" s="10"/>
      <c r="B48" s="5"/>
      <c r="D48" s="49"/>
      <c r="E48" s="49"/>
      <c r="F48" s="50"/>
      <c r="G48" s="49"/>
      <c r="H48" s="50"/>
      <c r="I48" s="49"/>
      <c r="J48" s="49"/>
      <c r="K48" s="10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10"/>
      <c r="AQ48" s="10"/>
      <c r="AT48" s="160"/>
    </row>
    <row r="49" spans="1:46" x14ac:dyDescent="0.25">
      <c r="A49" s="10"/>
      <c r="B49" s="5"/>
      <c r="D49" s="49"/>
      <c r="E49" s="49"/>
      <c r="F49" s="50"/>
      <c r="G49" s="49"/>
      <c r="H49" s="50"/>
      <c r="I49" s="49"/>
      <c r="J49" s="49"/>
      <c r="K49" s="10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10"/>
      <c r="AQ49" s="10"/>
      <c r="AT49" s="161"/>
    </row>
    <row r="50" spans="1:46" x14ac:dyDescent="0.25">
      <c r="A50" s="10"/>
      <c r="B50" s="5"/>
      <c r="D50" s="49"/>
      <c r="E50" s="49"/>
      <c r="F50" s="50"/>
      <c r="G50" s="49"/>
      <c r="H50" s="50"/>
      <c r="I50" s="49"/>
      <c r="J50" s="49"/>
      <c r="K50" s="10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10"/>
      <c r="AQ50" s="10"/>
      <c r="AT50" s="162"/>
    </row>
    <row r="51" spans="1:46" x14ac:dyDescent="0.25">
      <c r="A51" s="10"/>
      <c r="B51" s="5"/>
      <c r="D51" s="49"/>
      <c r="E51" s="49"/>
      <c r="F51" s="50"/>
      <c r="G51" s="49"/>
      <c r="H51" s="50"/>
      <c r="I51" s="49"/>
      <c r="J51" s="49"/>
      <c r="K51" s="10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10"/>
      <c r="AQ51" s="10"/>
    </row>
    <row r="52" spans="1:46" hidden="1" x14ac:dyDescent="0.25">
      <c r="A52" s="10"/>
      <c r="B52" s="5"/>
      <c r="D52" s="49"/>
      <c r="E52" s="49"/>
      <c r="F52" s="50"/>
      <c r="G52" s="49"/>
      <c r="H52" s="179" t="s">
        <v>143</v>
      </c>
      <c r="I52" s="179"/>
      <c r="J52" s="179"/>
      <c r="K52" s="179"/>
      <c r="M52" s="49" t="s">
        <v>144</v>
      </c>
      <c r="N52" s="10"/>
      <c r="O52" s="49"/>
      <c r="P52" s="49"/>
      <c r="Q52" s="49" t="s">
        <v>145</v>
      </c>
      <c r="R52" s="49"/>
      <c r="S52" s="49"/>
      <c r="T52" s="49"/>
      <c r="U52" s="10" t="s">
        <v>146</v>
      </c>
      <c r="V52" s="10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</row>
    <row r="53" spans="1:46" hidden="1" x14ac:dyDescent="0.25">
      <c r="E53" s="3" t="s">
        <v>82</v>
      </c>
      <c r="F53" s="6" t="s">
        <v>81</v>
      </c>
      <c r="H53" s="61" t="s">
        <v>83</v>
      </c>
      <c r="I53" s="3" t="s">
        <v>84</v>
      </c>
      <c r="J53" s="61" t="s">
        <v>83</v>
      </c>
      <c r="K53" s="3" t="s">
        <v>84</v>
      </c>
      <c r="M53" s="61" t="s">
        <v>83</v>
      </c>
      <c r="N53" s="3" t="s">
        <v>84</v>
      </c>
      <c r="O53" s="61" t="s">
        <v>83</v>
      </c>
      <c r="P53" s="3" t="s">
        <v>84</v>
      </c>
      <c r="Q53" s="61" t="s">
        <v>83</v>
      </c>
      <c r="R53" s="3" t="s">
        <v>84</v>
      </c>
      <c r="S53" s="61" t="s">
        <v>83</v>
      </c>
      <c r="T53" s="3" t="s">
        <v>84</v>
      </c>
      <c r="U53" s="61" t="s">
        <v>83</v>
      </c>
      <c r="V53" s="3" t="s">
        <v>84</v>
      </c>
      <c r="W53" s="61" t="s">
        <v>83</v>
      </c>
      <c r="X53" s="3" t="s">
        <v>84</v>
      </c>
      <c r="AR53" s="3"/>
      <c r="AT53" s="55" t="s">
        <v>64</v>
      </c>
    </row>
    <row r="54" spans="1:46" hidden="1" x14ac:dyDescent="0.25">
      <c r="D54" t="s">
        <v>57</v>
      </c>
      <c r="E54" s="3">
        <f>H54+J54+M54+O54+Q54+S54+U54+W54</f>
        <v>399820</v>
      </c>
      <c r="F54" s="3">
        <f>I54+K54+N54+P54+R54+T54+V54+X54</f>
        <v>399820</v>
      </c>
      <c r="H54" s="1">
        <f>SUMIF(Tableau_Lancer_la_requête_à_partir_de_Excel_Files1025678911[Avis Prog],"1-Favorable",Tableau_Lancer_la_requête_à_partir_de_Excel_Files1025678911[''FEDER''])</f>
        <v>0</v>
      </c>
      <c r="I54" s="3">
        <f>SUMIF(Tableau_Lancer_la_requête_à_partir_de_Excel_Files1025678911[Avis Cofimac],"1-Favorable",Tableau_Lancer_la_requête_à_partir_de_Excel_Files1025678911[''FEDER''])</f>
        <v>0</v>
      </c>
      <c r="J54" s="1">
        <f>SUMIF(Tableau_Lancer_la_requête_à_partir_de_Excel_Files1025678911[Avis Prog],"2-Favorable sous réserve",Tableau_Lancer_la_requête_à_partir_de_Excel_Files1025678911[''FEDER''])</f>
        <v>0</v>
      </c>
      <c r="K54" s="3">
        <f>SUMIF(Tableau_Lancer_la_requête_à_partir_de_Excel_Files1025678911[Avis Cofimac],"2-Favorable sous réserve",Tableau_Lancer_la_requête_à_partir_de_Excel_Files1025678911[''FEDER''])</f>
        <v>0</v>
      </c>
      <c r="M54" s="1">
        <f>SUMIF(Tableau_Lancer_la_requête_à_partir_de_Excel_Files102567891113[Avis Prog],"1-Favorable",Tableau_Lancer_la_requête_à_partir_de_Excel_Files102567891113[''FEDER''])</f>
        <v>0</v>
      </c>
      <c r="N54" s="3">
        <f>SUMIF(Tableau_Lancer_la_requête_à_partir_de_Excel_Files102567891113[Avis Cofimac],"1-Favorable",Tableau_Lancer_la_requête_à_partir_de_Excel_Files102567891113[''FEDER''])</f>
        <v>0</v>
      </c>
      <c r="O54" s="1">
        <f>SUMIF(Tableau_Lancer_la_requête_à_partir_de_Excel_Files102567891113[Avis Prog],"2-Favorable sous réserve",Tableau_Lancer_la_requête_à_partir_de_Excel_Files102567891113[''FEDER''])</f>
        <v>0</v>
      </c>
      <c r="P54" s="3">
        <f>SUMIF(Tableau_Lancer_la_requête_à_partir_de_Excel_Files102567891113[Avis Cofimac],"2-Favorable sous réserve",Tableau_Lancer_la_requête_à_partir_de_Excel_Files102567891113[''FEDER''])</f>
        <v>0</v>
      </c>
      <c r="Q54" s="1">
        <f>SUMIF(Tableau_Lancer_la_requête_à_partir_de_Excel_Files10256789111214[Avis Prog],"1-Favorable",Tableau_Lancer_la_requête_à_partir_de_Excel_Files10256789111214[''FEDER''])</f>
        <v>399820</v>
      </c>
      <c r="R54" s="3">
        <f>SUMIF(Tableau_Lancer_la_requête_à_partir_de_Excel_Files10256789111214[Avis Cofimac],"1-Favorable",Tableau_Lancer_la_requête_à_partir_de_Excel_Files10256789111214[''FEDER''])</f>
        <v>0</v>
      </c>
      <c r="S54" s="1">
        <f>SUMIF(Tableau_Lancer_la_requête_à_partir_de_Excel_Files10256789111214[Avis Prog],"2-Favorable sous réserve",Tableau_Lancer_la_requête_à_partir_de_Excel_Files10256789111214[''FEDER''])</f>
        <v>0</v>
      </c>
      <c r="T54" s="3">
        <f>SUMIF(Tableau_Lancer_la_requête_à_partir_de_Excel_Files10256789111214[Avis Cofimac],"2-Favorable sous réserve",Tableau_Lancer_la_requête_à_partir_de_Excel_Files10256789111214[''FEDER''])</f>
        <v>399820</v>
      </c>
      <c r="U54" s="1">
        <f>SUMIF(Tableau_Lancer_la_requête_à_partir_de_Excel_Files102567891112[Avis Prog],"1-Favorable",Tableau_Lancer_la_requête_à_partir_de_Excel_Files102567891112[''FEDER''])</f>
        <v>0</v>
      </c>
      <c r="V54" s="3">
        <f>SUMIF(Tableau_Lancer_la_requête_à_partir_de_Excel_Files102567891112[Avis Cofimac],"1-Favorable",Tableau_Lancer_la_requête_à_partir_de_Excel_Files102567891112[''FEDER''])</f>
        <v>0</v>
      </c>
      <c r="W54" s="1">
        <f>SUMIF(Tableau_Lancer_la_requête_à_partir_de_Excel_Files102567891112[Avis Prog],"2-Favorable sous réserve",Tableau_Lancer_la_requête_à_partir_de_Excel_Files102567891112[''FEDER''])</f>
        <v>0</v>
      </c>
      <c r="X54" s="3">
        <f>SUMIF(Tableau_Lancer_la_requête_à_partir_de_Excel_Files102567891112[Avis Cofimac],"2-Favorable sous réserve",Tableau_Lancer_la_requête_à_partir_de_Excel_Files102567891112[''FEDER''])</f>
        <v>0</v>
      </c>
      <c r="AT54" s="54" t="s">
        <v>180</v>
      </c>
    </row>
    <row r="55" spans="1:46" ht="30.75" hidden="1" thickBot="1" x14ac:dyDescent="0.3">
      <c r="D55" t="s">
        <v>46</v>
      </c>
      <c r="E55" s="3">
        <f t="shared" ref="E55:E83" si="0">H55+J55+M55+O55+Q55+S55+U55+W55</f>
        <v>65155.8</v>
      </c>
      <c r="F55" s="3">
        <f t="shared" ref="F55:F83" si="1">I55+K55+N55+P55+R55+T55+V55+X55</f>
        <v>65155.8</v>
      </c>
      <c r="H55" s="1">
        <f>SUMIF(Tableau_Lancer_la_requête_à_partir_de_Excel_Files1025678911[Avis Prog],"1-Favorable",Tableau_Lancer_la_requête_à_partir_de_Excel_Files1025678911[Total Etat])</f>
        <v>0</v>
      </c>
      <c r="I55" s="3">
        <f>SUMIF(Tableau_Lancer_la_requête_à_partir_de_Excel_Files1025678911[Avis Cofimac],"1-Favorable",Tableau_Lancer_la_requête_à_partir_de_Excel_Files1025678911[Total Etat])</f>
        <v>0</v>
      </c>
      <c r="J55" s="1">
        <f>SUMIF(Tableau_Lancer_la_requête_à_partir_de_Excel_Files1025678911[Avis Prog],"2-Favorable sous réserve",Tableau_Lancer_la_requête_à_partir_de_Excel_Files1025678911[Total Etat])</f>
        <v>0</v>
      </c>
      <c r="K55" s="3">
        <f>SUMIF(Tableau_Lancer_la_requête_à_partir_de_Excel_Files1025678911[Avis Cofimac],"2-Favorable sous réserve",Tableau_Lancer_la_requête_à_partir_de_Excel_Files1025678911[Total Etat])</f>
        <v>0</v>
      </c>
      <c r="M55" s="1">
        <f>SUMIF(Tableau_Lancer_la_requête_à_partir_de_Excel_Files102567891113[Avis Prog],"1-Favorable",Tableau_Lancer_la_requête_à_partir_de_Excel_Files102567891113[Total Etat])</f>
        <v>0</v>
      </c>
      <c r="N55" s="3">
        <f>SUMIF(Tableau_Lancer_la_requête_à_partir_de_Excel_Files102567891113[Avis Cofimac],"1-Favorable",Tableau_Lancer_la_requête_à_partir_de_Excel_Files102567891113[Total Etat])</f>
        <v>0</v>
      </c>
      <c r="O55" s="1">
        <f>SUMIF(Tableau_Lancer_la_requête_à_partir_de_Excel_Files102567891113[Avis Prog],"2-Favorable sous réserve",Tableau_Lancer_la_requête_à_partir_de_Excel_Files102567891113[Total Etat])</f>
        <v>0</v>
      </c>
      <c r="P55" s="3">
        <f>SUMIF(Tableau_Lancer_la_requête_à_partir_de_Excel_Files102567891113[Avis Cofimac],"2-Favorable sous réserve",Tableau_Lancer_la_requête_à_partir_de_Excel_Files102567891113[Total Etat])</f>
        <v>0</v>
      </c>
      <c r="Q55" s="1">
        <f>SUMIF(Tableau_Lancer_la_requête_à_partir_de_Excel_Files10256789111214[Avis Prog],"1-Favorable",Tableau_Lancer_la_requête_à_partir_de_Excel_Files10256789111214[Total Etat])</f>
        <v>29611</v>
      </c>
      <c r="R55" s="3">
        <f>SUMIF(Tableau_Lancer_la_requête_à_partir_de_Excel_Files10256789111214[Avis Cofimac],"1-Favorable",Tableau_Lancer_la_requête_à_partir_de_Excel_Files10256789111214[Total Etat])</f>
        <v>0</v>
      </c>
      <c r="S55" s="1">
        <f>SUMIF(Tableau_Lancer_la_requête_à_partir_de_Excel_Files10256789111214[Avis Prog],"2-Favorable sous réserve",Tableau_Lancer_la_requête_à_partir_de_Excel_Files10256789111214[Total Etat])</f>
        <v>0</v>
      </c>
      <c r="T55" s="3">
        <f>SUMIF(Tableau_Lancer_la_requête_à_partir_de_Excel_Files10256789111214[Avis Cofimac],"2-Favorable sous réserve",Tableau_Lancer_la_requête_à_partir_de_Excel_Files10256789111214[Total Etat])</f>
        <v>29611</v>
      </c>
      <c r="U55" s="1">
        <f>SUMIF(Tableau_Lancer_la_requête_à_partir_de_Excel_Files102567891112[Avis Prog],"1-Favorable",Tableau_Lancer_la_requête_à_partir_de_Excel_Files102567891112[Total Etat])</f>
        <v>35544.800000000003</v>
      </c>
      <c r="V55" s="3">
        <f>SUMIF(Tableau_Lancer_la_requête_à_partir_de_Excel_Files102567891112[Avis Cofimac],"1-Favorable",Tableau_Lancer_la_requête_à_partir_de_Excel_Files102567891112[Total Etat])</f>
        <v>0</v>
      </c>
      <c r="W55" s="1">
        <f>SUMIF(Tableau_Lancer_la_requête_à_partir_de_Excel_Files102567891112[Avis Prog],"2-Favorable sous réserve",Tableau_Lancer_la_requête_à_partir_de_Excel_Files102567891112[Total Etat])</f>
        <v>0</v>
      </c>
      <c r="X55" s="3">
        <f>SUMIF(Tableau_Lancer_la_requête_à_partir_de_Excel_Files102567891112[Avis Cofimac],"2-Favorable sous réserve",Tableau_Lancer_la_requête_à_partir_de_Excel_Files102567891112[Total Etat])</f>
        <v>35544.800000000003</v>
      </c>
      <c r="AT55" s="56" t="s">
        <v>179</v>
      </c>
    </row>
    <row r="56" spans="1:46" ht="15.75" hidden="1" thickTop="1" x14ac:dyDescent="0.25">
      <c r="D56" t="s">
        <v>47</v>
      </c>
      <c r="E56" s="3">
        <f t="shared" si="0"/>
        <v>208559</v>
      </c>
      <c r="F56" s="3">
        <f t="shared" si="1"/>
        <v>208559</v>
      </c>
      <c r="H56" s="1">
        <f>SUMIF(Tableau_Lancer_la_requête_à_partir_de_Excel_Files1025678911[Avis Prog],"1-Favorable",Tableau_Lancer_la_requête_à_partir_de_Excel_Files1025678911[Total Régions])</f>
        <v>0</v>
      </c>
      <c r="I56" s="3">
        <f>SUMIF(Tableau_Lancer_la_requête_à_partir_de_Excel_Files1025678911[Avis Cofimac],"1-Favorable",Tableau_Lancer_la_requête_à_partir_de_Excel_Files1025678911[Total Régions])</f>
        <v>0</v>
      </c>
      <c r="J56" s="1">
        <f>SUMIF(Tableau_Lancer_la_requête_à_partir_de_Excel_Files1025678911[Avis Prog],"2-Favorable sous réserve",Tableau_Lancer_la_requête_à_partir_de_Excel_Files1025678911[Total Régions])</f>
        <v>0</v>
      </c>
      <c r="K56" s="3">
        <f>SUMIF(Tableau_Lancer_la_requête_à_partir_de_Excel_Files1025678911[Avis Cofimac],"2-Favorable sous réserve",Tableau_Lancer_la_requête_à_partir_de_Excel_Files1025678911[Total Régions])</f>
        <v>0</v>
      </c>
      <c r="M56" s="1">
        <f>SUMIF(Tableau_Lancer_la_requête_à_partir_de_Excel_Files102567891113[Avis Prog],"1-Favorable",Tableau_Lancer_la_requête_à_partir_de_Excel_Files102567891113[Total Régions])</f>
        <v>0</v>
      </c>
      <c r="N56" s="3">
        <f>SUMIF(Tableau_Lancer_la_requête_à_partir_de_Excel_Files102567891113[Avis Cofimac],"1-Favorable",Tableau_Lancer_la_requête_à_partir_de_Excel_Files102567891113[Total Régions])</f>
        <v>0</v>
      </c>
      <c r="O56" s="1">
        <f>SUMIF(Tableau_Lancer_la_requête_à_partir_de_Excel_Files102567891113[Avis Prog],"2-Favorable sous réserve",Tableau_Lancer_la_requête_à_partir_de_Excel_Files102567891113[Total Régions])</f>
        <v>0</v>
      </c>
      <c r="P56" s="3">
        <f>SUMIF(Tableau_Lancer_la_requête_à_partir_de_Excel_Files102567891113[Avis Cofimac],"2-Favorable sous réserve",Tableau_Lancer_la_requête_à_partir_de_Excel_Files102567891113[Total Régions])</f>
        <v>0</v>
      </c>
      <c r="Q56" s="1">
        <f>SUMIF(Tableau_Lancer_la_requête_à_partir_de_Excel_Files10256789111214[Avis Prog],"1-Favorable",Tableau_Lancer_la_requête_à_partir_de_Excel_Files10256789111214[Total Régions])</f>
        <v>197859</v>
      </c>
      <c r="R56" s="3">
        <f>SUMIF(Tableau_Lancer_la_requête_à_partir_de_Excel_Files10256789111214[Avis Cofimac],"1-Favorable",Tableau_Lancer_la_requête_à_partir_de_Excel_Files10256789111214[Total Régions])</f>
        <v>0</v>
      </c>
      <c r="S56" s="1">
        <f>SUMIF(Tableau_Lancer_la_requête_à_partir_de_Excel_Files10256789111214[Avis Prog],"2-Favorable sous réserve",Tableau_Lancer_la_requête_à_partir_de_Excel_Files10256789111214[Total Régions])</f>
        <v>0</v>
      </c>
      <c r="T56" s="3">
        <f>SUMIF(Tableau_Lancer_la_requête_à_partir_de_Excel_Files10256789111214[Avis Cofimac],"2-Favorable sous réserve",Tableau_Lancer_la_requête_à_partir_de_Excel_Files10256789111214[Total Régions])</f>
        <v>197859</v>
      </c>
      <c r="U56" s="1">
        <f>SUMIF(Tableau_Lancer_la_requête_à_partir_de_Excel_Files102567891112[Avis Prog],"1-Favorable",Tableau_Lancer_la_requête_à_partir_de_Excel_Files102567891112[Total Régions])</f>
        <v>10700</v>
      </c>
      <c r="V56" s="3">
        <f>SUMIF(Tableau_Lancer_la_requête_à_partir_de_Excel_Files102567891112[Avis Cofimac],"1-Favorable",Tableau_Lancer_la_requête_à_partir_de_Excel_Files102567891112[Total Régions])</f>
        <v>0</v>
      </c>
      <c r="W56" s="1">
        <f>SUMIF(Tableau_Lancer_la_requête_à_partir_de_Excel_Files102567891112[Avis Prog],"2-Favorable sous réserve",Tableau_Lancer_la_requête_à_partir_de_Excel_Files102567891112[Total Régions])</f>
        <v>0</v>
      </c>
      <c r="X56" s="3">
        <f>SUMIF(Tableau_Lancer_la_requête_à_partir_de_Excel_Files102567891112[Avis Cofimac],"2-Favorable sous réserve",Tableau_Lancer_la_requête_à_partir_de_Excel_Files102567891112[Total Régions])</f>
        <v>10700</v>
      </c>
      <c r="AT56" s="57"/>
    </row>
    <row r="57" spans="1:46" hidden="1" x14ac:dyDescent="0.25">
      <c r="D57" s="3" t="s">
        <v>58</v>
      </c>
      <c r="E57" s="3">
        <f t="shared" si="0"/>
        <v>0</v>
      </c>
      <c r="F57" s="3">
        <f t="shared" si="1"/>
        <v>0</v>
      </c>
      <c r="H57" s="1">
        <f>SUMIF(Tableau_Lancer_la_requête_à_partir_de_Excel_Files1025678911[Avis Prog],"1-Favorable",Tableau_Lancer_la_requête_à_partir_de_Excel_Files1025678911[''ALPC''])</f>
        <v>0</v>
      </c>
      <c r="I57" s="3">
        <f>SUMIF(Tableau_Lancer_la_requête_à_partir_de_Excel_Files1025678911[Avis Cofimac],"1-Favorable",Tableau_Lancer_la_requête_à_partir_de_Excel_Files1025678911[''ALPC''])</f>
        <v>0</v>
      </c>
      <c r="J57" s="1">
        <f>SUMIF(Tableau_Lancer_la_requête_à_partir_de_Excel_Files1025678911[Avis Prog],"2-Favorable sous réserve",Tableau_Lancer_la_requête_à_partir_de_Excel_Files1025678911[''ALPC''])</f>
        <v>0</v>
      </c>
      <c r="K57" s="3">
        <f>SUMIF(Tableau_Lancer_la_requête_à_partir_de_Excel_Files1025678911[Avis Cofimac],"2-Favorable sous réserve",Tableau_Lancer_la_requête_à_partir_de_Excel_Files1025678911[''ALPC''])</f>
        <v>0</v>
      </c>
      <c r="M57" s="1">
        <f>SUMIF(Tableau_Lancer_la_requête_à_partir_de_Excel_Files102567891113[Avis Prog],"1-Favorable",Tableau_Lancer_la_requête_à_partir_de_Excel_Files102567891113[''ALPC''])</f>
        <v>0</v>
      </c>
      <c r="N57" s="3">
        <f>SUMIF(Tableau_Lancer_la_requête_à_partir_de_Excel_Files102567891113[Avis Cofimac],"1-Favorable",Tableau_Lancer_la_requête_à_partir_de_Excel_Files102567891113[''ALPC''])</f>
        <v>0</v>
      </c>
      <c r="O57" s="1">
        <f>SUMIF(Tableau_Lancer_la_requête_à_partir_de_Excel_Files102567891113[Avis Prog],"2-Favorable sous réserve",Tableau_Lancer_la_requête_à_partir_de_Excel_Files102567891113[''ALPC''])</f>
        <v>0</v>
      </c>
      <c r="P57" s="3">
        <f>SUMIF(Tableau_Lancer_la_requête_à_partir_de_Excel_Files102567891113[Avis Cofimac],"2-Favorable sous réserve",Tableau_Lancer_la_requête_à_partir_de_Excel_Files102567891113[''ALPC''])</f>
        <v>0</v>
      </c>
      <c r="Q57" s="1">
        <f>SUMIF(Tableau_Lancer_la_requête_à_partir_de_Excel_Files10256789111214[Avis Prog],"1-Favorable",Tableau_Lancer_la_requête_à_partir_de_Excel_Files10256789111214[''ALPC''])</f>
        <v>0</v>
      </c>
      <c r="R57" s="3">
        <f>SUMIF(Tableau_Lancer_la_requête_à_partir_de_Excel_Files10256789111214[Avis Cofimac],"1-Favorable",Tableau_Lancer_la_requête_à_partir_de_Excel_Files10256789111214[''ALPC''])</f>
        <v>0</v>
      </c>
      <c r="S57" s="1">
        <f>SUMIF(Tableau_Lancer_la_requête_à_partir_de_Excel_Files10256789111214[Avis Prog],"2-Favorable sous réserve",Tableau_Lancer_la_requête_à_partir_de_Excel_Files10256789111214[''ALPC''])</f>
        <v>0</v>
      </c>
      <c r="T57" s="3">
        <f>SUMIF(Tableau_Lancer_la_requête_à_partir_de_Excel_Files10256789111214[Avis Cofimac],"2-Favorable sous réserve",Tableau_Lancer_la_requête_à_partir_de_Excel_Files10256789111214[''ALPC''])</f>
        <v>0</v>
      </c>
      <c r="U57" s="1">
        <f>SUMIF(Tableau_Lancer_la_requête_à_partir_de_Excel_Files102567891112[Avis Prog],"1-Favorable",Tableau_Lancer_la_requête_à_partir_de_Excel_Files102567891112[''ALPC''])</f>
        <v>0</v>
      </c>
      <c r="V57" s="3">
        <f>SUMIF(Tableau_Lancer_la_requête_à_partir_de_Excel_Files102567891112[Avis Cofimac],"1-Favorable",Tableau_Lancer_la_requête_à_partir_de_Excel_Files102567891112[''ALPC''])</f>
        <v>0</v>
      </c>
      <c r="W57" s="1">
        <f>SUMIF(Tableau_Lancer_la_requête_à_partir_de_Excel_Files102567891112[Avis Prog],"2-Favorable sous réserve",Tableau_Lancer_la_requête_à_partir_de_Excel_Files102567891112[''ALPC''])</f>
        <v>0</v>
      </c>
      <c r="X57" s="3">
        <f>SUMIF(Tableau_Lancer_la_requête_à_partir_de_Excel_Files102567891112[Avis Cofimac],"2-Favorable sous réserve",Tableau_Lancer_la_requête_à_partir_de_Excel_Files102567891112[''ALPC''])</f>
        <v>0</v>
      </c>
    </row>
    <row r="58" spans="1:46" hidden="1" x14ac:dyDescent="0.25">
      <c r="D58" s="3" t="s">
        <v>59</v>
      </c>
      <c r="E58" s="3">
        <f t="shared" si="0"/>
        <v>75250</v>
      </c>
      <c r="F58" s="3">
        <f t="shared" si="1"/>
        <v>75250</v>
      </c>
      <c r="H58" s="1">
        <f>SUMIF(Tableau_Lancer_la_requête_à_partir_de_Excel_Files1025678911[Avis Prog],"1-Favorable",Tableau_Lancer_la_requête_à_partir_de_Excel_Files1025678911[''AURA''])</f>
        <v>0</v>
      </c>
      <c r="I58" s="3">
        <f>SUMIF(Tableau_Lancer_la_requête_à_partir_de_Excel_Files1025678911[Avis Cofimac],"1-Favorable",Tableau_Lancer_la_requête_à_partir_de_Excel_Files1025678911[''AURA''])</f>
        <v>0</v>
      </c>
      <c r="J58" s="1">
        <f>SUMIF(Tableau_Lancer_la_requête_à_partir_de_Excel_Files1025678911[Avis Prog],"2-Favorable sous réserve",Tableau_Lancer_la_requête_à_partir_de_Excel_Files1025678911[''AURA''])</f>
        <v>0</v>
      </c>
      <c r="K58" s="3">
        <f>SUMIF(Tableau_Lancer_la_requête_à_partir_de_Excel_Files1025678911[Avis Cofimac],"2-Favorable sous réserve",Tableau_Lancer_la_requête_à_partir_de_Excel_Files1025678911[''AURA''])</f>
        <v>0</v>
      </c>
      <c r="M58" s="1">
        <f>SUMIF(Tableau_Lancer_la_requête_à_partir_de_Excel_Files102567891113[Avis Prog],"1-Favorable",Tableau_Lancer_la_requête_à_partir_de_Excel_Files102567891113[''AURA''])</f>
        <v>0</v>
      </c>
      <c r="N58" s="3">
        <f>SUMIF(Tableau_Lancer_la_requête_à_partir_de_Excel_Files102567891113[Avis Cofimac],"1-Favorable",Tableau_Lancer_la_requête_à_partir_de_Excel_Files102567891113[''AURA''])</f>
        <v>0</v>
      </c>
      <c r="O58" s="1">
        <f>SUMIF(Tableau_Lancer_la_requête_à_partir_de_Excel_Files102567891113[Avis Prog],"2-Favorable sous réserve",Tableau_Lancer_la_requête_à_partir_de_Excel_Files102567891113[''AURA''])</f>
        <v>0</v>
      </c>
      <c r="P58" s="3">
        <f>SUMIF(Tableau_Lancer_la_requête_à_partir_de_Excel_Files102567891113[Avis Cofimac],"2-Favorable sous réserve",Tableau_Lancer_la_requête_à_partir_de_Excel_Files102567891113[''AURA''])</f>
        <v>0</v>
      </c>
      <c r="Q58" s="1">
        <f>SUMIF(Tableau_Lancer_la_requête_à_partir_de_Excel_Files10256789111214[Avis Prog],"1-Favorable",Tableau_Lancer_la_requête_à_partir_de_Excel_Files10256789111214[''AURA''])</f>
        <v>75250</v>
      </c>
      <c r="R58" s="3">
        <f>SUMIF(Tableau_Lancer_la_requête_à_partir_de_Excel_Files10256789111214[Avis Cofimac],"1-Favorable",Tableau_Lancer_la_requête_à_partir_de_Excel_Files10256789111214[''AURA''])</f>
        <v>0</v>
      </c>
      <c r="S58" s="1">
        <f>SUMIF(Tableau_Lancer_la_requête_à_partir_de_Excel_Files10256789111214[Avis Prog],"2-Favorable sous réserve",Tableau_Lancer_la_requête_à_partir_de_Excel_Files10256789111214[''AURA''])</f>
        <v>0</v>
      </c>
      <c r="T58" s="3">
        <f>SUMIF(Tableau_Lancer_la_requête_à_partir_de_Excel_Files10256789111214[Avis Cofimac],"2-Favorable sous réserve",Tableau_Lancer_la_requête_à_partir_de_Excel_Files10256789111214[''AURA''])</f>
        <v>75250</v>
      </c>
      <c r="U58" s="1">
        <f>SUMIF(Tableau_Lancer_la_requête_à_partir_de_Excel_Files102567891112[Avis Prog],"1-Favorable",Tableau_Lancer_la_requête_à_partir_de_Excel_Files102567891112[''AURA''])</f>
        <v>0</v>
      </c>
      <c r="V58" s="3">
        <f>SUMIF(Tableau_Lancer_la_requête_à_partir_de_Excel_Files102567891112[Avis Cofimac],"1-Favorable",Tableau_Lancer_la_requête_à_partir_de_Excel_Files102567891112[''AURA''])</f>
        <v>0</v>
      </c>
      <c r="W58" s="1">
        <f>SUMIF(Tableau_Lancer_la_requête_à_partir_de_Excel_Files102567891112[Avis Prog],"2-Favorable sous réserve",Tableau_Lancer_la_requête_à_partir_de_Excel_Files102567891112[''AURA''])</f>
        <v>0</v>
      </c>
      <c r="X58" s="3">
        <f>SUMIF(Tableau_Lancer_la_requête_à_partir_de_Excel_Files102567891112[Avis Cofimac],"2-Favorable sous réserve",Tableau_Lancer_la_requête_à_partir_de_Excel_Files102567891112[''AURA''])</f>
        <v>0</v>
      </c>
    </row>
    <row r="59" spans="1:46" hidden="1" x14ac:dyDescent="0.25">
      <c r="D59" s="3" t="s">
        <v>60</v>
      </c>
      <c r="E59" s="3">
        <f t="shared" si="0"/>
        <v>0</v>
      </c>
      <c r="F59" s="3">
        <f t="shared" si="1"/>
        <v>0</v>
      </c>
      <c r="H59" s="1">
        <f>SUMIF(Tableau_Lancer_la_requête_à_partir_de_Excel_Files1025678911[Avis Prog],"1-Favorable",Tableau_Lancer_la_requête_à_partir_de_Excel_Files1025678911[''BFC''])</f>
        <v>0</v>
      </c>
      <c r="I59" s="3">
        <f>SUMIF(Tableau_Lancer_la_requête_à_partir_de_Excel_Files1025678911[Avis Cofimac],"1-Favorable",Tableau_Lancer_la_requête_à_partir_de_Excel_Files1025678911[''BFC''])</f>
        <v>0</v>
      </c>
      <c r="J59" s="1">
        <f>SUMIF(Tableau_Lancer_la_requête_à_partir_de_Excel_Files1025678911[Avis Prog],"2-Favorable sous réserve",Tableau_Lancer_la_requête_à_partir_de_Excel_Files1025678911[''BFC''])</f>
        <v>0</v>
      </c>
      <c r="K59" s="3">
        <f>SUMIF(Tableau_Lancer_la_requête_à_partir_de_Excel_Files1025678911[Avis Cofimac],"2-Favorable sous réserve",Tableau_Lancer_la_requête_à_partir_de_Excel_Files1025678911[''BFC''])</f>
        <v>0</v>
      </c>
      <c r="M59" s="1">
        <f>SUMIF(Tableau_Lancer_la_requête_à_partir_de_Excel_Files102567891113[Avis Prog],"1-Favorable",Tableau_Lancer_la_requête_à_partir_de_Excel_Files102567891113[''BFC''])</f>
        <v>0</v>
      </c>
      <c r="N59" s="3">
        <f>SUMIF(Tableau_Lancer_la_requête_à_partir_de_Excel_Files102567891113[Avis Cofimac],"1-Favorable",Tableau_Lancer_la_requête_à_partir_de_Excel_Files102567891113[''BFC''])</f>
        <v>0</v>
      </c>
      <c r="O59" s="1">
        <f>SUMIF(Tableau_Lancer_la_requête_à_partir_de_Excel_Files102567891113[Avis Prog],"2-Favorable sous réserve",Tableau_Lancer_la_requête_à_partir_de_Excel_Files102567891113[''BFC''])</f>
        <v>0</v>
      </c>
      <c r="P59" s="3">
        <f>SUMIF(Tableau_Lancer_la_requête_à_partir_de_Excel_Files102567891113[Avis Cofimac],"2-Favorable sous réserve",Tableau_Lancer_la_requête_à_partir_de_Excel_Files102567891113[''BFC''])</f>
        <v>0</v>
      </c>
      <c r="Q59" s="1">
        <f>SUMIF(Tableau_Lancer_la_requête_à_partir_de_Excel_Files10256789111214[Avis Prog],"1-Favorable",Tableau_Lancer_la_requête_à_partir_de_Excel_Files10256789111214[''BFC''])</f>
        <v>0</v>
      </c>
      <c r="R59" s="3">
        <f>SUMIF(Tableau_Lancer_la_requête_à_partir_de_Excel_Files10256789111214[Avis Cofimac],"1-Favorable",Tableau_Lancer_la_requête_à_partir_de_Excel_Files10256789111214[''BFC''])</f>
        <v>0</v>
      </c>
      <c r="S59" s="1">
        <f>SUMIF(Tableau_Lancer_la_requête_à_partir_de_Excel_Files10256789111214[Avis Prog],"2-Favorable sous réserve",Tableau_Lancer_la_requête_à_partir_de_Excel_Files10256789111214[''BFC''])</f>
        <v>0</v>
      </c>
      <c r="T59" s="3">
        <f>SUMIF(Tableau_Lancer_la_requête_à_partir_de_Excel_Files10256789111214[Avis Cofimac],"2-Favorable sous réserve",Tableau_Lancer_la_requête_à_partir_de_Excel_Files10256789111214[''BFC''])</f>
        <v>0</v>
      </c>
      <c r="U59" s="1">
        <f>SUMIF(Tableau_Lancer_la_requête_à_partir_de_Excel_Files102567891112[Avis Prog],"1-Favorable",Tableau_Lancer_la_requête_à_partir_de_Excel_Files102567891112[''BFC''])</f>
        <v>0</v>
      </c>
      <c r="V59" s="3">
        <f>SUMIF(Tableau_Lancer_la_requête_à_partir_de_Excel_Files102567891112[Avis Cofimac],"1-Favorable",Tableau_Lancer_la_requête_à_partir_de_Excel_Files102567891112[''BFC''])</f>
        <v>0</v>
      </c>
      <c r="W59" s="1">
        <f>SUMIF(Tableau_Lancer_la_requête_à_partir_de_Excel_Files102567891112[Avis Prog],"2-Favorable sous réserve",Tableau_Lancer_la_requête_à_partir_de_Excel_Files102567891112[''BFC''])</f>
        <v>0</v>
      </c>
      <c r="X59" s="3">
        <f>SUMIF(Tableau_Lancer_la_requête_à_partir_de_Excel_Files102567891112[Avis Cofimac],"2-Favorable sous réserve",Tableau_Lancer_la_requête_à_partir_de_Excel_Files102567891112[''BFC''])</f>
        <v>0</v>
      </c>
    </row>
    <row r="60" spans="1:46" hidden="1" x14ac:dyDescent="0.25">
      <c r="D60" s="3" t="s">
        <v>61</v>
      </c>
      <c r="E60" s="3">
        <f t="shared" si="0"/>
        <v>133309</v>
      </c>
      <c r="F60" s="3">
        <f t="shared" si="1"/>
        <v>133309</v>
      </c>
      <c r="H60" s="1">
        <f>SUMIF(Tableau_Lancer_la_requête_à_partir_de_Excel_Files1025678911[Avis Prog],"1-Favorable",Tableau_Lancer_la_requête_à_partir_de_Excel_Files1025678911[''LRMP''])</f>
        <v>0</v>
      </c>
      <c r="I60" s="3">
        <f>SUMIF(Tableau_Lancer_la_requête_à_partir_de_Excel_Files1025678911[Avis Cofimac],"1-Favorable",Tableau_Lancer_la_requête_à_partir_de_Excel_Files1025678911[''LRMP''])</f>
        <v>0</v>
      </c>
      <c r="J60" s="1">
        <f>SUMIF(Tableau_Lancer_la_requête_à_partir_de_Excel_Files1025678911[Avis Prog],"2-Favorable sous réserve",Tableau_Lancer_la_requête_à_partir_de_Excel_Files1025678911[''LRMP''])</f>
        <v>0</v>
      </c>
      <c r="K60" s="3">
        <f>SUMIF(Tableau_Lancer_la_requête_à_partir_de_Excel_Files1025678911[Avis Cofimac],"2-Favorable sous réserve",Tableau_Lancer_la_requête_à_partir_de_Excel_Files1025678911[''LRMP''])</f>
        <v>0</v>
      </c>
      <c r="M60" s="1">
        <f>SUMIF(Tableau_Lancer_la_requête_à_partir_de_Excel_Files102567891113[Avis Prog],"1-Favorable",Tableau_Lancer_la_requête_à_partir_de_Excel_Files102567891113[''LRMP''])</f>
        <v>0</v>
      </c>
      <c r="N60" s="3">
        <f>SUMIF(Tableau_Lancer_la_requête_à_partir_de_Excel_Files102567891113[Avis Cofimac],"1-Favorable",Tableau_Lancer_la_requête_à_partir_de_Excel_Files102567891113[''LRMP''])</f>
        <v>0</v>
      </c>
      <c r="O60" s="1">
        <f>SUMIF(Tableau_Lancer_la_requête_à_partir_de_Excel_Files102567891113[Avis Prog],"2-Favorable sous réserve",Tableau_Lancer_la_requête_à_partir_de_Excel_Files102567891113[''LRMP''])</f>
        <v>0</v>
      </c>
      <c r="P60" s="3">
        <f>SUMIF(Tableau_Lancer_la_requête_à_partir_de_Excel_Files102567891113[Avis Cofimac],"2-Favorable sous réserve",Tableau_Lancer_la_requête_à_partir_de_Excel_Files102567891113[''LRMP''])</f>
        <v>0</v>
      </c>
      <c r="Q60" s="1">
        <f>SUMIF(Tableau_Lancer_la_requête_à_partir_de_Excel_Files10256789111214[Avis Prog],"1-Favorable",Tableau_Lancer_la_requête_à_partir_de_Excel_Files10256789111214[''LRMP''])</f>
        <v>122609</v>
      </c>
      <c r="R60" s="3">
        <f>SUMIF(Tableau_Lancer_la_requête_à_partir_de_Excel_Files10256789111214[Avis Cofimac],"1-Favorable",Tableau_Lancer_la_requête_à_partir_de_Excel_Files10256789111214[''LRMP''])</f>
        <v>0</v>
      </c>
      <c r="S60" s="1">
        <f>SUMIF(Tableau_Lancer_la_requête_à_partir_de_Excel_Files10256789111214[Avis Prog],"2-Favorable sous réserve",Tableau_Lancer_la_requête_à_partir_de_Excel_Files10256789111214[''LRMP''])</f>
        <v>0</v>
      </c>
      <c r="T60" s="3">
        <f>SUMIF(Tableau_Lancer_la_requête_à_partir_de_Excel_Files10256789111214[Avis Cofimac],"2-Favorable sous réserve",Tableau_Lancer_la_requête_à_partir_de_Excel_Files10256789111214[''LRMP''])</f>
        <v>122609</v>
      </c>
      <c r="U60" s="1">
        <f>SUMIF(Tableau_Lancer_la_requête_à_partir_de_Excel_Files102567891112[Avis Prog],"1-Favorable",Tableau_Lancer_la_requête_à_partir_de_Excel_Files102567891112[''LRMP''])</f>
        <v>10700</v>
      </c>
      <c r="V60" s="3">
        <f>SUMIF(Tableau_Lancer_la_requête_à_partir_de_Excel_Files102567891112[Avis Cofimac],"1-Favorable",Tableau_Lancer_la_requête_à_partir_de_Excel_Files102567891112[''LRMP''])</f>
        <v>0</v>
      </c>
      <c r="W60" s="1">
        <f>SUMIF(Tableau_Lancer_la_requête_à_partir_de_Excel_Files102567891112[Avis Prog],"2-Favorable sous réserve",Tableau_Lancer_la_requête_à_partir_de_Excel_Files102567891112[''LRMP''])</f>
        <v>0</v>
      </c>
      <c r="X60" s="3">
        <f>SUMIF(Tableau_Lancer_la_requête_à_partir_de_Excel_Files102567891112[Avis Cofimac],"2-Favorable sous réserve",Tableau_Lancer_la_requête_à_partir_de_Excel_Files102567891112[''LRMP''])</f>
        <v>10700</v>
      </c>
    </row>
    <row r="61" spans="1:46" hidden="1" x14ac:dyDescent="0.25">
      <c r="D61" t="s">
        <v>48</v>
      </c>
      <c r="E61" s="3">
        <f t="shared" si="0"/>
        <v>62936</v>
      </c>
      <c r="F61" s="3">
        <f t="shared" si="1"/>
        <v>62936</v>
      </c>
      <c r="H61" s="1">
        <f>SUMIF(Tableau_Lancer_la_requête_à_partir_de_Excel_Files1025678911[Avis Prog],"1-Favorable",Tableau_Lancer_la_requête_à_partir_de_Excel_Files1025678911[Total Dpts])</f>
        <v>0</v>
      </c>
      <c r="I61" s="3">
        <f>SUMIF(Tableau_Lancer_la_requête_à_partir_de_Excel_Files1025678911[Avis Cofimac],"1-Favorable",Tableau_Lancer_la_requête_à_partir_de_Excel_Files1025678911[Total Dpts])</f>
        <v>0</v>
      </c>
      <c r="J61" s="1">
        <f>SUMIF(Tableau_Lancer_la_requête_à_partir_de_Excel_Files1025678911[Avis Prog],"2-Favorable sous réserve",Tableau_Lancer_la_requête_à_partir_de_Excel_Files1025678911[Total Dpts])</f>
        <v>0</v>
      </c>
      <c r="K61" s="3">
        <f>SUMIF(Tableau_Lancer_la_requête_à_partir_de_Excel_Files1025678911[Avis Cofimac],"2-Favorable sous réserve",Tableau_Lancer_la_requête_à_partir_de_Excel_Files1025678911[Total Dpts])</f>
        <v>0</v>
      </c>
      <c r="M61" s="1">
        <f>SUMIF(Tableau_Lancer_la_requête_à_partir_de_Excel_Files102567891113[Avis Prog],"1-Favorable",Tableau_Lancer_la_requête_à_partir_de_Excel_Files102567891113[Total Dpts])</f>
        <v>0</v>
      </c>
      <c r="N61" s="3">
        <f>SUMIF(Tableau_Lancer_la_requête_à_partir_de_Excel_Files102567891113[Avis Cofimac],"1-Favorable",Tableau_Lancer_la_requête_à_partir_de_Excel_Files102567891113[Total Dpts])</f>
        <v>0</v>
      </c>
      <c r="O61" s="1">
        <f>SUMIF(Tableau_Lancer_la_requête_à_partir_de_Excel_Files102567891113[Avis Prog],"2-Favorable sous réserve",Tableau_Lancer_la_requête_à_partir_de_Excel_Files102567891113[Total Dpts])</f>
        <v>0</v>
      </c>
      <c r="P61" s="3">
        <f>SUMIF(Tableau_Lancer_la_requête_à_partir_de_Excel_Files102567891113[Avis Cofimac],"2-Favorable sous réserve",Tableau_Lancer_la_requête_à_partir_de_Excel_Files102567891113[Total Dpts])</f>
        <v>0</v>
      </c>
      <c r="Q61" s="1">
        <f>SUMIF(Tableau_Lancer_la_requête_à_partir_de_Excel_Files10256789111214[Avis Prog],"1-Favorable",Tableau_Lancer_la_requête_à_partir_de_Excel_Files10256789111214[Total Dpts])</f>
        <v>62936</v>
      </c>
      <c r="R61" s="3">
        <f>SUMIF(Tableau_Lancer_la_requête_à_partir_de_Excel_Files10256789111214[Avis Cofimac],"1-Favorable",Tableau_Lancer_la_requête_à_partir_de_Excel_Files10256789111214[Total Dpts])</f>
        <v>0</v>
      </c>
      <c r="S61" s="1">
        <f>SUMIF(Tableau_Lancer_la_requête_à_partir_de_Excel_Files10256789111214[Avis Prog],"2-Favorable sous réserve",Tableau_Lancer_la_requête_à_partir_de_Excel_Files10256789111214[Total Dpts])</f>
        <v>0</v>
      </c>
      <c r="T61" s="3">
        <f>SUMIF(Tableau_Lancer_la_requête_à_partir_de_Excel_Files10256789111214[Avis Cofimac],"2-Favorable sous réserve",Tableau_Lancer_la_requête_à_partir_de_Excel_Files10256789111214[Total Dpts])</f>
        <v>62936</v>
      </c>
      <c r="U61" s="1">
        <f>SUMIF(Tableau_Lancer_la_requête_à_partir_de_Excel_Files102567891112[Avis Prog],"1-Favorable",Tableau_Lancer_la_requête_à_partir_de_Excel_Files102567891112[Total Dpts])</f>
        <v>0</v>
      </c>
      <c r="V61" s="3">
        <f>SUMIF(Tableau_Lancer_la_requête_à_partir_de_Excel_Files102567891112[Avis Cofimac],"1-Favorable",Tableau_Lancer_la_requête_à_partir_de_Excel_Files102567891112[Total Dpts])</f>
        <v>0</v>
      </c>
      <c r="W61" s="1">
        <f>SUMIF(Tableau_Lancer_la_requête_à_partir_de_Excel_Files102567891112[Avis Prog],"2-Favorable sous réserve",Tableau_Lancer_la_requête_à_partir_de_Excel_Files102567891112[Total Dpts])</f>
        <v>0</v>
      </c>
      <c r="X61" s="3">
        <f>SUMIF(Tableau_Lancer_la_requête_à_partir_de_Excel_Files102567891112[Avis Cofimac],"2-Favorable sous réserve",Tableau_Lancer_la_requête_à_partir_de_Excel_Files102567891112[Total Dpts])</f>
        <v>0</v>
      </c>
    </row>
    <row r="62" spans="1:46" hidden="1" x14ac:dyDescent="0.25">
      <c r="D62" t="s">
        <v>22</v>
      </c>
      <c r="E62" s="3">
        <f t="shared" si="0"/>
        <v>0</v>
      </c>
      <c r="F62" s="3">
        <f t="shared" si="1"/>
        <v>0</v>
      </c>
      <c r="H62" s="1">
        <f>SUMIF(Tableau_Lancer_la_requête_à_partir_de_Excel_Files1025678911[Avis Prog],"1-Favorable",Tableau_Lancer_la_requête_à_partir_de_Excel_Files1025678911[''03''])</f>
        <v>0</v>
      </c>
      <c r="I62" s="3">
        <f>SUMIF(Tableau_Lancer_la_requête_à_partir_de_Excel_Files1025678911[Avis Cofimac],"1-Favorable",Tableau_Lancer_la_requête_à_partir_de_Excel_Files1025678911[''03''])</f>
        <v>0</v>
      </c>
      <c r="J62" s="1">
        <f>SUMIF(Tableau_Lancer_la_requête_à_partir_de_Excel_Files1025678911[Avis Prog],"2-Favorable sous réserve",Tableau_Lancer_la_requête_à_partir_de_Excel_Files1025678911[''03''])</f>
        <v>0</v>
      </c>
      <c r="K62" s="3">
        <f>SUMIF(Tableau_Lancer_la_requête_à_partir_de_Excel_Files1025678911[Avis Cofimac],"2-Favorable sous réserve",Tableau_Lancer_la_requête_à_partir_de_Excel_Files1025678911[''03''])</f>
        <v>0</v>
      </c>
      <c r="M62" s="1">
        <f>SUMIF(Tableau_Lancer_la_requête_à_partir_de_Excel_Files102567891113[Avis Prog],"1-Favorable",Tableau_Lancer_la_requête_à_partir_de_Excel_Files102567891113[''03''])</f>
        <v>0</v>
      </c>
      <c r="N62" s="3">
        <f>SUMIF(Tableau_Lancer_la_requête_à_partir_de_Excel_Files102567891113[Avis Cofimac],"1-Favorable",Tableau_Lancer_la_requête_à_partir_de_Excel_Files102567891113[''03''])</f>
        <v>0</v>
      </c>
      <c r="O62" s="1">
        <f>SUMIF(Tableau_Lancer_la_requête_à_partir_de_Excel_Files102567891113[Avis Prog],"2-Favorable sous réserve",Tableau_Lancer_la_requête_à_partir_de_Excel_Files102567891113[''03''])</f>
        <v>0</v>
      </c>
      <c r="P62" s="3">
        <f>SUMIF(Tableau_Lancer_la_requête_à_partir_de_Excel_Files102567891113[Avis Cofimac],"2-Favorable sous réserve",Tableau_Lancer_la_requête_à_partir_de_Excel_Files102567891113[''03''])</f>
        <v>0</v>
      </c>
      <c r="Q62" s="1">
        <f>SUMIF(Tableau_Lancer_la_requête_à_partir_de_Excel_Files10256789111214[Avis Prog],"1-Favorable",Tableau_Lancer_la_requête_à_partir_de_Excel_Files10256789111214[''03''])</f>
        <v>0</v>
      </c>
      <c r="R62" s="3">
        <f>SUMIF(Tableau_Lancer_la_requête_à_partir_de_Excel_Files10256789111214[Avis Cofimac],"1-Favorable",Tableau_Lancer_la_requête_à_partir_de_Excel_Files10256789111214[''03''])</f>
        <v>0</v>
      </c>
      <c r="S62" s="1">
        <f>SUMIF(Tableau_Lancer_la_requête_à_partir_de_Excel_Files10256789111214[Avis Prog],"2-Favorable sous réserve",Tableau_Lancer_la_requête_à_partir_de_Excel_Files10256789111214[''03''])</f>
        <v>0</v>
      </c>
      <c r="T62" s="3">
        <f>SUMIF(Tableau_Lancer_la_requête_à_partir_de_Excel_Files10256789111214[Avis Cofimac],"2-Favorable sous réserve",Tableau_Lancer_la_requête_à_partir_de_Excel_Files10256789111214[''03''])</f>
        <v>0</v>
      </c>
      <c r="U62" s="1">
        <f>SUMIF(Tableau_Lancer_la_requête_à_partir_de_Excel_Files102567891112[Avis Prog],"1-Favorable",Tableau_Lancer_la_requête_à_partir_de_Excel_Files102567891112[''03''])</f>
        <v>0</v>
      </c>
      <c r="V62" s="3">
        <f>SUMIF(Tableau_Lancer_la_requête_à_partir_de_Excel_Files102567891112[Avis Cofimac],"1-Favorable",Tableau_Lancer_la_requête_à_partir_de_Excel_Files102567891112[''03''])</f>
        <v>0</v>
      </c>
      <c r="W62" s="1">
        <f>SUMIF(Tableau_Lancer_la_requête_à_partir_de_Excel_Files102567891112[Avis Prog],"2-Favorable sous réserve",Tableau_Lancer_la_requête_à_partir_de_Excel_Files102567891112[''03''])</f>
        <v>0</v>
      </c>
      <c r="X62" s="3">
        <f>SUMIF(Tableau_Lancer_la_requête_à_partir_de_Excel_Files102567891112[Avis Cofimac],"2-Favorable sous réserve",Tableau_Lancer_la_requête_à_partir_de_Excel_Files102567891112[''03''])</f>
        <v>0</v>
      </c>
    </row>
    <row r="63" spans="1:46" hidden="1" x14ac:dyDescent="0.25">
      <c r="D63" t="s">
        <v>23</v>
      </c>
      <c r="E63" s="3">
        <f t="shared" si="0"/>
        <v>0</v>
      </c>
      <c r="F63" s="3">
        <f t="shared" si="1"/>
        <v>0</v>
      </c>
      <c r="H63" s="1">
        <f>SUMIF(Tableau_Lancer_la_requête_à_partir_de_Excel_Files1025678911[Avis Prog],"1-Favorable",Tableau_Lancer_la_requête_à_partir_de_Excel_Files1025678911[''07''])</f>
        <v>0</v>
      </c>
      <c r="I63" s="3">
        <f>SUMIF(Tableau_Lancer_la_requête_à_partir_de_Excel_Files1025678911[Avis Cofimac],"1-Favorable",Tableau_Lancer_la_requête_à_partir_de_Excel_Files1025678911[''07''])</f>
        <v>0</v>
      </c>
      <c r="J63" s="1">
        <f>SUMIF(Tableau_Lancer_la_requête_à_partir_de_Excel_Files1025678911[Avis Prog],"2-Favorable sous réserve",Tableau_Lancer_la_requête_à_partir_de_Excel_Files1025678911[''07''])</f>
        <v>0</v>
      </c>
      <c r="K63" s="3">
        <f>SUMIF(Tableau_Lancer_la_requête_à_partir_de_Excel_Files1025678911[Avis Cofimac],"2-Favorable sous réserve",Tableau_Lancer_la_requête_à_partir_de_Excel_Files1025678911[''07''])</f>
        <v>0</v>
      </c>
      <c r="M63" s="1">
        <f>SUMIF(Tableau_Lancer_la_requête_à_partir_de_Excel_Files102567891113[Avis Prog],"1-Favorable",Tableau_Lancer_la_requête_à_partir_de_Excel_Files102567891113[''07''])</f>
        <v>0</v>
      </c>
      <c r="N63" s="3">
        <f>SUMIF(Tableau_Lancer_la_requête_à_partir_de_Excel_Files102567891113[Avis Cofimac],"1-Favorable",Tableau_Lancer_la_requête_à_partir_de_Excel_Files102567891113[''07''])</f>
        <v>0</v>
      </c>
      <c r="O63" s="1">
        <f>SUMIF(Tableau_Lancer_la_requête_à_partir_de_Excel_Files102567891113[Avis Prog],"2-Favorable sous réserve",Tableau_Lancer_la_requête_à_partir_de_Excel_Files102567891113[''07''])</f>
        <v>0</v>
      </c>
      <c r="P63" s="3">
        <f>SUMIF(Tableau_Lancer_la_requête_à_partir_de_Excel_Files102567891113[Avis Cofimac],"2-Favorable sous réserve",Tableau_Lancer_la_requête_à_partir_de_Excel_Files102567891113[''07''])</f>
        <v>0</v>
      </c>
      <c r="Q63" s="1">
        <f>SUMIF(Tableau_Lancer_la_requête_à_partir_de_Excel_Files10256789111214[Avis Prog],"1-Favorable",Tableau_Lancer_la_requête_à_partir_de_Excel_Files10256789111214[''07''])</f>
        <v>0</v>
      </c>
      <c r="R63" s="3">
        <f>SUMIF(Tableau_Lancer_la_requête_à_partir_de_Excel_Files10256789111214[Avis Cofimac],"1-Favorable",Tableau_Lancer_la_requête_à_partir_de_Excel_Files10256789111214[''07''])</f>
        <v>0</v>
      </c>
      <c r="S63" s="1">
        <f>SUMIF(Tableau_Lancer_la_requête_à_partir_de_Excel_Files10256789111214[Avis Prog],"2-Favorable sous réserve",Tableau_Lancer_la_requête_à_partir_de_Excel_Files10256789111214[''07''])</f>
        <v>0</v>
      </c>
      <c r="T63" s="3">
        <f>SUMIF(Tableau_Lancer_la_requête_à_partir_de_Excel_Files10256789111214[Avis Cofimac],"2-Favorable sous réserve",Tableau_Lancer_la_requête_à_partir_de_Excel_Files10256789111214[''07''])</f>
        <v>0</v>
      </c>
      <c r="U63" s="1">
        <f>SUMIF(Tableau_Lancer_la_requête_à_partir_de_Excel_Files102567891112[Avis Prog],"1-Favorable",Tableau_Lancer_la_requête_à_partir_de_Excel_Files102567891112[''07''])</f>
        <v>0</v>
      </c>
      <c r="V63" s="3">
        <f>SUMIF(Tableau_Lancer_la_requête_à_partir_de_Excel_Files102567891112[Avis Cofimac],"1-Favorable",Tableau_Lancer_la_requête_à_partir_de_Excel_Files102567891112[''07''])</f>
        <v>0</v>
      </c>
      <c r="W63" s="1">
        <f>SUMIF(Tableau_Lancer_la_requête_à_partir_de_Excel_Files102567891112[Avis Prog],"2-Favorable sous réserve",Tableau_Lancer_la_requête_à_partir_de_Excel_Files102567891112[''07''])</f>
        <v>0</v>
      </c>
      <c r="X63" s="3">
        <f>SUMIF(Tableau_Lancer_la_requête_à_partir_de_Excel_Files102567891112[Avis Cofimac],"2-Favorable sous réserve",Tableau_Lancer_la_requête_à_partir_de_Excel_Files102567891112[''07''])</f>
        <v>0</v>
      </c>
    </row>
    <row r="64" spans="1:46" hidden="1" x14ac:dyDescent="0.25">
      <c r="D64" t="s">
        <v>24</v>
      </c>
      <c r="E64" s="3">
        <f t="shared" si="0"/>
        <v>0</v>
      </c>
      <c r="F64" s="3">
        <f t="shared" si="1"/>
        <v>0</v>
      </c>
      <c r="H64" s="1">
        <f>SUMIF(Tableau_Lancer_la_requête_à_partir_de_Excel_Files1025678911[Avis Prog],"1-Favorable",Tableau_Lancer_la_requête_à_partir_de_Excel_Files1025678911[''11''])</f>
        <v>0</v>
      </c>
      <c r="I64" s="3">
        <f>SUMIF(Tableau_Lancer_la_requête_à_partir_de_Excel_Files1025678911[Avis Cofimac],"1-Favorable",Tableau_Lancer_la_requête_à_partir_de_Excel_Files1025678911[''11''])</f>
        <v>0</v>
      </c>
      <c r="J64" s="1">
        <f>SUMIF(Tableau_Lancer_la_requête_à_partir_de_Excel_Files1025678911[Avis Prog],"2-Favorable sous réserve",Tableau_Lancer_la_requête_à_partir_de_Excel_Files1025678911[''11''])</f>
        <v>0</v>
      </c>
      <c r="K64" s="3">
        <f>SUMIF(Tableau_Lancer_la_requête_à_partir_de_Excel_Files1025678911[Avis Cofimac],"2-Favorable sous réserve",Tableau_Lancer_la_requête_à_partir_de_Excel_Files1025678911[''11''])</f>
        <v>0</v>
      </c>
      <c r="M64" s="1">
        <f>SUMIF(Tableau_Lancer_la_requête_à_partir_de_Excel_Files102567891113[Avis Prog],"1-Favorable",Tableau_Lancer_la_requête_à_partir_de_Excel_Files102567891113[''11''])</f>
        <v>0</v>
      </c>
      <c r="N64" s="3">
        <f>SUMIF(Tableau_Lancer_la_requête_à_partir_de_Excel_Files102567891113[Avis Cofimac],"1-Favorable",Tableau_Lancer_la_requête_à_partir_de_Excel_Files102567891113[''11''])</f>
        <v>0</v>
      </c>
      <c r="O64" s="1">
        <f>SUMIF(Tableau_Lancer_la_requête_à_partir_de_Excel_Files102567891113[Avis Prog],"2-Favorable sous réserve",Tableau_Lancer_la_requête_à_partir_de_Excel_Files102567891113[''11''])</f>
        <v>0</v>
      </c>
      <c r="P64" s="3">
        <f>SUMIF(Tableau_Lancer_la_requête_à_partir_de_Excel_Files102567891113[Avis Cofimac],"2-Favorable sous réserve",Tableau_Lancer_la_requête_à_partir_de_Excel_Files102567891113[''11''])</f>
        <v>0</v>
      </c>
      <c r="Q64" s="1">
        <f>SUMIF(Tableau_Lancer_la_requête_à_partir_de_Excel_Files10256789111214[Avis Prog],"1-Favorable",Tableau_Lancer_la_requête_à_partir_de_Excel_Files10256789111214[''11''])</f>
        <v>0</v>
      </c>
      <c r="R64" s="3">
        <f>SUMIF(Tableau_Lancer_la_requête_à_partir_de_Excel_Files10256789111214[Avis Cofimac],"1-Favorable",Tableau_Lancer_la_requête_à_partir_de_Excel_Files10256789111214[''11''])</f>
        <v>0</v>
      </c>
      <c r="S64" s="1">
        <f>SUMIF(Tableau_Lancer_la_requête_à_partir_de_Excel_Files10256789111214[Avis Prog],"2-Favorable sous réserve",Tableau_Lancer_la_requête_à_partir_de_Excel_Files10256789111214[''11''])</f>
        <v>0</v>
      </c>
      <c r="T64" s="3">
        <f>SUMIF(Tableau_Lancer_la_requête_à_partir_de_Excel_Files10256789111214[Avis Cofimac],"2-Favorable sous réserve",Tableau_Lancer_la_requête_à_partir_de_Excel_Files10256789111214[''11''])</f>
        <v>0</v>
      </c>
      <c r="U64" s="1">
        <f>SUMIF(Tableau_Lancer_la_requête_à_partir_de_Excel_Files102567891112[Avis Prog],"1-Favorable",Tableau_Lancer_la_requête_à_partir_de_Excel_Files102567891112[''11''])</f>
        <v>0</v>
      </c>
      <c r="V64" s="3">
        <f>SUMIF(Tableau_Lancer_la_requête_à_partir_de_Excel_Files102567891112[Avis Cofimac],"1-Favorable",Tableau_Lancer_la_requête_à_partir_de_Excel_Files102567891112[''11''])</f>
        <v>0</v>
      </c>
      <c r="W64" s="1">
        <f>SUMIF(Tableau_Lancer_la_requête_à_partir_de_Excel_Files102567891112[Avis Prog],"2-Favorable sous réserve",Tableau_Lancer_la_requête_à_partir_de_Excel_Files102567891112[''11''])</f>
        <v>0</v>
      </c>
      <c r="X64" s="3">
        <f>SUMIF(Tableau_Lancer_la_requête_à_partir_de_Excel_Files102567891112[Avis Cofimac],"2-Favorable sous réserve",Tableau_Lancer_la_requête_à_partir_de_Excel_Files102567891112[''11''])</f>
        <v>0</v>
      </c>
    </row>
    <row r="65" spans="4:24" hidden="1" x14ac:dyDescent="0.25">
      <c r="D65" t="s">
        <v>25</v>
      </c>
      <c r="E65" s="3">
        <f t="shared" si="0"/>
        <v>47606</v>
      </c>
      <c r="F65" s="3">
        <f t="shared" si="1"/>
        <v>47606</v>
      </c>
      <c r="H65" s="1">
        <f>SUMIF(Tableau_Lancer_la_requête_à_partir_de_Excel_Files1025678911[Avis Prog],"1-Favorable",Tableau_Lancer_la_requête_à_partir_de_Excel_Files1025678911[''12''])</f>
        <v>0</v>
      </c>
      <c r="I65" s="3">
        <f>SUMIF(Tableau_Lancer_la_requête_à_partir_de_Excel_Files1025678911[Avis Cofimac],"1-Favorable",Tableau_Lancer_la_requête_à_partir_de_Excel_Files1025678911[''12''])</f>
        <v>0</v>
      </c>
      <c r="J65" s="1">
        <f>SUMIF(Tableau_Lancer_la_requête_à_partir_de_Excel_Files1025678911[Avis Prog],"2-Favorable sous réserve",Tableau_Lancer_la_requête_à_partir_de_Excel_Files1025678911[''12''])</f>
        <v>0</v>
      </c>
      <c r="K65" s="3">
        <f>SUMIF(Tableau_Lancer_la_requête_à_partir_de_Excel_Files1025678911[Avis Cofimac],"2-Favorable sous réserve",Tableau_Lancer_la_requête_à_partir_de_Excel_Files1025678911[''12''])</f>
        <v>0</v>
      </c>
      <c r="M65" s="1">
        <f>SUMIF(Tableau_Lancer_la_requête_à_partir_de_Excel_Files102567891113[Avis Prog],"1-Favorable",Tableau_Lancer_la_requête_à_partir_de_Excel_Files102567891113[''12''])</f>
        <v>0</v>
      </c>
      <c r="N65" s="3">
        <f>SUMIF(Tableau_Lancer_la_requête_à_partir_de_Excel_Files102567891113[Avis Cofimac],"1-Favorable",Tableau_Lancer_la_requête_à_partir_de_Excel_Files102567891113[''12''])</f>
        <v>0</v>
      </c>
      <c r="O65" s="1">
        <f>SUMIF(Tableau_Lancer_la_requête_à_partir_de_Excel_Files102567891113[Avis Prog],"2-Favorable sous réserve",Tableau_Lancer_la_requête_à_partir_de_Excel_Files102567891113[''12''])</f>
        <v>0</v>
      </c>
      <c r="P65" s="3">
        <f>SUMIF(Tableau_Lancer_la_requête_à_partir_de_Excel_Files102567891113[Avis Cofimac],"2-Favorable sous réserve",Tableau_Lancer_la_requête_à_partir_de_Excel_Files102567891113[''12''])</f>
        <v>0</v>
      </c>
      <c r="Q65" s="1">
        <f>SUMIF(Tableau_Lancer_la_requête_à_partir_de_Excel_Files10256789111214[Avis Prog],"1-Favorable",Tableau_Lancer_la_requête_à_partir_de_Excel_Files10256789111214[''12''])</f>
        <v>47606</v>
      </c>
      <c r="R65" s="3">
        <f>SUMIF(Tableau_Lancer_la_requête_à_partir_de_Excel_Files10256789111214[Avis Cofimac],"1-Favorable",Tableau_Lancer_la_requête_à_partir_de_Excel_Files10256789111214[''12''])</f>
        <v>0</v>
      </c>
      <c r="S65" s="1">
        <f>SUMIF(Tableau_Lancer_la_requête_à_partir_de_Excel_Files10256789111214[Avis Prog],"2-Favorable sous réserve",Tableau_Lancer_la_requête_à_partir_de_Excel_Files10256789111214[''12''])</f>
        <v>0</v>
      </c>
      <c r="T65" s="3">
        <f>SUMIF(Tableau_Lancer_la_requête_à_partir_de_Excel_Files10256789111214[Avis Cofimac],"2-Favorable sous réserve",Tableau_Lancer_la_requête_à_partir_de_Excel_Files10256789111214[''12''])</f>
        <v>47606</v>
      </c>
      <c r="U65" s="1">
        <f>SUMIF(Tableau_Lancer_la_requête_à_partir_de_Excel_Files102567891112[Avis Prog],"1-Favorable",Tableau_Lancer_la_requête_à_partir_de_Excel_Files102567891112[''12''])</f>
        <v>0</v>
      </c>
      <c r="V65" s="3">
        <f>SUMIF(Tableau_Lancer_la_requête_à_partir_de_Excel_Files102567891112[Avis Cofimac],"1-Favorable",Tableau_Lancer_la_requête_à_partir_de_Excel_Files102567891112[''12''])</f>
        <v>0</v>
      </c>
      <c r="W65" s="1">
        <f>SUMIF(Tableau_Lancer_la_requête_à_partir_de_Excel_Files102567891112[Avis Prog],"2-Favorable sous réserve",Tableau_Lancer_la_requête_à_partir_de_Excel_Files102567891112[''12''])</f>
        <v>0</v>
      </c>
      <c r="X65" s="3">
        <f>SUMIF(Tableau_Lancer_la_requête_à_partir_de_Excel_Files102567891112[Avis Cofimac],"2-Favorable sous réserve",Tableau_Lancer_la_requête_à_partir_de_Excel_Files102567891112[''12''])</f>
        <v>0</v>
      </c>
    </row>
    <row r="66" spans="4:24" hidden="1" x14ac:dyDescent="0.25">
      <c r="D66" t="s">
        <v>26</v>
      </c>
      <c r="E66" s="3">
        <f t="shared" si="0"/>
        <v>0</v>
      </c>
      <c r="F66" s="3">
        <f t="shared" si="1"/>
        <v>0</v>
      </c>
      <c r="H66" s="1">
        <f>SUMIF(Tableau_Lancer_la_requête_à_partir_de_Excel_Files1025678911[Avis Prog],"1-Favorable",Tableau_Lancer_la_requête_à_partir_de_Excel_Files1025678911[''15''])</f>
        <v>0</v>
      </c>
      <c r="I66" s="3">
        <f>SUMIF(Tableau_Lancer_la_requête_à_partir_de_Excel_Files1025678911[Avis Cofimac],"1-Favorable",Tableau_Lancer_la_requête_à_partir_de_Excel_Files1025678911[''15''])</f>
        <v>0</v>
      </c>
      <c r="J66" s="1">
        <f>SUMIF(Tableau_Lancer_la_requête_à_partir_de_Excel_Files1025678911[Avis Prog],"2-Favorable sous réserve",Tableau_Lancer_la_requête_à_partir_de_Excel_Files1025678911[''15''])</f>
        <v>0</v>
      </c>
      <c r="K66" s="3">
        <f>SUMIF(Tableau_Lancer_la_requête_à_partir_de_Excel_Files1025678911[Avis Cofimac],"2-Favorable sous réserve",Tableau_Lancer_la_requête_à_partir_de_Excel_Files1025678911[''15''])</f>
        <v>0</v>
      </c>
      <c r="M66" s="1">
        <f>SUMIF(Tableau_Lancer_la_requête_à_partir_de_Excel_Files102567891113[Avis Prog],"1-Favorable",Tableau_Lancer_la_requête_à_partir_de_Excel_Files102567891113[''15''])</f>
        <v>0</v>
      </c>
      <c r="N66" s="3">
        <f>SUMIF(Tableau_Lancer_la_requête_à_partir_de_Excel_Files102567891113[Avis Cofimac],"1-Favorable",Tableau_Lancer_la_requête_à_partir_de_Excel_Files102567891113[''15''])</f>
        <v>0</v>
      </c>
      <c r="O66" s="1">
        <f>SUMIF(Tableau_Lancer_la_requête_à_partir_de_Excel_Files102567891113[Avis Prog],"2-Favorable sous réserve",Tableau_Lancer_la_requête_à_partir_de_Excel_Files102567891113[''15''])</f>
        <v>0</v>
      </c>
      <c r="P66" s="3">
        <f>SUMIF(Tableau_Lancer_la_requête_à_partir_de_Excel_Files102567891113[Avis Cofimac],"2-Favorable sous réserve",Tableau_Lancer_la_requête_à_partir_de_Excel_Files102567891113[''15''])</f>
        <v>0</v>
      </c>
      <c r="Q66" s="1">
        <f>SUMIF(Tableau_Lancer_la_requête_à_partir_de_Excel_Files10256789111214[Avis Prog],"1-Favorable",Tableau_Lancer_la_requête_à_partir_de_Excel_Files10256789111214[''15''])</f>
        <v>0</v>
      </c>
      <c r="R66" s="3">
        <f>SUMIF(Tableau_Lancer_la_requête_à_partir_de_Excel_Files10256789111214[Avis Cofimac],"1-Favorable",Tableau_Lancer_la_requête_à_partir_de_Excel_Files10256789111214[''15''])</f>
        <v>0</v>
      </c>
      <c r="S66" s="1">
        <f>SUMIF(Tableau_Lancer_la_requête_à_partir_de_Excel_Files10256789111214[Avis Prog],"2-Favorable sous réserve",Tableau_Lancer_la_requête_à_partir_de_Excel_Files10256789111214[''15''])</f>
        <v>0</v>
      </c>
      <c r="T66" s="3">
        <f>SUMIF(Tableau_Lancer_la_requête_à_partir_de_Excel_Files10256789111214[Avis Cofimac],"2-Favorable sous réserve",Tableau_Lancer_la_requête_à_partir_de_Excel_Files10256789111214[''15''])</f>
        <v>0</v>
      </c>
      <c r="U66" s="1">
        <f>SUMIF(Tableau_Lancer_la_requête_à_partir_de_Excel_Files102567891112[Avis Prog],"1-Favorable",Tableau_Lancer_la_requête_à_partir_de_Excel_Files102567891112[''15''])</f>
        <v>0</v>
      </c>
      <c r="V66" s="3">
        <f>SUMIF(Tableau_Lancer_la_requête_à_partir_de_Excel_Files102567891112[Avis Cofimac],"1-Favorable",Tableau_Lancer_la_requête_à_partir_de_Excel_Files102567891112[''15''])</f>
        <v>0</v>
      </c>
      <c r="W66" s="1">
        <f>SUMIF(Tableau_Lancer_la_requête_à_partir_de_Excel_Files102567891112[Avis Prog],"2-Favorable sous réserve",Tableau_Lancer_la_requête_à_partir_de_Excel_Files102567891112[''15''])</f>
        <v>0</v>
      </c>
      <c r="X66" s="3">
        <f>SUMIF(Tableau_Lancer_la_requête_à_partir_de_Excel_Files102567891112[Avis Cofimac],"2-Favorable sous réserve",Tableau_Lancer_la_requête_à_partir_de_Excel_Files102567891112[''15''])</f>
        <v>0</v>
      </c>
    </row>
    <row r="67" spans="4:24" hidden="1" x14ac:dyDescent="0.25">
      <c r="D67" t="s">
        <v>27</v>
      </c>
      <c r="E67" s="3">
        <f t="shared" si="0"/>
        <v>0</v>
      </c>
      <c r="F67" s="3">
        <f t="shared" si="1"/>
        <v>0</v>
      </c>
      <c r="H67" s="1">
        <f>SUMIF(Tableau_Lancer_la_requête_à_partir_de_Excel_Files1025678911[Avis Prog],"1-Favorable",Tableau_Lancer_la_requête_à_partir_de_Excel_Files1025678911[''19''])</f>
        <v>0</v>
      </c>
      <c r="I67" s="3">
        <f>SUMIF(Tableau_Lancer_la_requête_à_partir_de_Excel_Files1025678911[Avis Cofimac],"1-Favorable",Tableau_Lancer_la_requête_à_partir_de_Excel_Files1025678911[''19''])</f>
        <v>0</v>
      </c>
      <c r="J67" s="1">
        <f>SUMIF(Tableau_Lancer_la_requête_à_partir_de_Excel_Files1025678911[Avis Prog],"2-Favorable sous réserve",Tableau_Lancer_la_requête_à_partir_de_Excel_Files1025678911[''19''])</f>
        <v>0</v>
      </c>
      <c r="K67" s="3">
        <f>SUMIF(Tableau_Lancer_la_requête_à_partir_de_Excel_Files1025678911[Avis Cofimac],"2-Favorable sous réserve",Tableau_Lancer_la_requête_à_partir_de_Excel_Files1025678911[''19''])</f>
        <v>0</v>
      </c>
      <c r="M67" s="1">
        <f>SUMIF(Tableau_Lancer_la_requête_à_partir_de_Excel_Files102567891113[Avis Prog],"1-Favorable",Tableau_Lancer_la_requête_à_partir_de_Excel_Files102567891113[''19''])</f>
        <v>0</v>
      </c>
      <c r="N67" s="3">
        <f>SUMIF(Tableau_Lancer_la_requête_à_partir_de_Excel_Files102567891113[Avis Cofimac],"1-Favorable",Tableau_Lancer_la_requête_à_partir_de_Excel_Files102567891113[''19''])</f>
        <v>0</v>
      </c>
      <c r="O67" s="1">
        <f>SUMIF(Tableau_Lancer_la_requête_à_partir_de_Excel_Files102567891113[Avis Prog],"2-Favorable sous réserve",Tableau_Lancer_la_requête_à_partir_de_Excel_Files102567891113[''19''])</f>
        <v>0</v>
      </c>
      <c r="P67" s="3">
        <f>SUMIF(Tableau_Lancer_la_requête_à_partir_de_Excel_Files102567891113[Avis Cofimac],"2-Favorable sous réserve",Tableau_Lancer_la_requête_à_partir_de_Excel_Files102567891113[''19''])</f>
        <v>0</v>
      </c>
      <c r="Q67" s="1">
        <f>SUMIF(Tableau_Lancer_la_requête_à_partir_de_Excel_Files10256789111214[Avis Prog],"1-Favorable",Tableau_Lancer_la_requête_à_partir_de_Excel_Files10256789111214[''19''])</f>
        <v>0</v>
      </c>
      <c r="R67" s="3">
        <f>SUMIF(Tableau_Lancer_la_requête_à_partir_de_Excel_Files10256789111214[Avis Cofimac],"1-Favorable",Tableau_Lancer_la_requête_à_partir_de_Excel_Files10256789111214[''19''])</f>
        <v>0</v>
      </c>
      <c r="S67" s="1">
        <f>SUMIF(Tableau_Lancer_la_requête_à_partir_de_Excel_Files10256789111214[Avis Prog],"2-Favorable sous réserve",Tableau_Lancer_la_requête_à_partir_de_Excel_Files10256789111214[''19''])</f>
        <v>0</v>
      </c>
      <c r="T67" s="3">
        <f>SUMIF(Tableau_Lancer_la_requête_à_partir_de_Excel_Files10256789111214[Avis Cofimac],"2-Favorable sous réserve",Tableau_Lancer_la_requête_à_partir_de_Excel_Files10256789111214[''19''])</f>
        <v>0</v>
      </c>
      <c r="U67" s="1">
        <f>SUMIF(Tableau_Lancer_la_requête_à_partir_de_Excel_Files102567891112[Avis Prog],"1-Favorable",Tableau_Lancer_la_requête_à_partir_de_Excel_Files102567891112[''19''])</f>
        <v>0</v>
      </c>
      <c r="V67" s="3">
        <f>SUMIF(Tableau_Lancer_la_requête_à_partir_de_Excel_Files102567891112[Avis Cofimac],"1-Favorable",Tableau_Lancer_la_requête_à_partir_de_Excel_Files102567891112[''19''])</f>
        <v>0</v>
      </c>
      <c r="W67" s="1">
        <f>SUMIF(Tableau_Lancer_la_requête_à_partir_de_Excel_Files102567891112[Avis Prog],"2-Favorable sous réserve",Tableau_Lancer_la_requête_à_partir_de_Excel_Files102567891112[''19''])</f>
        <v>0</v>
      </c>
      <c r="X67" s="3">
        <f>SUMIF(Tableau_Lancer_la_requête_à_partir_de_Excel_Files102567891112[Avis Cofimac],"2-Favorable sous réserve",Tableau_Lancer_la_requête_à_partir_de_Excel_Files102567891112[''19''])</f>
        <v>0</v>
      </c>
    </row>
    <row r="68" spans="4:24" hidden="1" x14ac:dyDescent="0.25">
      <c r="D68" t="s">
        <v>28</v>
      </c>
      <c r="E68" s="3">
        <f t="shared" si="0"/>
        <v>0</v>
      </c>
      <c r="F68" s="3">
        <f t="shared" si="1"/>
        <v>0</v>
      </c>
      <c r="H68" s="1">
        <f>SUMIF(Tableau_Lancer_la_requête_à_partir_de_Excel_Files1025678911[Avis Prog],"1-Favorable",Tableau_Lancer_la_requête_à_partir_de_Excel_Files1025678911[''21''])</f>
        <v>0</v>
      </c>
      <c r="I68" s="3">
        <f>SUMIF(Tableau_Lancer_la_requête_à_partir_de_Excel_Files1025678911[Avis Cofimac],"1-Favorable",Tableau_Lancer_la_requête_à_partir_de_Excel_Files1025678911[''21''])</f>
        <v>0</v>
      </c>
      <c r="J68" s="1">
        <f>SUMIF(Tableau_Lancer_la_requête_à_partir_de_Excel_Files1025678911[Avis Prog],"2-Favorable sous réserve",Tableau_Lancer_la_requête_à_partir_de_Excel_Files1025678911[''21''])</f>
        <v>0</v>
      </c>
      <c r="K68" s="3">
        <f>SUMIF(Tableau_Lancer_la_requête_à_partir_de_Excel_Files1025678911[Avis Cofimac],"2-Favorable sous réserve",Tableau_Lancer_la_requête_à_partir_de_Excel_Files1025678911[''21''])</f>
        <v>0</v>
      </c>
      <c r="M68" s="1">
        <f>SUMIF(Tableau_Lancer_la_requête_à_partir_de_Excel_Files102567891113[Avis Prog],"1-Favorable",Tableau_Lancer_la_requête_à_partir_de_Excel_Files102567891113[''21''])</f>
        <v>0</v>
      </c>
      <c r="N68" s="3">
        <f>SUMIF(Tableau_Lancer_la_requête_à_partir_de_Excel_Files102567891113[Avis Cofimac],"1-Favorable",Tableau_Lancer_la_requête_à_partir_de_Excel_Files102567891113[''21''])</f>
        <v>0</v>
      </c>
      <c r="O68" s="1">
        <f>SUMIF(Tableau_Lancer_la_requête_à_partir_de_Excel_Files102567891113[Avis Prog],"2-Favorable sous réserve",Tableau_Lancer_la_requête_à_partir_de_Excel_Files102567891113[''21''])</f>
        <v>0</v>
      </c>
      <c r="P68" s="3">
        <f>SUMIF(Tableau_Lancer_la_requête_à_partir_de_Excel_Files102567891113[Avis Cofimac],"2-Favorable sous réserve",Tableau_Lancer_la_requête_à_partir_de_Excel_Files102567891113[''21''])</f>
        <v>0</v>
      </c>
      <c r="Q68" s="1">
        <f>SUMIF(Tableau_Lancer_la_requête_à_partir_de_Excel_Files10256789111214[Avis Prog],"1-Favorable",Tableau_Lancer_la_requête_à_partir_de_Excel_Files10256789111214[''21''])</f>
        <v>0</v>
      </c>
      <c r="R68" s="3">
        <f>SUMIF(Tableau_Lancer_la_requête_à_partir_de_Excel_Files10256789111214[Avis Cofimac],"1-Favorable",Tableau_Lancer_la_requête_à_partir_de_Excel_Files10256789111214[''21''])</f>
        <v>0</v>
      </c>
      <c r="S68" s="1">
        <f>SUMIF(Tableau_Lancer_la_requête_à_partir_de_Excel_Files10256789111214[Avis Prog],"2-Favorable sous réserve",Tableau_Lancer_la_requête_à_partir_de_Excel_Files10256789111214[''21''])</f>
        <v>0</v>
      </c>
      <c r="T68" s="3">
        <f>SUMIF(Tableau_Lancer_la_requête_à_partir_de_Excel_Files10256789111214[Avis Cofimac],"2-Favorable sous réserve",Tableau_Lancer_la_requête_à_partir_de_Excel_Files10256789111214[''21''])</f>
        <v>0</v>
      </c>
      <c r="U68" s="1">
        <f>SUMIF(Tableau_Lancer_la_requête_à_partir_de_Excel_Files102567891112[Avis Prog],"1-Favorable",Tableau_Lancer_la_requête_à_partir_de_Excel_Files102567891112[''21''])</f>
        <v>0</v>
      </c>
      <c r="V68" s="3">
        <f>SUMIF(Tableau_Lancer_la_requête_à_partir_de_Excel_Files102567891112[Avis Cofimac],"1-Favorable",Tableau_Lancer_la_requête_à_partir_de_Excel_Files102567891112[''21''])</f>
        <v>0</v>
      </c>
      <c r="W68" s="1">
        <f>SUMIF(Tableau_Lancer_la_requête_à_partir_de_Excel_Files102567891112[Avis Prog],"2-Favorable sous réserve",Tableau_Lancer_la_requête_à_partir_de_Excel_Files102567891112[''21''])</f>
        <v>0</v>
      </c>
      <c r="X68" s="3">
        <f>SUMIF(Tableau_Lancer_la_requête_à_partir_de_Excel_Files102567891112[Avis Cofimac],"2-Favorable sous réserve",Tableau_Lancer_la_requête_à_partir_de_Excel_Files102567891112[''21''])</f>
        <v>0</v>
      </c>
    </row>
    <row r="69" spans="4:24" hidden="1" x14ac:dyDescent="0.25">
      <c r="D69" t="s">
        <v>29</v>
      </c>
      <c r="E69" s="3">
        <f t="shared" si="0"/>
        <v>0</v>
      </c>
      <c r="F69" s="3">
        <f t="shared" si="1"/>
        <v>0</v>
      </c>
      <c r="H69" s="1">
        <f>SUMIF(Tableau_Lancer_la_requête_à_partir_de_Excel_Files1025678911[Avis Prog],"1-Favorable",Tableau_Lancer_la_requête_à_partir_de_Excel_Files1025678911[''23''])</f>
        <v>0</v>
      </c>
      <c r="I69" s="3">
        <f>SUMIF(Tableau_Lancer_la_requête_à_partir_de_Excel_Files1025678911[Avis Cofimac],"1-Favorable",Tableau_Lancer_la_requête_à_partir_de_Excel_Files1025678911[''23''])</f>
        <v>0</v>
      </c>
      <c r="J69" s="1">
        <f>SUMIF(Tableau_Lancer_la_requête_à_partir_de_Excel_Files1025678911[Avis Prog],"2-Favorable sous réserve",Tableau_Lancer_la_requête_à_partir_de_Excel_Files1025678911[''23''])</f>
        <v>0</v>
      </c>
      <c r="K69" s="3">
        <f>SUMIF(Tableau_Lancer_la_requête_à_partir_de_Excel_Files1025678911[Avis Cofimac],"2-Favorable sous réserve",Tableau_Lancer_la_requête_à_partir_de_Excel_Files1025678911[''23''])</f>
        <v>0</v>
      </c>
      <c r="M69" s="1">
        <f>SUMIF(Tableau_Lancer_la_requête_à_partir_de_Excel_Files102567891113[Avis Prog],"1-Favorable",Tableau_Lancer_la_requête_à_partir_de_Excel_Files102567891113[''23''])</f>
        <v>0</v>
      </c>
      <c r="N69" s="3">
        <f>SUMIF(Tableau_Lancer_la_requête_à_partir_de_Excel_Files102567891113[Avis Cofimac],"1-Favorable",Tableau_Lancer_la_requête_à_partir_de_Excel_Files102567891113[''23''])</f>
        <v>0</v>
      </c>
      <c r="O69" s="1">
        <f>SUMIF(Tableau_Lancer_la_requête_à_partir_de_Excel_Files102567891113[Avis Prog],"2-Favorable sous réserve",Tableau_Lancer_la_requête_à_partir_de_Excel_Files102567891113[''23''])</f>
        <v>0</v>
      </c>
      <c r="P69" s="3">
        <f>SUMIF(Tableau_Lancer_la_requête_à_partir_de_Excel_Files102567891113[Avis Cofimac],"2-Favorable sous réserve",Tableau_Lancer_la_requête_à_partir_de_Excel_Files102567891113[''23''])</f>
        <v>0</v>
      </c>
      <c r="Q69" s="1">
        <f>SUMIF(Tableau_Lancer_la_requête_à_partir_de_Excel_Files10256789111214[Avis Prog],"1-Favorable",Tableau_Lancer_la_requête_à_partir_de_Excel_Files10256789111214[''23''])</f>
        <v>0</v>
      </c>
      <c r="R69" s="3">
        <f>SUMIF(Tableau_Lancer_la_requête_à_partir_de_Excel_Files10256789111214[Avis Cofimac],"1-Favorable",Tableau_Lancer_la_requête_à_partir_de_Excel_Files10256789111214[''23''])</f>
        <v>0</v>
      </c>
      <c r="S69" s="1">
        <f>SUMIF(Tableau_Lancer_la_requête_à_partir_de_Excel_Files10256789111214[Avis Prog],"2-Favorable sous réserve",Tableau_Lancer_la_requête_à_partir_de_Excel_Files10256789111214[''23''])</f>
        <v>0</v>
      </c>
      <c r="T69" s="3">
        <f>SUMIF(Tableau_Lancer_la_requête_à_partir_de_Excel_Files10256789111214[Avis Cofimac],"2-Favorable sous réserve",Tableau_Lancer_la_requête_à_partir_de_Excel_Files10256789111214[''23''])</f>
        <v>0</v>
      </c>
      <c r="U69" s="1">
        <f>SUMIF(Tableau_Lancer_la_requête_à_partir_de_Excel_Files102567891112[Avis Prog],"1-Favorable",Tableau_Lancer_la_requête_à_partir_de_Excel_Files102567891112[''23''])</f>
        <v>0</v>
      </c>
      <c r="V69" s="3">
        <f>SUMIF(Tableau_Lancer_la_requête_à_partir_de_Excel_Files102567891112[Avis Cofimac],"1-Favorable",Tableau_Lancer_la_requête_à_partir_de_Excel_Files102567891112[''23''])</f>
        <v>0</v>
      </c>
      <c r="W69" s="1">
        <f>SUMIF(Tableau_Lancer_la_requête_à_partir_de_Excel_Files102567891112[Avis Prog],"2-Favorable sous réserve",Tableau_Lancer_la_requête_à_partir_de_Excel_Files102567891112[''23''])</f>
        <v>0</v>
      </c>
      <c r="X69" s="3">
        <f>SUMIF(Tableau_Lancer_la_requête_à_partir_de_Excel_Files102567891112[Avis Cofimac],"2-Favorable sous réserve",Tableau_Lancer_la_requête_à_partir_de_Excel_Files102567891112[''23''])</f>
        <v>0</v>
      </c>
    </row>
    <row r="70" spans="4:24" hidden="1" x14ac:dyDescent="0.25">
      <c r="D70" t="s">
        <v>30</v>
      </c>
      <c r="E70" s="3">
        <f t="shared" si="0"/>
        <v>0</v>
      </c>
      <c r="F70" s="3">
        <f t="shared" si="1"/>
        <v>0</v>
      </c>
      <c r="H70" s="1">
        <f>SUMIF(Tableau_Lancer_la_requête_à_partir_de_Excel_Files1025678911[Avis Prog],"1-Favorable",Tableau_Lancer_la_requête_à_partir_de_Excel_Files1025678911[''30''])</f>
        <v>0</v>
      </c>
      <c r="I70" s="3">
        <f>SUMIF(Tableau_Lancer_la_requête_à_partir_de_Excel_Files1025678911[Avis Cofimac],"1-Favorable",Tableau_Lancer_la_requête_à_partir_de_Excel_Files1025678911[''30''])</f>
        <v>0</v>
      </c>
      <c r="J70" s="1">
        <f>SUMIF(Tableau_Lancer_la_requête_à_partir_de_Excel_Files1025678911[Avis Prog],"2-Favorable sous réserve",Tableau_Lancer_la_requête_à_partir_de_Excel_Files1025678911[''30''])</f>
        <v>0</v>
      </c>
      <c r="K70" s="3">
        <f>SUMIF(Tableau_Lancer_la_requête_à_partir_de_Excel_Files1025678911[Avis Cofimac],"2-Favorable sous réserve",Tableau_Lancer_la_requête_à_partir_de_Excel_Files1025678911[''30''])</f>
        <v>0</v>
      </c>
      <c r="M70" s="1">
        <f>SUMIF(Tableau_Lancer_la_requête_à_partir_de_Excel_Files102567891113[Avis Prog],"1-Favorable",Tableau_Lancer_la_requête_à_partir_de_Excel_Files102567891113[''30''])</f>
        <v>0</v>
      </c>
      <c r="N70" s="3">
        <f>SUMIF(Tableau_Lancer_la_requête_à_partir_de_Excel_Files102567891113[Avis Cofimac],"1-Favorable",Tableau_Lancer_la_requête_à_partir_de_Excel_Files102567891113[''30''])</f>
        <v>0</v>
      </c>
      <c r="O70" s="1">
        <f>SUMIF(Tableau_Lancer_la_requête_à_partir_de_Excel_Files102567891113[Avis Prog],"2-Favorable sous réserve",Tableau_Lancer_la_requête_à_partir_de_Excel_Files102567891113[''30''])</f>
        <v>0</v>
      </c>
      <c r="P70" s="3">
        <f>SUMIF(Tableau_Lancer_la_requête_à_partir_de_Excel_Files102567891113[Avis Cofimac],"2-Favorable sous réserve",Tableau_Lancer_la_requête_à_partir_de_Excel_Files102567891113[''30''])</f>
        <v>0</v>
      </c>
      <c r="Q70" s="1">
        <f>SUMIF(Tableau_Lancer_la_requête_à_partir_de_Excel_Files10256789111214[Avis Prog],"1-Favorable",Tableau_Lancer_la_requête_à_partir_de_Excel_Files10256789111214[''30''])</f>
        <v>0</v>
      </c>
      <c r="R70" s="3">
        <f>SUMIF(Tableau_Lancer_la_requête_à_partir_de_Excel_Files10256789111214[Avis Cofimac],"1-Favorable",Tableau_Lancer_la_requête_à_partir_de_Excel_Files10256789111214[''30''])</f>
        <v>0</v>
      </c>
      <c r="S70" s="1">
        <f>SUMIF(Tableau_Lancer_la_requête_à_partir_de_Excel_Files10256789111214[Avis Prog],"2-Favorable sous réserve",Tableau_Lancer_la_requête_à_partir_de_Excel_Files10256789111214[''30''])</f>
        <v>0</v>
      </c>
      <c r="T70" s="3">
        <f>SUMIF(Tableau_Lancer_la_requête_à_partir_de_Excel_Files10256789111214[Avis Cofimac],"2-Favorable sous réserve",Tableau_Lancer_la_requête_à_partir_de_Excel_Files10256789111214[''30''])</f>
        <v>0</v>
      </c>
      <c r="U70" s="1">
        <f>SUMIF(Tableau_Lancer_la_requête_à_partir_de_Excel_Files102567891112[Avis Prog],"1-Favorable",Tableau_Lancer_la_requête_à_partir_de_Excel_Files102567891112[''30''])</f>
        <v>0</v>
      </c>
      <c r="V70" s="3">
        <f>SUMIF(Tableau_Lancer_la_requête_à_partir_de_Excel_Files102567891112[Avis Cofimac],"1-Favorable",Tableau_Lancer_la_requête_à_partir_de_Excel_Files102567891112[''30''])</f>
        <v>0</v>
      </c>
      <c r="W70" s="1">
        <f>SUMIF(Tableau_Lancer_la_requête_à_partir_de_Excel_Files102567891112[Avis Prog],"2-Favorable sous réserve",Tableau_Lancer_la_requête_à_partir_de_Excel_Files102567891112[''30''])</f>
        <v>0</v>
      </c>
      <c r="X70" s="3">
        <f>SUMIF(Tableau_Lancer_la_requête_à_partir_de_Excel_Files102567891112[Avis Cofimac],"2-Favorable sous réserve",Tableau_Lancer_la_requête_à_partir_de_Excel_Files102567891112[''30''])</f>
        <v>0</v>
      </c>
    </row>
    <row r="71" spans="4:24" hidden="1" x14ac:dyDescent="0.25">
      <c r="D71" t="s">
        <v>31</v>
      </c>
      <c r="E71" s="3">
        <f t="shared" si="0"/>
        <v>0</v>
      </c>
      <c r="F71" s="3">
        <f t="shared" si="1"/>
        <v>0</v>
      </c>
      <c r="H71" s="1">
        <f>SUMIF(Tableau_Lancer_la_requête_à_partir_de_Excel_Files1025678911[Avis Prog],"1-Favorable",Tableau_Lancer_la_requête_à_partir_de_Excel_Files1025678911[''34''])</f>
        <v>0</v>
      </c>
      <c r="I71" s="3">
        <f>SUMIF(Tableau_Lancer_la_requête_à_partir_de_Excel_Files1025678911[Avis Cofimac],"1-Favorable",Tableau_Lancer_la_requête_à_partir_de_Excel_Files1025678911[''34''])</f>
        <v>0</v>
      </c>
      <c r="J71" s="1">
        <f>SUMIF(Tableau_Lancer_la_requête_à_partir_de_Excel_Files1025678911[Avis Prog],"2-Favorable sous réserve",Tableau_Lancer_la_requête_à_partir_de_Excel_Files1025678911[''34''])</f>
        <v>0</v>
      </c>
      <c r="K71" s="3">
        <f>SUMIF(Tableau_Lancer_la_requête_à_partir_de_Excel_Files1025678911[Avis Cofimac],"2-Favorable sous réserve",Tableau_Lancer_la_requête_à_partir_de_Excel_Files1025678911[''34''])</f>
        <v>0</v>
      </c>
      <c r="M71" s="1">
        <f>SUMIF(Tableau_Lancer_la_requête_à_partir_de_Excel_Files102567891113[Avis Prog],"1-Favorable",Tableau_Lancer_la_requête_à_partir_de_Excel_Files102567891113[''34''])</f>
        <v>0</v>
      </c>
      <c r="N71" s="3">
        <f>SUMIF(Tableau_Lancer_la_requête_à_partir_de_Excel_Files102567891113[Avis Cofimac],"1-Favorable",Tableau_Lancer_la_requête_à_partir_de_Excel_Files102567891113[''34''])</f>
        <v>0</v>
      </c>
      <c r="O71" s="1">
        <f>SUMIF(Tableau_Lancer_la_requête_à_partir_de_Excel_Files102567891113[Avis Prog],"2-Favorable sous réserve",Tableau_Lancer_la_requête_à_partir_de_Excel_Files102567891113[''34''])</f>
        <v>0</v>
      </c>
      <c r="P71" s="3">
        <f>SUMIF(Tableau_Lancer_la_requête_à_partir_de_Excel_Files102567891113[Avis Cofimac],"2-Favorable sous réserve",Tableau_Lancer_la_requête_à_partir_de_Excel_Files102567891113[''34''])</f>
        <v>0</v>
      </c>
      <c r="Q71" s="1">
        <f>SUMIF(Tableau_Lancer_la_requête_à_partir_de_Excel_Files10256789111214[Avis Prog],"1-Favorable",Tableau_Lancer_la_requête_à_partir_de_Excel_Files10256789111214[''34''])</f>
        <v>0</v>
      </c>
      <c r="R71" s="3">
        <f>SUMIF(Tableau_Lancer_la_requête_à_partir_de_Excel_Files10256789111214[Avis Cofimac],"1-Favorable",Tableau_Lancer_la_requête_à_partir_de_Excel_Files10256789111214[''34''])</f>
        <v>0</v>
      </c>
      <c r="S71" s="1">
        <f>SUMIF(Tableau_Lancer_la_requête_à_partir_de_Excel_Files10256789111214[Avis Prog],"2-Favorable sous réserve",Tableau_Lancer_la_requête_à_partir_de_Excel_Files10256789111214[''34''])</f>
        <v>0</v>
      </c>
      <c r="T71" s="3">
        <f>SUMIF(Tableau_Lancer_la_requête_à_partir_de_Excel_Files10256789111214[Avis Cofimac],"2-Favorable sous réserve",Tableau_Lancer_la_requête_à_partir_de_Excel_Files10256789111214[''34''])</f>
        <v>0</v>
      </c>
      <c r="U71" s="1">
        <f>SUMIF(Tableau_Lancer_la_requête_à_partir_de_Excel_Files102567891112[Avis Prog],"1-Favorable",Tableau_Lancer_la_requête_à_partir_de_Excel_Files102567891112[''34''])</f>
        <v>0</v>
      </c>
      <c r="V71" s="3">
        <f>SUMIF(Tableau_Lancer_la_requête_à_partir_de_Excel_Files102567891112[Avis Cofimac],"1-Favorable",Tableau_Lancer_la_requête_à_partir_de_Excel_Files102567891112[''34''])</f>
        <v>0</v>
      </c>
      <c r="W71" s="1">
        <f>SUMIF(Tableau_Lancer_la_requête_à_partir_de_Excel_Files102567891112[Avis Prog],"2-Favorable sous réserve",Tableau_Lancer_la_requête_à_partir_de_Excel_Files102567891112[''34''])</f>
        <v>0</v>
      </c>
      <c r="X71" s="3">
        <f>SUMIF(Tableau_Lancer_la_requête_à_partir_de_Excel_Files102567891112[Avis Cofimac],"2-Favorable sous réserve",Tableau_Lancer_la_requête_à_partir_de_Excel_Files102567891112[''34''])</f>
        <v>0</v>
      </c>
    </row>
    <row r="72" spans="4:24" hidden="1" x14ac:dyDescent="0.25">
      <c r="D72" t="s">
        <v>32</v>
      </c>
      <c r="E72" s="3">
        <f t="shared" si="0"/>
        <v>0</v>
      </c>
      <c r="F72" s="3">
        <f t="shared" si="1"/>
        <v>0</v>
      </c>
      <c r="H72" s="1">
        <f>SUMIF(Tableau_Lancer_la_requête_à_partir_de_Excel_Files1025678911[Avis Prog],"1-Favorable",Tableau_Lancer_la_requête_à_partir_de_Excel_Files1025678911[''42''])</f>
        <v>0</v>
      </c>
      <c r="I72" s="3">
        <f>SUMIF(Tableau_Lancer_la_requête_à_partir_de_Excel_Files1025678911[Avis Cofimac],"1-Favorable",Tableau_Lancer_la_requête_à_partir_de_Excel_Files1025678911[''42''])</f>
        <v>0</v>
      </c>
      <c r="J72" s="1">
        <f>SUMIF(Tableau_Lancer_la_requête_à_partir_de_Excel_Files1025678911[Avis Prog],"2-Favorable sous réserve",Tableau_Lancer_la_requête_à_partir_de_Excel_Files1025678911[''42''])</f>
        <v>0</v>
      </c>
      <c r="K72" s="3">
        <f>SUMIF(Tableau_Lancer_la_requête_à_partir_de_Excel_Files1025678911[Avis Cofimac],"2-Favorable sous réserve",Tableau_Lancer_la_requête_à_partir_de_Excel_Files1025678911[''42''])</f>
        <v>0</v>
      </c>
      <c r="M72" s="1">
        <f>SUMIF(Tableau_Lancer_la_requête_à_partir_de_Excel_Files102567891113[Avis Prog],"1-Favorable",Tableau_Lancer_la_requête_à_partir_de_Excel_Files102567891113[''42''])</f>
        <v>0</v>
      </c>
      <c r="N72" s="3">
        <f>SUMIF(Tableau_Lancer_la_requête_à_partir_de_Excel_Files102567891113[Avis Cofimac],"1-Favorable",Tableau_Lancer_la_requête_à_partir_de_Excel_Files102567891113[''42''])</f>
        <v>0</v>
      </c>
      <c r="O72" s="1">
        <f>SUMIF(Tableau_Lancer_la_requête_à_partir_de_Excel_Files102567891113[Avis Prog],"2-Favorable sous réserve",Tableau_Lancer_la_requête_à_partir_de_Excel_Files102567891113[''42''])</f>
        <v>0</v>
      </c>
      <c r="P72" s="3">
        <f>SUMIF(Tableau_Lancer_la_requête_à_partir_de_Excel_Files102567891113[Avis Cofimac],"2-Favorable sous réserve",Tableau_Lancer_la_requête_à_partir_de_Excel_Files102567891113[''42''])</f>
        <v>0</v>
      </c>
      <c r="Q72" s="1">
        <f>SUMIF(Tableau_Lancer_la_requête_à_partir_de_Excel_Files10256789111214[Avis Prog],"1-Favorable",Tableau_Lancer_la_requête_à_partir_de_Excel_Files10256789111214[''42''])</f>
        <v>0</v>
      </c>
      <c r="R72" s="3">
        <f>SUMIF(Tableau_Lancer_la_requête_à_partir_de_Excel_Files10256789111214[Avis Cofimac],"1-Favorable",Tableau_Lancer_la_requête_à_partir_de_Excel_Files10256789111214[''42''])</f>
        <v>0</v>
      </c>
      <c r="S72" s="1">
        <f>SUMIF(Tableau_Lancer_la_requête_à_partir_de_Excel_Files10256789111214[Avis Prog],"2-Favorable sous réserve",Tableau_Lancer_la_requête_à_partir_de_Excel_Files10256789111214[''42''])</f>
        <v>0</v>
      </c>
      <c r="T72" s="3">
        <f>SUMIF(Tableau_Lancer_la_requête_à_partir_de_Excel_Files10256789111214[Avis Cofimac],"2-Favorable sous réserve",Tableau_Lancer_la_requête_à_partir_de_Excel_Files10256789111214[''42''])</f>
        <v>0</v>
      </c>
      <c r="U72" s="1">
        <f>SUMIF(Tableau_Lancer_la_requête_à_partir_de_Excel_Files102567891112[Avis Prog],"1-Favorable",Tableau_Lancer_la_requête_à_partir_de_Excel_Files102567891112[''42''])</f>
        <v>0</v>
      </c>
      <c r="V72" s="3">
        <f>SUMIF(Tableau_Lancer_la_requête_à_partir_de_Excel_Files102567891112[Avis Cofimac],"1-Favorable",Tableau_Lancer_la_requête_à_partir_de_Excel_Files102567891112[''42''])</f>
        <v>0</v>
      </c>
      <c r="W72" s="1">
        <f>SUMIF(Tableau_Lancer_la_requête_à_partir_de_Excel_Files102567891112[Avis Prog],"2-Favorable sous réserve",Tableau_Lancer_la_requête_à_partir_de_Excel_Files102567891112[''42''])</f>
        <v>0</v>
      </c>
      <c r="X72" s="3">
        <f>SUMIF(Tableau_Lancer_la_requête_à_partir_de_Excel_Files102567891112[Avis Cofimac],"2-Favorable sous réserve",Tableau_Lancer_la_requête_à_partir_de_Excel_Files102567891112[''42''])</f>
        <v>0</v>
      </c>
    </row>
    <row r="73" spans="4:24" hidden="1" x14ac:dyDescent="0.25">
      <c r="D73" t="s">
        <v>33</v>
      </c>
      <c r="E73" s="3">
        <f t="shared" si="0"/>
        <v>0</v>
      </c>
      <c r="F73" s="3">
        <f t="shared" si="1"/>
        <v>0</v>
      </c>
      <c r="H73" s="1">
        <f>SUMIF(Tableau_Lancer_la_requête_à_partir_de_Excel_Files1025678911[Avis Prog],"1-Favorable",Tableau_Lancer_la_requête_à_partir_de_Excel_Files1025678911[''43''])</f>
        <v>0</v>
      </c>
      <c r="I73" s="3">
        <f>SUMIF(Tableau_Lancer_la_requête_à_partir_de_Excel_Files1025678911[Avis Cofimac],"1-Favorable",Tableau_Lancer_la_requête_à_partir_de_Excel_Files1025678911[''43''])</f>
        <v>0</v>
      </c>
      <c r="J73" s="1">
        <f>SUMIF(Tableau_Lancer_la_requête_à_partir_de_Excel_Files1025678911[Avis Prog],"2-Favorable sous réserve",Tableau_Lancer_la_requête_à_partir_de_Excel_Files1025678911[''43''])</f>
        <v>0</v>
      </c>
      <c r="K73" s="3">
        <f>SUMIF(Tableau_Lancer_la_requête_à_partir_de_Excel_Files1025678911[Avis Cofimac],"2-Favorable sous réserve",Tableau_Lancer_la_requête_à_partir_de_Excel_Files1025678911[''43''])</f>
        <v>0</v>
      </c>
      <c r="M73" s="1">
        <f>SUMIF(Tableau_Lancer_la_requête_à_partir_de_Excel_Files102567891113[Avis Prog],"1-Favorable",Tableau_Lancer_la_requête_à_partir_de_Excel_Files102567891113[''43''])</f>
        <v>0</v>
      </c>
      <c r="N73" s="3">
        <f>SUMIF(Tableau_Lancer_la_requête_à_partir_de_Excel_Files102567891113[Avis Cofimac],"1-Favorable",Tableau_Lancer_la_requête_à_partir_de_Excel_Files102567891113[''43''])</f>
        <v>0</v>
      </c>
      <c r="O73" s="1">
        <f>SUMIF(Tableau_Lancer_la_requête_à_partir_de_Excel_Files102567891113[Avis Prog],"2-Favorable sous réserve",Tableau_Lancer_la_requête_à_partir_de_Excel_Files102567891113[''43''])</f>
        <v>0</v>
      </c>
      <c r="P73" s="3">
        <f>SUMIF(Tableau_Lancer_la_requête_à_partir_de_Excel_Files102567891113[Avis Cofimac],"2-Favorable sous réserve",Tableau_Lancer_la_requête_à_partir_de_Excel_Files102567891113[''43''])</f>
        <v>0</v>
      </c>
      <c r="Q73" s="1">
        <f>SUMIF(Tableau_Lancer_la_requête_à_partir_de_Excel_Files10256789111214[Avis Prog],"1-Favorable",Tableau_Lancer_la_requête_à_partir_de_Excel_Files10256789111214[''43''])</f>
        <v>0</v>
      </c>
      <c r="R73" s="3">
        <f>SUMIF(Tableau_Lancer_la_requête_à_partir_de_Excel_Files10256789111214[Avis Cofimac],"1-Favorable",Tableau_Lancer_la_requête_à_partir_de_Excel_Files10256789111214[''43''])</f>
        <v>0</v>
      </c>
      <c r="S73" s="1">
        <f>SUMIF(Tableau_Lancer_la_requête_à_partir_de_Excel_Files10256789111214[Avis Prog],"2-Favorable sous réserve",Tableau_Lancer_la_requête_à_partir_de_Excel_Files10256789111214[''43''])</f>
        <v>0</v>
      </c>
      <c r="T73" s="3">
        <f>SUMIF(Tableau_Lancer_la_requête_à_partir_de_Excel_Files10256789111214[Avis Cofimac],"2-Favorable sous réserve",Tableau_Lancer_la_requête_à_partir_de_Excel_Files10256789111214[''43''])</f>
        <v>0</v>
      </c>
      <c r="U73" s="1">
        <f>SUMIF(Tableau_Lancer_la_requête_à_partir_de_Excel_Files102567891112[Avis Prog],"1-Favorable",Tableau_Lancer_la_requête_à_partir_de_Excel_Files102567891112[''43''])</f>
        <v>0</v>
      </c>
      <c r="V73" s="3">
        <f>SUMIF(Tableau_Lancer_la_requête_à_partir_de_Excel_Files102567891112[Avis Cofimac],"1-Favorable",Tableau_Lancer_la_requête_à_partir_de_Excel_Files102567891112[''43''])</f>
        <v>0</v>
      </c>
      <c r="W73" s="1">
        <f>SUMIF(Tableau_Lancer_la_requête_à_partir_de_Excel_Files102567891112[Avis Prog],"2-Favorable sous réserve",Tableau_Lancer_la_requête_à_partir_de_Excel_Files102567891112[''43''])</f>
        <v>0</v>
      </c>
      <c r="X73" s="3">
        <f>SUMIF(Tableau_Lancer_la_requête_à_partir_de_Excel_Files102567891112[Avis Cofimac],"2-Favorable sous réserve",Tableau_Lancer_la_requête_à_partir_de_Excel_Files102567891112[''43''])</f>
        <v>0</v>
      </c>
    </row>
    <row r="74" spans="4:24" hidden="1" x14ac:dyDescent="0.25">
      <c r="D74" t="s">
        <v>34</v>
      </c>
      <c r="E74" s="3">
        <f t="shared" si="0"/>
        <v>0</v>
      </c>
      <c r="F74" s="3">
        <f t="shared" si="1"/>
        <v>0</v>
      </c>
      <c r="H74" s="1">
        <f>SUMIF(Tableau_Lancer_la_requête_à_partir_de_Excel_Files1025678911[Avis Prog],"1-Favorable",Tableau_Lancer_la_requête_à_partir_de_Excel_Files1025678911[''46''])</f>
        <v>0</v>
      </c>
      <c r="I74" s="3">
        <f>SUMIF(Tableau_Lancer_la_requête_à_partir_de_Excel_Files1025678911[Avis Cofimac],"1-Favorable",Tableau_Lancer_la_requête_à_partir_de_Excel_Files1025678911[''46''])</f>
        <v>0</v>
      </c>
      <c r="J74" s="1">
        <f>SUMIF(Tableau_Lancer_la_requête_à_partir_de_Excel_Files1025678911[Avis Prog],"2-Favorable sous réserve",Tableau_Lancer_la_requête_à_partir_de_Excel_Files1025678911[''46''])</f>
        <v>0</v>
      </c>
      <c r="K74" s="3">
        <f>SUMIF(Tableau_Lancer_la_requête_à_partir_de_Excel_Files1025678911[Avis Cofimac],"2-Favorable sous réserve",Tableau_Lancer_la_requête_à_partir_de_Excel_Files1025678911[''46''])</f>
        <v>0</v>
      </c>
      <c r="M74" s="1">
        <f>SUMIF(Tableau_Lancer_la_requête_à_partir_de_Excel_Files102567891113[Avis Prog],"1-Favorable",Tableau_Lancer_la_requête_à_partir_de_Excel_Files102567891113[''46''])</f>
        <v>0</v>
      </c>
      <c r="N74" s="3">
        <f>SUMIF(Tableau_Lancer_la_requête_à_partir_de_Excel_Files102567891113[Avis Cofimac],"1-Favorable",Tableau_Lancer_la_requête_à_partir_de_Excel_Files102567891113[''46''])</f>
        <v>0</v>
      </c>
      <c r="O74" s="1">
        <f>SUMIF(Tableau_Lancer_la_requête_à_partir_de_Excel_Files102567891113[Avis Prog],"2-Favorable sous réserve",Tableau_Lancer_la_requête_à_partir_de_Excel_Files102567891113[''46''])</f>
        <v>0</v>
      </c>
      <c r="P74" s="3">
        <f>SUMIF(Tableau_Lancer_la_requête_à_partir_de_Excel_Files102567891113[Avis Cofimac],"2-Favorable sous réserve",Tableau_Lancer_la_requête_à_partir_de_Excel_Files102567891113[''46''])</f>
        <v>0</v>
      </c>
      <c r="Q74" s="1">
        <f>SUMIF(Tableau_Lancer_la_requête_à_partir_de_Excel_Files10256789111214[Avis Prog],"1-Favorable",Tableau_Lancer_la_requête_à_partir_de_Excel_Files10256789111214[''46''])</f>
        <v>0</v>
      </c>
      <c r="R74" s="3">
        <f>SUMIF(Tableau_Lancer_la_requête_à_partir_de_Excel_Files10256789111214[Avis Cofimac],"1-Favorable",Tableau_Lancer_la_requête_à_partir_de_Excel_Files10256789111214[''46''])</f>
        <v>0</v>
      </c>
      <c r="S74" s="1">
        <f>SUMIF(Tableau_Lancer_la_requête_à_partir_de_Excel_Files10256789111214[Avis Prog],"2-Favorable sous réserve",Tableau_Lancer_la_requête_à_partir_de_Excel_Files10256789111214[''46''])</f>
        <v>0</v>
      </c>
      <c r="T74" s="3">
        <f>SUMIF(Tableau_Lancer_la_requête_à_partir_de_Excel_Files10256789111214[Avis Cofimac],"2-Favorable sous réserve",Tableau_Lancer_la_requête_à_partir_de_Excel_Files10256789111214[''46''])</f>
        <v>0</v>
      </c>
      <c r="U74" s="1">
        <f>SUMIF(Tableau_Lancer_la_requête_à_partir_de_Excel_Files102567891112[Avis Prog],"1-Favorable",Tableau_Lancer_la_requête_à_partir_de_Excel_Files102567891112[''46''])</f>
        <v>0</v>
      </c>
      <c r="V74" s="3">
        <f>SUMIF(Tableau_Lancer_la_requête_à_partir_de_Excel_Files102567891112[Avis Cofimac],"1-Favorable",Tableau_Lancer_la_requête_à_partir_de_Excel_Files102567891112[''46''])</f>
        <v>0</v>
      </c>
      <c r="W74" s="1">
        <f>SUMIF(Tableau_Lancer_la_requête_à_partir_de_Excel_Files102567891112[Avis Prog],"2-Favorable sous réserve",Tableau_Lancer_la_requête_à_partir_de_Excel_Files102567891112[''46''])</f>
        <v>0</v>
      </c>
      <c r="X74" s="3">
        <f>SUMIF(Tableau_Lancer_la_requête_à_partir_de_Excel_Files102567891112[Avis Cofimac],"2-Favorable sous réserve",Tableau_Lancer_la_requête_à_partir_de_Excel_Files102567891112[''46''])</f>
        <v>0</v>
      </c>
    </row>
    <row r="75" spans="4:24" hidden="1" x14ac:dyDescent="0.25">
      <c r="D75" t="s">
        <v>35</v>
      </c>
      <c r="E75" s="3">
        <f t="shared" si="0"/>
        <v>15330</v>
      </c>
      <c r="F75" s="3">
        <f t="shared" si="1"/>
        <v>15330</v>
      </c>
      <c r="H75" s="1">
        <f>SUMIF(Tableau_Lancer_la_requête_à_partir_de_Excel_Files1025678911[Avis Prog],"1-Favorable",Tableau_Lancer_la_requête_à_partir_de_Excel_Files1025678911[''48''])</f>
        <v>0</v>
      </c>
      <c r="I75" s="3">
        <f>SUMIF(Tableau_Lancer_la_requête_à_partir_de_Excel_Files1025678911[Avis Cofimac],"1-Favorable",Tableau_Lancer_la_requête_à_partir_de_Excel_Files1025678911[''48''])</f>
        <v>0</v>
      </c>
      <c r="J75" s="1">
        <f>SUMIF(Tableau_Lancer_la_requête_à_partir_de_Excel_Files1025678911[Avis Prog],"2-Favorable sous réserve",Tableau_Lancer_la_requête_à_partir_de_Excel_Files1025678911[''48''])</f>
        <v>0</v>
      </c>
      <c r="K75" s="3">
        <f>SUMIF(Tableau_Lancer_la_requête_à_partir_de_Excel_Files1025678911[Avis Cofimac],"2-Favorable sous réserve",Tableau_Lancer_la_requête_à_partir_de_Excel_Files1025678911[''48''])</f>
        <v>0</v>
      </c>
      <c r="M75" s="1">
        <f>SUMIF(Tableau_Lancer_la_requête_à_partir_de_Excel_Files102567891113[Avis Prog],"1-Favorable",Tableau_Lancer_la_requête_à_partir_de_Excel_Files102567891113[''48''])</f>
        <v>0</v>
      </c>
      <c r="N75" s="3">
        <f>SUMIF(Tableau_Lancer_la_requête_à_partir_de_Excel_Files102567891113[Avis Cofimac],"1-Favorable",Tableau_Lancer_la_requête_à_partir_de_Excel_Files102567891113[''48''])</f>
        <v>0</v>
      </c>
      <c r="O75" s="1">
        <f>SUMIF(Tableau_Lancer_la_requête_à_partir_de_Excel_Files102567891113[Avis Prog],"2-Favorable sous réserve",Tableau_Lancer_la_requête_à_partir_de_Excel_Files102567891113[''48''])</f>
        <v>0</v>
      </c>
      <c r="P75" s="3">
        <f>SUMIF(Tableau_Lancer_la_requête_à_partir_de_Excel_Files102567891113[Avis Cofimac],"2-Favorable sous réserve",Tableau_Lancer_la_requête_à_partir_de_Excel_Files102567891113[''48''])</f>
        <v>0</v>
      </c>
      <c r="Q75" s="1">
        <f>SUMIF(Tableau_Lancer_la_requête_à_partir_de_Excel_Files10256789111214[Avis Prog],"1-Favorable",Tableau_Lancer_la_requête_à_partir_de_Excel_Files10256789111214[''48''])</f>
        <v>15330</v>
      </c>
      <c r="R75" s="3">
        <f>SUMIF(Tableau_Lancer_la_requête_à_partir_de_Excel_Files10256789111214[Avis Cofimac],"1-Favorable",Tableau_Lancer_la_requête_à_partir_de_Excel_Files10256789111214[''48''])</f>
        <v>0</v>
      </c>
      <c r="S75" s="1">
        <f>SUMIF(Tableau_Lancer_la_requête_à_partir_de_Excel_Files10256789111214[Avis Prog],"2-Favorable sous réserve",Tableau_Lancer_la_requête_à_partir_de_Excel_Files10256789111214[''48''])</f>
        <v>0</v>
      </c>
      <c r="T75" s="3">
        <f>SUMIF(Tableau_Lancer_la_requête_à_partir_de_Excel_Files10256789111214[Avis Cofimac],"2-Favorable sous réserve",Tableau_Lancer_la_requête_à_partir_de_Excel_Files10256789111214[''48''])</f>
        <v>15330</v>
      </c>
      <c r="U75" s="1">
        <f>SUMIF(Tableau_Lancer_la_requête_à_partir_de_Excel_Files102567891112[Avis Prog],"1-Favorable",Tableau_Lancer_la_requête_à_partir_de_Excel_Files102567891112[''48''])</f>
        <v>0</v>
      </c>
      <c r="V75" s="3">
        <f>SUMIF(Tableau_Lancer_la_requête_à_partir_de_Excel_Files102567891112[Avis Cofimac],"1-Favorable",Tableau_Lancer_la_requête_à_partir_de_Excel_Files102567891112[''48''])</f>
        <v>0</v>
      </c>
      <c r="W75" s="1">
        <f>SUMIF(Tableau_Lancer_la_requête_à_partir_de_Excel_Files102567891112[Avis Prog],"2-Favorable sous réserve",Tableau_Lancer_la_requête_à_partir_de_Excel_Files102567891112[''48''])</f>
        <v>0</v>
      </c>
      <c r="X75" s="3">
        <f>SUMIF(Tableau_Lancer_la_requête_à_partir_de_Excel_Files102567891112[Avis Cofimac],"2-Favorable sous réserve",Tableau_Lancer_la_requête_à_partir_de_Excel_Files102567891112[''48''])</f>
        <v>0</v>
      </c>
    </row>
    <row r="76" spans="4:24" hidden="1" x14ac:dyDescent="0.25">
      <c r="D76" t="s">
        <v>36</v>
      </c>
      <c r="E76" s="3">
        <f t="shared" si="0"/>
        <v>0</v>
      </c>
      <c r="F76" s="3">
        <f t="shared" si="1"/>
        <v>0</v>
      </c>
      <c r="H76" s="1">
        <f>SUMIF(Tableau_Lancer_la_requête_à_partir_de_Excel_Files1025678911[Avis Prog],"1-Favorable",Tableau_Lancer_la_requête_à_partir_de_Excel_Files1025678911[''58''])</f>
        <v>0</v>
      </c>
      <c r="I76" s="3">
        <f>SUMIF(Tableau_Lancer_la_requête_à_partir_de_Excel_Files1025678911[Avis Cofimac],"1-Favorable",Tableau_Lancer_la_requête_à_partir_de_Excel_Files1025678911[''58''])</f>
        <v>0</v>
      </c>
      <c r="J76" s="1">
        <f>SUMIF(Tableau_Lancer_la_requête_à_partir_de_Excel_Files1025678911[Avis Prog],"2-Favorable sous réserve",Tableau_Lancer_la_requête_à_partir_de_Excel_Files1025678911[''58''])</f>
        <v>0</v>
      </c>
      <c r="K76" s="3">
        <f>SUMIF(Tableau_Lancer_la_requête_à_partir_de_Excel_Files1025678911[Avis Cofimac],"2-Favorable sous réserve",Tableau_Lancer_la_requête_à_partir_de_Excel_Files1025678911[''58''])</f>
        <v>0</v>
      </c>
      <c r="M76" s="1">
        <f>SUMIF(Tableau_Lancer_la_requête_à_partir_de_Excel_Files102567891113[Avis Prog],"1-Favorable",Tableau_Lancer_la_requête_à_partir_de_Excel_Files102567891113[''58''])</f>
        <v>0</v>
      </c>
      <c r="N76" s="3">
        <f>SUMIF(Tableau_Lancer_la_requête_à_partir_de_Excel_Files102567891113[Avis Cofimac],"1-Favorable",Tableau_Lancer_la_requête_à_partir_de_Excel_Files102567891113[''58''])</f>
        <v>0</v>
      </c>
      <c r="O76" s="1">
        <f>SUMIF(Tableau_Lancer_la_requête_à_partir_de_Excel_Files102567891113[Avis Prog],"2-Favorable sous réserve",Tableau_Lancer_la_requête_à_partir_de_Excel_Files102567891113[''58''])</f>
        <v>0</v>
      </c>
      <c r="P76" s="3">
        <f>SUMIF(Tableau_Lancer_la_requête_à_partir_de_Excel_Files102567891113[Avis Cofimac],"2-Favorable sous réserve",Tableau_Lancer_la_requête_à_partir_de_Excel_Files102567891113[''58''])</f>
        <v>0</v>
      </c>
      <c r="Q76" s="1">
        <f>SUMIF(Tableau_Lancer_la_requête_à_partir_de_Excel_Files10256789111214[Avis Prog],"1-Favorable",Tableau_Lancer_la_requête_à_partir_de_Excel_Files10256789111214[''58''])</f>
        <v>0</v>
      </c>
      <c r="R76" s="3">
        <f>SUMIF(Tableau_Lancer_la_requête_à_partir_de_Excel_Files10256789111214[Avis Cofimac],"1-Favorable",Tableau_Lancer_la_requête_à_partir_de_Excel_Files10256789111214[''58''])</f>
        <v>0</v>
      </c>
      <c r="S76" s="1">
        <f>SUMIF(Tableau_Lancer_la_requête_à_partir_de_Excel_Files10256789111214[Avis Prog],"2-Favorable sous réserve",Tableau_Lancer_la_requête_à_partir_de_Excel_Files10256789111214[''58''])</f>
        <v>0</v>
      </c>
      <c r="T76" s="3">
        <f>SUMIF(Tableau_Lancer_la_requête_à_partir_de_Excel_Files10256789111214[Avis Cofimac],"2-Favorable sous réserve",Tableau_Lancer_la_requête_à_partir_de_Excel_Files10256789111214[''58''])</f>
        <v>0</v>
      </c>
      <c r="U76" s="1">
        <f>SUMIF(Tableau_Lancer_la_requête_à_partir_de_Excel_Files102567891112[Avis Prog],"1-Favorable",Tableau_Lancer_la_requête_à_partir_de_Excel_Files102567891112[''58''])</f>
        <v>0</v>
      </c>
      <c r="V76" s="3">
        <f>SUMIF(Tableau_Lancer_la_requête_à_partir_de_Excel_Files102567891112[Avis Cofimac],"1-Favorable",Tableau_Lancer_la_requête_à_partir_de_Excel_Files102567891112[''58''])</f>
        <v>0</v>
      </c>
      <c r="W76" s="1">
        <f>SUMIF(Tableau_Lancer_la_requête_à_partir_de_Excel_Files102567891112[Avis Prog],"2-Favorable sous réserve",Tableau_Lancer_la_requête_à_partir_de_Excel_Files102567891112[''58''])</f>
        <v>0</v>
      </c>
      <c r="X76" s="3">
        <f>SUMIF(Tableau_Lancer_la_requête_à_partir_de_Excel_Files102567891112[Avis Cofimac],"2-Favorable sous réserve",Tableau_Lancer_la_requête_à_partir_de_Excel_Files102567891112[''58''])</f>
        <v>0</v>
      </c>
    </row>
    <row r="77" spans="4:24" hidden="1" x14ac:dyDescent="0.25">
      <c r="D77" t="s">
        <v>37</v>
      </c>
      <c r="E77" s="3">
        <f t="shared" si="0"/>
        <v>0</v>
      </c>
      <c r="F77" s="3">
        <f t="shared" si="1"/>
        <v>0</v>
      </c>
      <c r="H77" s="1">
        <f>SUMIF(Tableau_Lancer_la_requête_à_partir_de_Excel_Files1025678911[Avis Prog],"1-Favorable",Tableau_Lancer_la_requête_à_partir_de_Excel_Files1025678911[''63''])</f>
        <v>0</v>
      </c>
      <c r="I77" s="3">
        <f>SUMIF(Tableau_Lancer_la_requête_à_partir_de_Excel_Files1025678911[Avis Cofimac],"1-Favorable",Tableau_Lancer_la_requête_à_partir_de_Excel_Files1025678911[''63''])</f>
        <v>0</v>
      </c>
      <c r="J77" s="1">
        <f>SUMIF(Tableau_Lancer_la_requête_à_partir_de_Excel_Files1025678911[Avis Prog],"2-Favorable sous réserve",Tableau_Lancer_la_requête_à_partir_de_Excel_Files1025678911[''63''])</f>
        <v>0</v>
      </c>
      <c r="K77" s="3">
        <f>SUMIF(Tableau_Lancer_la_requête_à_partir_de_Excel_Files1025678911[Avis Cofimac],"2-Favorable sous réserve",Tableau_Lancer_la_requête_à_partir_de_Excel_Files1025678911[''63''])</f>
        <v>0</v>
      </c>
      <c r="M77" s="1">
        <f>SUMIF(Tableau_Lancer_la_requête_à_partir_de_Excel_Files102567891113[Avis Prog],"1-Favorable",Tableau_Lancer_la_requête_à_partir_de_Excel_Files102567891113[''63''])</f>
        <v>0</v>
      </c>
      <c r="N77" s="3">
        <f>SUMIF(Tableau_Lancer_la_requête_à_partir_de_Excel_Files102567891113[Avis Cofimac],"1-Favorable",Tableau_Lancer_la_requête_à_partir_de_Excel_Files102567891113[''63''])</f>
        <v>0</v>
      </c>
      <c r="O77" s="1">
        <f>SUMIF(Tableau_Lancer_la_requête_à_partir_de_Excel_Files102567891113[Avis Prog],"2-Favorable sous réserve",Tableau_Lancer_la_requête_à_partir_de_Excel_Files102567891113[''63''])</f>
        <v>0</v>
      </c>
      <c r="P77" s="3">
        <f>SUMIF(Tableau_Lancer_la_requête_à_partir_de_Excel_Files102567891113[Avis Cofimac],"2-Favorable sous réserve",Tableau_Lancer_la_requête_à_partir_de_Excel_Files102567891113[''63''])</f>
        <v>0</v>
      </c>
      <c r="Q77" s="1">
        <f>SUMIF(Tableau_Lancer_la_requête_à_partir_de_Excel_Files10256789111214[Avis Prog],"1-Favorable",Tableau_Lancer_la_requête_à_partir_de_Excel_Files10256789111214[''63''])</f>
        <v>0</v>
      </c>
      <c r="R77" s="3">
        <f>SUMIF(Tableau_Lancer_la_requête_à_partir_de_Excel_Files10256789111214[Avis Cofimac],"1-Favorable",Tableau_Lancer_la_requête_à_partir_de_Excel_Files10256789111214[''63''])</f>
        <v>0</v>
      </c>
      <c r="S77" s="1">
        <f>SUMIF(Tableau_Lancer_la_requête_à_partir_de_Excel_Files10256789111214[Avis Prog],"2-Favorable sous réserve",Tableau_Lancer_la_requête_à_partir_de_Excel_Files10256789111214[''63''])</f>
        <v>0</v>
      </c>
      <c r="T77" s="3">
        <f>SUMIF(Tableau_Lancer_la_requête_à_partir_de_Excel_Files10256789111214[Avis Cofimac],"2-Favorable sous réserve",Tableau_Lancer_la_requête_à_partir_de_Excel_Files10256789111214[''63''])</f>
        <v>0</v>
      </c>
      <c r="U77" s="1">
        <f>SUMIF(Tableau_Lancer_la_requête_à_partir_de_Excel_Files102567891112[Avis Prog],"1-Favorable",Tableau_Lancer_la_requête_à_partir_de_Excel_Files102567891112[''63''])</f>
        <v>0</v>
      </c>
      <c r="V77" s="3">
        <f>SUMIF(Tableau_Lancer_la_requête_à_partir_de_Excel_Files102567891112[Avis Cofimac],"1-Favorable",Tableau_Lancer_la_requête_à_partir_de_Excel_Files102567891112[''63''])</f>
        <v>0</v>
      </c>
      <c r="W77" s="1">
        <f>SUMIF(Tableau_Lancer_la_requête_à_partir_de_Excel_Files102567891112[Avis Prog],"2-Favorable sous réserve",Tableau_Lancer_la_requête_à_partir_de_Excel_Files102567891112[''63''])</f>
        <v>0</v>
      </c>
      <c r="X77" s="3">
        <f>SUMIF(Tableau_Lancer_la_requête_à_partir_de_Excel_Files102567891112[Avis Cofimac],"2-Favorable sous réserve",Tableau_Lancer_la_requête_à_partir_de_Excel_Files102567891112[''63''])</f>
        <v>0</v>
      </c>
    </row>
    <row r="78" spans="4:24" hidden="1" x14ac:dyDescent="0.25">
      <c r="D78" t="s">
        <v>38</v>
      </c>
      <c r="E78" s="3">
        <f t="shared" si="0"/>
        <v>0</v>
      </c>
      <c r="F78" s="3">
        <f t="shared" si="1"/>
        <v>0</v>
      </c>
      <c r="H78" s="1">
        <f>SUMIF(Tableau_Lancer_la_requête_à_partir_de_Excel_Files1025678911[Avis Prog],"1-Favorable",Tableau_Lancer_la_requête_à_partir_de_Excel_Files1025678911[''69''])</f>
        <v>0</v>
      </c>
      <c r="I78" s="3">
        <f>SUMIF(Tableau_Lancer_la_requête_à_partir_de_Excel_Files1025678911[Avis Cofimac],"1-Favorable",Tableau_Lancer_la_requête_à_partir_de_Excel_Files1025678911[''69''])</f>
        <v>0</v>
      </c>
      <c r="J78" s="1">
        <f>SUMIF(Tableau_Lancer_la_requête_à_partir_de_Excel_Files1025678911[Avis Prog],"2-Favorable sous réserve",Tableau_Lancer_la_requête_à_partir_de_Excel_Files1025678911[''69''])</f>
        <v>0</v>
      </c>
      <c r="K78" s="3">
        <f>SUMIF(Tableau_Lancer_la_requête_à_partir_de_Excel_Files1025678911[Avis Cofimac],"2-Favorable sous réserve",Tableau_Lancer_la_requête_à_partir_de_Excel_Files1025678911[''69''])</f>
        <v>0</v>
      </c>
      <c r="M78" s="1">
        <f>SUMIF(Tableau_Lancer_la_requête_à_partir_de_Excel_Files102567891113[Avis Prog],"1-Favorable",Tableau_Lancer_la_requête_à_partir_de_Excel_Files102567891113[''69''])</f>
        <v>0</v>
      </c>
      <c r="N78" s="3">
        <f>SUMIF(Tableau_Lancer_la_requête_à_partir_de_Excel_Files102567891113[Avis Cofimac],"1-Favorable",Tableau_Lancer_la_requête_à_partir_de_Excel_Files102567891113[''69''])</f>
        <v>0</v>
      </c>
      <c r="O78" s="1">
        <f>SUMIF(Tableau_Lancer_la_requête_à_partir_de_Excel_Files102567891113[Avis Prog],"2-Favorable sous réserve",Tableau_Lancer_la_requête_à_partir_de_Excel_Files102567891113[''69''])</f>
        <v>0</v>
      </c>
      <c r="P78" s="3">
        <f>SUMIF(Tableau_Lancer_la_requête_à_partir_de_Excel_Files102567891113[Avis Cofimac],"2-Favorable sous réserve",Tableau_Lancer_la_requête_à_partir_de_Excel_Files102567891113[''69''])</f>
        <v>0</v>
      </c>
      <c r="Q78" s="1">
        <f>SUMIF(Tableau_Lancer_la_requête_à_partir_de_Excel_Files10256789111214[Avis Prog],"1-Favorable",Tableau_Lancer_la_requête_à_partir_de_Excel_Files10256789111214[''69''])</f>
        <v>0</v>
      </c>
      <c r="R78" s="3">
        <f>SUMIF(Tableau_Lancer_la_requête_à_partir_de_Excel_Files10256789111214[Avis Cofimac],"1-Favorable",Tableau_Lancer_la_requête_à_partir_de_Excel_Files10256789111214[''69''])</f>
        <v>0</v>
      </c>
      <c r="S78" s="1">
        <f>SUMIF(Tableau_Lancer_la_requête_à_partir_de_Excel_Files10256789111214[Avis Prog],"2-Favorable sous réserve",Tableau_Lancer_la_requête_à_partir_de_Excel_Files10256789111214[''69''])</f>
        <v>0</v>
      </c>
      <c r="T78" s="3">
        <f>SUMIF(Tableau_Lancer_la_requête_à_partir_de_Excel_Files10256789111214[Avis Cofimac],"2-Favorable sous réserve",Tableau_Lancer_la_requête_à_partir_de_Excel_Files10256789111214[''69''])</f>
        <v>0</v>
      </c>
      <c r="U78" s="1">
        <f>SUMIF(Tableau_Lancer_la_requête_à_partir_de_Excel_Files102567891112[Avis Prog],"1-Favorable",Tableau_Lancer_la_requête_à_partir_de_Excel_Files102567891112[''69''])</f>
        <v>0</v>
      </c>
      <c r="V78" s="3">
        <f>SUMIF(Tableau_Lancer_la_requête_à_partir_de_Excel_Files102567891112[Avis Cofimac],"1-Favorable",Tableau_Lancer_la_requête_à_partir_de_Excel_Files102567891112[''69''])</f>
        <v>0</v>
      </c>
      <c r="W78" s="1">
        <f>SUMIF(Tableau_Lancer_la_requête_à_partir_de_Excel_Files102567891112[Avis Prog],"2-Favorable sous réserve",Tableau_Lancer_la_requête_à_partir_de_Excel_Files102567891112[''69''])</f>
        <v>0</v>
      </c>
      <c r="X78" s="3">
        <f>SUMIF(Tableau_Lancer_la_requête_à_partir_de_Excel_Files102567891112[Avis Cofimac],"2-Favorable sous réserve",Tableau_Lancer_la_requête_à_partir_de_Excel_Files102567891112[''69''])</f>
        <v>0</v>
      </c>
    </row>
    <row r="79" spans="4:24" hidden="1" x14ac:dyDescent="0.25">
      <c r="D79" t="s">
        <v>39</v>
      </c>
      <c r="E79" s="3">
        <f t="shared" si="0"/>
        <v>0</v>
      </c>
      <c r="F79" s="3">
        <f t="shared" si="1"/>
        <v>0</v>
      </c>
      <c r="H79" s="1">
        <f>SUMIF(Tableau_Lancer_la_requête_à_partir_de_Excel_Files1025678911[Avis Prog],"1-Favorable",Tableau_Lancer_la_requête_à_partir_de_Excel_Files1025678911[''71''])</f>
        <v>0</v>
      </c>
      <c r="I79" s="3">
        <f>SUMIF(Tableau_Lancer_la_requête_à_partir_de_Excel_Files1025678911[Avis Cofimac],"1-Favorable",Tableau_Lancer_la_requête_à_partir_de_Excel_Files1025678911[''71''])</f>
        <v>0</v>
      </c>
      <c r="J79" s="1">
        <f>SUMIF(Tableau_Lancer_la_requête_à_partir_de_Excel_Files1025678911[Avis Prog],"2-Favorable sous réserve",Tableau_Lancer_la_requête_à_partir_de_Excel_Files1025678911[''71''])</f>
        <v>0</v>
      </c>
      <c r="K79" s="3">
        <f>SUMIF(Tableau_Lancer_la_requête_à_partir_de_Excel_Files1025678911[Avis Cofimac],"2-Favorable sous réserve",Tableau_Lancer_la_requête_à_partir_de_Excel_Files1025678911[''71''])</f>
        <v>0</v>
      </c>
      <c r="M79" s="1">
        <f>SUMIF(Tableau_Lancer_la_requête_à_partir_de_Excel_Files102567891113[Avis Prog],"1-Favorable",Tableau_Lancer_la_requête_à_partir_de_Excel_Files102567891113[''71''])</f>
        <v>0</v>
      </c>
      <c r="N79" s="3">
        <f>SUMIF(Tableau_Lancer_la_requête_à_partir_de_Excel_Files102567891113[Avis Cofimac],"1-Favorable",Tableau_Lancer_la_requête_à_partir_de_Excel_Files102567891113[''71''])</f>
        <v>0</v>
      </c>
      <c r="O79" s="1">
        <f>SUMIF(Tableau_Lancer_la_requête_à_partir_de_Excel_Files102567891113[Avis Prog],"2-Favorable sous réserve",Tableau_Lancer_la_requête_à_partir_de_Excel_Files102567891113[''71''])</f>
        <v>0</v>
      </c>
      <c r="P79" s="3">
        <f>SUMIF(Tableau_Lancer_la_requête_à_partir_de_Excel_Files102567891113[Avis Cofimac],"2-Favorable sous réserve",Tableau_Lancer_la_requête_à_partir_de_Excel_Files102567891113[''71''])</f>
        <v>0</v>
      </c>
      <c r="Q79" s="1">
        <f>SUMIF(Tableau_Lancer_la_requête_à_partir_de_Excel_Files10256789111214[Avis Prog],"1-Favorable",Tableau_Lancer_la_requête_à_partir_de_Excel_Files10256789111214[''71''])</f>
        <v>0</v>
      </c>
      <c r="R79" s="3">
        <f>SUMIF(Tableau_Lancer_la_requête_à_partir_de_Excel_Files10256789111214[Avis Cofimac],"1-Favorable",Tableau_Lancer_la_requête_à_partir_de_Excel_Files10256789111214[''71''])</f>
        <v>0</v>
      </c>
      <c r="S79" s="1">
        <f>SUMIF(Tableau_Lancer_la_requête_à_partir_de_Excel_Files10256789111214[Avis Prog],"2-Favorable sous réserve",Tableau_Lancer_la_requête_à_partir_de_Excel_Files10256789111214[''71''])</f>
        <v>0</v>
      </c>
      <c r="T79" s="3">
        <f>SUMIF(Tableau_Lancer_la_requête_à_partir_de_Excel_Files10256789111214[Avis Cofimac],"2-Favorable sous réserve",Tableau_Lancer_la_requête_à_partir_de_Excel_Files10256789111214[''71''])</f>
        <v>0</v>
      </c>
      <c r="U79" s="1">
        <f>SUMIF(Tableau_Lancer_la_requête_à_partir_de_Excel_Files102567891112[Avis Prog],"1-Favorable",Tableau_Lancer_la_requête_à_partir_de_Excel_Files102567891112[''71''])</f>
        <v>0</v>
      </c>
      <c r="V79" s="3">
        <f>SUMIF(Tableau_Lancer_la_requête_à_partir_de_Excel_Files102567891112[Avis Cofimac],"1-Favorable",Tableau_Lancer_la_requête_à_partir_de_Excel_Files102567891112[''71''])</f>
        <v>0</v>
      </c>
      <c r="W79" s="1">
        <f>SUMIF(Tableau_Lancer_la_requête_à_partir_de_Excel_Files102567891112[Avis Prog],"2-Favorable sous réserve",Tableau_Lancer_la_requête_à_partir_de_Excel_Files102567891112[''71''])</f>
        <v>0</v>
      </c>
      <c r="X79" s="3">
        <f>SUMIF(Tableau_Lancer_la_requête_à_partir_de_Excel_Files102567891112[Avis Cofimac],"2-Favorable sous réserve",Tableau_Lancer_la_requête_à_partir_de_Excel_Files102567891112[''71''])</f>
        <v>0</v>
      </c>
    </row>
    <row r="80" spans="4:24" hidden="1" x14ac:dyDescent="0.25">
      <c r="D80" t="s">
        <v>40</v>
      </c>
      <c r="E80" s="3">
        <f t="shared" si="0"/>
        <v>0</v>
      </c>
      <c r="F80" s="3">
        <f t="shared" si="1"/>
        <v>0</v>
      </c>
      <c r="H80" s="1">
        <f>SUMIF(Tableau_Lancer_la_requête_à_partir_de_Excel_Files1025678911[Avis Prog],"1-Favorable",Tableau_Lancer_la_requête_à_partir_de_Excel_Files1025678911[''81''])</f>
        <v>0</v>
      </c>
      <c r="I80" s="3">
        <f>SUMIF(Tableau_Lancer_la_requête_à_partir_de_Excel_Files1025678911[Avis Cofimac],"1-Favorable",Tableau_Lancer_la_requête_à_partir_de_Excel_Files1025678911[''81''])</f>
        <v>0</v>
      </c>
      <c r="J80" s="1">
        <f>SUMIF(Tableau_Lancer_la_requête_à_partir_de_Excel_Files1025678911[Avis Prog],"2-Favorable sous réserve",Tableau_Lancer_la_requête_à_partir_de_Excel_Files1025678911[''81''])</f>
        <v>0</v>
      </c>
      <c r="K80" s="3">
        <f>SUMIF(Tableau_Lancer_la_requête_à_partir_de_Excel_Files1025678911[Avis Cofimac],"2-Favorable sous réserve",Tableau_Lancer_la_requête_à_partir_de_Excel_Files1025678911[''81''])</f>
        <v>0</v>
      </c>
      <c r="M80" s="1">
        <f>SUMIF(Tableau_Lancer_la_requête_à_partir_de_Excel_Files102567891113[Avis Prog],"1-Favorable",Tableau_Lancer_la_requête_à_partir_de_Excel_Files102567891113[''81''])</f>
        <v>0</v>
      </c>
      <c r="N80" s="3">
        <f>SUMIF(Tableau_Lancer_la_requête_à_partir_de_Excel_Files102567891113[Avis Cofimac],"1-Favorable",Tableau_Lancer_la_requête_à_partir_de_Excel_Files102567891113[''81''])</f>
        <v>0</v>
      </c>
      <c r="O80" s="1">
        <f>SUMIF(Tableau_Lancer_la_requête_à_partir_de_Excel_Files102567891113[Avis Prog],"2-Favorable sous réserve",Tableau_Lancer_la_requête_à_partir_de_Excel_Files102567891113[''81''])</f>
        <v>0</v>
      </c>
      <c r="P80" s="3">
        <f>SUMIF(Tableau_Lancer_la_requête_à_partir_de_Excel_Files102567891113[Avis Cofimac],"2-Favorable sous réserve",Tableau_Lancer_la_requête_à_partir_de_Excel_Files102567891113[''81''])</f>
        <v>0</v>
      </c>
      <c r="Q80" s="1">
        <f>SUMIF(Tableau_Lancer_la_requête_à_partir_de_Excel_Files10256789111214[Avis Prog],"1-Favorable",Tableau_Lancer_la_requête_à_partir_de_Excel_Files10256789111214[''81''])</f>
        <v>0</v>
      </c>
      <c r="R80" s="3">
        <f>SUMIF(Tableau_Lancer_la_requête_à_partir_de_Excel_Files10256789111214[Avis Cofimac],"1-Favorable",Tableau_Lancer_la_requête_à_partir_de_Excel_Files10256789111214[''81''])</f>
        <v>0</v>
      </c>
      <c r="S80" s="1">
        <f>SUMIF(Tableau_Lancer_la_requête_à_partir_de_Excel_Files10256789111214[Avis Prog],"2-Favorable sous réserve",Tableau_Lancer_la_requête_à_partir_de_Excel_Files10256789111214[''81''])</f>
        <v>0</v>
      </c>
      <c r="T80" s="3">
        <f>SUMIF(Tableau_Lancer_la_requête_à_partir_de_Excel_Files10256789111214[Avis Cofimac],"2-Favorable sous réserve",Tableau_Lancer_la_requête_à_partir_de_Excel_Files10256789111214[''81''])</f>
        <v>0</v>
      </c>
      <c r="U80" s="1">
        <f>SUMIF(Tableau_Lancer_la_requête_à_partir_de_Excel_Files102567891112[Avis Prog],"1-Favorable",Tableau_Lancer_la_requête_à_partir_de_Excel_Files102567891112[''81''])</f>
        <v>0</v>
      </c>
      <c r="V80" s="3">
        <f>SUMIF(Tableau_Lancer_la_requête_à_partir_de_Excel_Files102567891112[Avis Cofimac],"1-Favorable",Tableau_Lancer_la_requête_à_partir_de_Excel_Files102567891112[''81''])</f>
        <v>0</v>
      </c>
      <c r="W80" s="1">
        <f>SUMIF(Tableau_Lancer_la_requête_à_partir_de_Excel_Files102567891112[Avis Prog],"2-Favorable sous réserve",Tableau_Lancer_la_requête_à_partir_de_Excel_Files102567891112[''81''])</f>
        <v>0</v>
      </c>
      <c r="X80" s="3">
        <f>SUMIF(Tableau_Lancer_la_requête_à_partir_de_Excel_Files102567891112[Avis Cofimac],"2-Favorable sous réserve",Tableau_Lancer_la_requête_à_partir_de_Excel_Files102567891112[''81''])</f>
        <v>0</v>
      </c>
    </row>
    <row r="81" spans="4:24" hidden="1" x14ac:dyDescent="0.25">
      <c r="D81" t="s">
        <v>41</v>
      </c>
      <c r="E81" s="3">
        <f t="shared" si="0"/>
        <v>0</v>
      </c>
      <c r="F81" s="3">
        <f t="shared" si="1"/>
        <v>0</v>
      </c>
      <c r="H81" s="1">
        <f>SUMIF(Tableau_Lancer_la_requête_à_partir_de_Excel_Files1025678911[Avis Prog],"1-Favorable",Tableau_Lancer_la_requête_à_partir_de_Excel_Files1025678911[''82''])</f>
        <v>0</v>
      </c>
      <c r="I81" s="3">
        <f>SUMIF(Tableau_Lancer_la_requête_à_partir_de_Excel_Files1025678911[Avis Cofimac],"1-Favorable",Tableau_Lancer_la_requête_à_partir_de_Excel_Files1025678911[''82''])</f>
        <v>0</v>
      </c>
      <c r="J81" s="1">
        <f>SUMIF(Tableau_Lancer_la_requête_à_partir_de_Excel_Files1025678911[Avis Prog],"2-Favorable sous réserve",Tableau_Lancer_la_requête_à_partir_de_Excel_Files1025678911[''82''])</f>
        <v>0</v>
      </c>
      <c r="K81" s="3">
        <f>SUMIF(Tableau_Lancer_la_requête_à_partir_de_Excel_Files1025678911[Avis Cofimac],"2-Favorable sous réserve",Tableau_Lancer_la_requête_à_partir_de_Excel_Files1025678911[''82''])</f>
        <v>0</v>
      </c>
      <c r="M81" s="1">
        <f>SUMIF(Tableau_Lancer_la_requête_à_partir_de_Excel_Files102567891113[Avis Prog],"1-Favorable",Tableau_Lancer_la_requête_à_partir_de_Excel_Files102567891113[''82''])</f>
        <v>0</v>
      </c>
      <c r="N81" s="3">
        <f>SUMIF(Tableau_Lancer_la_requête_à_partir_de_Excel_Files102567891113[Avis Cofimac],"1-Favorable",Tableau_Lancer_la_requête_à_partir_de_Excel_Files102567891113[''82''])</f>
        <v>0</v>
      </c>
      <c r="O81" s="1">
        <f>SUMIF(Tableau_Lancer_la_requête_à_partir_de_Excel_Files102567891113[Avis Prog],"2-Favorable sous réserve",Tableau_Lancer_la_requête_à_partir_de_Excel_Files102567891113[''82''])</f>
        <v>0</v>
      </c>
      <c r="P81" s="3">
        <f>SUMIF(Tableau_Lancer_la_requête_à_partir_de_Excel_Files102567891113[Avis Cofimac],"2-Favorable sous réserve",Tableau_Lancer_la_requête_à_partir_de_Excel_Files102567891113[''82''])</f>
        <v>0</v>
      </c>
      <c r="Q81" s="1">
        <f>SUMIF(Tableau_Lancer_la_requête_à_partir_de_Excel_Files10256789111214[Avis Prog],"1-Favorable",Tableau_Lancer_la_requête_à_partir_de_Excel_Files10256789111214[''82''])</f>
        <v>0</v>
      </c>
      <c r="R81" s="3">
        <f>SUMIF(Tableau_Lancer_la_requête_à_partir_de_Excel_Files10256789111214[Avis Cofimac],"1-Favorable",Tableau_Lancer_la_requête_à_partir_de_Excel_Files10256789111214[''82''])</f>
        <v>0</v>
      </c>
      <c r="S81" s="1">
        <f>SUMIF(Tableau_Lancer_la_requête_à_partir_de_Excel_Files10256789111214[Avis Prog],"2-Favorable sous réserve",Tableau_Lancer_la_requête_à_partir_de_Excel_Files10256789111214[''82''])</f>
        <v>0</v>
      </c>
      <c r="T81" s="3">
        <f>SUMIF(Tableau_Lancer_la_requête_à_partir_de_Excel_Files10256789111214[Avis Cofimac],"2-Favorable sous réserve",Tableau_Lancer_la_requête_à_partir_de_Excel_Files10256789111214[''82''])</f>
        <v>0</v>
      </c>
      <c r="U81" s="1">
        <f>SUMIF(Tableau_Lancer_la_requête_à_partir_de_Excel_Files102567891112[Avis Prog],"1-Favorable",Tableau_Lancer_la_requête_à_partir_de_Excel_Files102567891112[''82''])</f>
        <v>0</v>
      </c>
      <c r="V81" s="3">
        <f>SUMIF(Tableau_Lancer_la_requête_à_partir_de_Excel_Files102567891112[Avis Cofimac],"1-Favorable",Tableau_Lancer_la_requête_à_partir_de_Excel_Files102567891112[''82''])</f>
        <v>0</v>
      </c>
      <c r="W81" s="1">
        <f>SUMIF(Tableau_Lancer_la_requête_à_partir_de_Excel_Files102567891112[Avis Prog],"2-Favorable sous réserve",Tableau_Lancer_la_requête_à_partir_de_Excel_Files102567891112[''82''])</f>
        <v>0</v>
      </c>
      <c r="X81" s="3">
        <f>SUMIF(Tableau_Lancer_la_requête_à_partir_de_Excel_Files102567891112[Avis Cofimac],"2-Favorable sous réserve",Tableau_Lancer_la_requête_à_partir_de_Excel_Files102567891112[''82''])</f>
        <v>0</v>
      </c>
    </row>
    <row r="82" spans="4:24" hidden="1" x14ac:dyDescent="0.25">
      <c r="D82" t="s">
        <v>42</v>
      </c>
      <c r="E82" s="3">
        <f t="shared" si="0"/>
        <v>0</v>
      </c>
      <c r="F82" s="3">
        <f t="shared" si="1"/>
        <v>0</v>
      </c>
      <c r="H82" s="1">
        <f>SUMIF(Tableau_Lancer_la_requête_à_partir_de_Excel_Files1025678911[Avis Prog],"1-Favorable",Tableau_Lancer_la_requête_à_partir_de_Excel_Files1025678911[''87''])</f>
        <v>0</v>
      </c>
      <c r="I82" s="3">
        <f>SUMIF(Tableau_Lancer_la_requête_à_partir_de_Excel_Files1025678911[Avis Cofimac],"1-Favorable",Tableau_Lancer_la_requête_à_partir_de_Excel_Files1025678911[''87''])</f>
        <v>0</v>
      </c>
      <c r="J82" s="1">
        <f>SUMIF(Tableau_Lancer_la_requête_à_partir_de_Excel_Files1025678911[Avis Prog],"2-Favorable sous réserve",Tableau_Lancer_la_requête_à_partir_de_Excel_Files1025678911[''87''])</f>
        <v>0</v>
      </c>
      <c r="K82" s="3">
        <f>SUMIF(Tableau_Lancer_la_requête_à_partir_de_Excel_Files1025678911[Avis Cofimac],"2-Favorable sous réserve",Tableau_Lancer_la_requête_à_partir_de_Excel_Files1025678911[''87''])</f>
        <v>0</v>
      </c>
      <c r="M82" s="1">
        <f>SUMIF(Tableau_Lancer_la_requête_à_partir_de_Excel_Files102567891113[Avis Prog],"1-Favorable",Tableau_Lancer_la_requête_à_partir_de_Excel_Files102567891113[''87''])</f>
        <v>0</v>
      </c>
      <c r="N82" s="3">
        <f>SUMIF(Tableau_Lancer_la_requête_à_partir_de_Excel_Files102567891113[Avis Cofimac],"1-Favorable",Tableau_Lancer_la_requête_à_partir_de_Excel_Files102567891113[''87''])</f>
        <v>0</v>
      </c>
      <c r="O82" s="1">
        <f>SUMIF(Tableau_Lancer_la_requête_à_partir_de_Excel_Files102567891113[Avis Prog],"2-Favorable sous réserve",Tableau_Lancer_la_requête_à_partir_de_Excel_Files102567891113[''87''])</f>
        <v>0</v>
      </c>
      <c r="P82" s="3">
        <f>SUMIF(Tableau_Lancer_la_requête_à_partir_de_Excel_Files102567891113[Avis Cofimac],"2-Favorable sous réserve",Tableau_Lancer_la_requête_à_partir_de_Excel_Files102567891113[''87''])</f>
        <v>0</v>
      </c>
      <c r="Q82" s="1">
        <f>SUMIF(Tableau_Lancer_la_requête_à_partir_de_Excel_Files10256789111214[Avis Prog],"1-Favorable",Tableau_Lancer_la_requête_à_partir_de_Excel_Files10256789111214[''87''])</f>
        <v>0</v>
      </c>
      <c r="R82" s="3">
        <f>SUMIF(Tableau_Lancer_la_requête_à_partir_de_Excel_Files10256789111214[Avis Cofimac],"1-Favorable",Tableau_Lancer_la_requête_à_partir_de_Excel_Files10256789111214[''87''])</f>
        <v>0</v>
      </c>
      <c r="S82" s="1">
        <f>SUMIF(Tableau_Lancer_la_requête_à_partir_de_Excel_Files10256789111214[Avis Prog],"2-Favorable sous réserve",Tableau_Lancer_la_requête_à_partir_de_Excel_Files10256789111214[''87''])</f>
        <v>0</v>
      </c>
      <c r="T82" s="3">
        <f>SUMIF(Tableau_Lancer_la_requête_à_partir_de_Excel_Files10256789111214[Avis Cofimac],"2-Favorable sous réserve",Tableau_Lancer_la_requête_à_partir_de_Excel_Files10256789111214[''87''])</f>
        <v>0</v>
      </c>
      <c r="U82" s="1">
        <f>SUMIF(Tableau_Lancer_la_requête_à_partir_de_Excel_Files102567891112[Avis Prog],"1-Favorable",Tableau_Lancer_la_requête_à_partir_de_Excel_Files102567891112[''87''])</f>
        <v>0</v>
      </c>
      <c r="V82" s="3">
        <f>SUMIF(Tableau_Lancer_la_requête_à_partir_de_Excel_Files102567891112[Avis Cofimac],"1-Favorable",Tableau_Lancer_la_requête_à_partir_de_Excel_Files102567891112[''87''])</f>
        <v>0</v>
      </c>
      <c r="W82" s="1">
        <f>SUMIF(Tableau_Lancer_la_requête_à_partir_de_Excel_Files102567891112[Avis Prog],"2-Favorable sous réserve",Tableau_Lancer_la_requête_à_partir_de_Excel_Files102567891112[''87''])</f>
        <v>0</v>
      </c>
      <c r="X82" s="3">
        <f>SUMIF(Tableau_Lancer_la_requête_à_partir_de_Excel_Files102567891112[Avis Cofimac],"2-Favorable sous réserve",Tableau_Lancer_la_requête_à_partir_de_Excel_Files102567891112[''87''])</f>
        <v>0</v>
      </c>
    </row>
    <row r="83" spans="4:24" hidden="1" x14ac:dyDescent="0.25">
      <c r="D83" t="s">
        <v>43</v>
      </c>
      <c r="E83" s="3">
        <f t="shared" si="0"/>
        <v>0</v>
      </c>
      <c r="F83" s="3">
        <f t="shared" si="1"/>
        <v>0</v>
      </c>
      <c r="H83" s="1">
        <f>SUMIF(Tableau_Lancer_la_requête_à_partir_de_Excel_Files1025678911[Avis Prog],"1-Favorable",Tableau_Lancer_la_requête_à_partir_de_Excel_Files1025678911[''89''])</f>
        <v>0</v>
      </c>
      <c r="I83" s="3">
        <f>SUMIF(Tableau_Lancer_la_requête_à_partir_de_Excel_Files1025678911[Avis Cofimac],"1-Favorable",Tableau_Lancer_la_requête_à_partir_de_Excel_Files1025678911[''89''])</f>
        <v>0</v>
      </c>
      <c r="J83" s="1">
        <f>SUMIF(Tableau_Lancer_la_requête_à_partir_de_Excel_Files1025678911[Avis Prog],"2-Favorable sous réserve",Tableau_Lancer_la_requête_à_partir_de_Excel_Files1025678911[''89''])</f>
        <v>0</v>
      </c>
      <c r="K83" s="3">
        <f>SUMIF(Tableau_Lancer_la_requête_à_partir_de_Excel_Files1025678911[Avis Cofimac],"2-Favorable sous réserve",Tableau_Lancer_la_requête_à_partir_de_Excel_Files1025678911[''89''])</f>
        <v>0</v>
      </c>
      <c r="M83" s="1">
        <f>SUMIF(Tableau_Lancer_la_requête_à_partir_de_Excel_Files102567891113[Avis Prog],"1-Favorable",Tableau_Lancer_la_requête_à_partir_de_Excel_Files102567891113[''89''])</f>
        <v>0</v>
      </c>
      <c r="N83" s="3">
        <f>SUMIF(Tableau_Lancer_la_requête_à_partir_de_Excel_Files102567891113[Avis Cofimac],"1-Favorable",Tableau_Lancer_la_requête_à_partir_de_Excel_Files102567891113[''89''])</f>
        <v>0</v>
      </c>
      <c r="O83" s="1">
        <f>SUMIF(Tableau_Lancer_la_requête_à_partir_de_Excel_Files102567891113[Avis Prog],"2-Favorable sous réserve",Tableau_Lancer_la_requête_à_partir_de_Excel_Files102567891113[''89''])</f>
        <v>0</v>
      </c>
      <c r="P83" s="3">
        <f>SUMIF(Tableau_Lancer_la_requête_à_partir_de_Excel_Files102567891113[Avis Cofimac],"2-Favorable sous réserve",Tableau_Lancer_la_requête_à_partir_de_Excel_Files102567891113[''89''])</f>
        <v>0</v>
      </c>
      <c r="Q83" s="1">
        <f>SUMIF(Tableau_Lancer_la_requête_à_partir_de_Excel_Files10256789111214[Avis Prog],"1-Favorable",Tableau_Lancer_la_requête_à_partir_de_Excel_Files10256789111214[''89''])</f>
        <v>0</v>
      </c>
      <c r="R83" s="3">
        <f>SUMIF(Tableau_Lancer_la_requête_à_partir_de_Excel_Files10256789111214[Avis Cofimac],"1-Favorable",Tableau_Lancer_la_requête_à_partir_de_Excel_Files10256789111214[''89''])</f>
        <v>0</v>
      </c>
      <c r="S83" s="1">
        <f>SUMIF(Tableau_Lancer_la_requête_à_partir_de_Excel_Files10256789111214[Avis Prog],"2-Favorable sous réserve",Tableau_Lancer_la_requête_à_partir_de_Excel_Files10256789111214[''89''])</f>
        <v>0</v>
      </c>
      <c r="T83" s="3">
        <f>SUMIF(Tableau_Lancer_la_requête_à_partir_de_Excel_Files10256789111214[Avis Cofimac],"2-Favorable sous réserve",Tableau_Lancer_la_requête_à_partir_de_Excel_Files10256789111214[''89''])</f>
        <v>0</v>
      </c>
      <c r="U83" s="1">
        <f>SUMIF(Tableau_Lancer_la_requête_à_partir_de_Excel_Files102567891112[Avis Prog],"1-Favorable",Tableau_Lancer_la_requête_à_partir_de_Excel_Files102567891112[''89''])</f>
        <v>0</v>
      </c>
      <c r="V83" s="3">
        <f>SUMIF(Tableau_Lancer_la_requête_à_partir_de_Excel_Files102567891112[Avis Cofimac],"1-Favorable",Tableau_Lancer_la_requête_à_partir_de_Excel_Files102567891112[''89''])</f>
        <v>0</v>
      </c>
      <c r="W83" s="1">
        <f>SUMIF(Tableau_Lancer_la_requête_à_partir_de_Excel_Files102567891112[Avis Prog],"2-Favorable sous réserve",Tableau_Lancer_la_requête_à_partir_de_Excel_Files102567891112[''89''])</f>
        <v>0</v>
      </c>
      <c r="X83" s="3">
        <f>SUMIF(Tableau_Lancer_la_requête_à_partir_de_Excel_Files102567891112[Avis Cofimac],"2-Favorable sous réserve",Tableau_Lancer_la_requête_à_partir_de_Excel_Files102567891112[''89''])</f>
        <v>0</v>
      </c>
    </row>
    <row r="84" spans="4:24" hidden="1" x14ac:dyDescent="0.25"/>
    <row r="85" spans="4:24" hidden="1" x14ac:dyDescent="0.25"/>
    <row r="86" spans="4:24" hidden="1" x14ac:dyDescent="0.25"/>
    <row r="87" spans="4:24" hidden="1" x14ac:dyDescent="0.25"/>
    <row r="88" spans="4:24" hidden="1" x14ac:dyDescent="0.25"/>
    <row r="89" spans="4:24" hidden="1" x14ac:dyDescent="0.25"/>
    <row r="90" spans="4:24" hidden="1" x14ac:dyDescent="0.25"/>
    <row r="91" spans="4:24" hidden="1" x14ac:dyDescent="0.25"/>
    <row r="92" spans="4:24" hidden="1" x14ac:dyDescent="0.25"/>
    <row r="93" spans="4:24" hidden="1" x14ac:dyDescent="0.25"/>
    <row r="94" spans="4:24" hidden="1" x14ac:dyDescent="0.25"/>
    <row r="95" spans="4:24" hidden="1" x14ac:dyDescent="0.25"/>
    <row r="96" spans="4:24" hidden="1" x14ac:dyDescent="0.25"/>
    <row r="97" hidden="1" x14ac:dyDescent="0.25"/>
    <row r="98" hidden="1" x14ac:dyDescent="0.25"/>
    <row r="99" hidden="1" x14ac:dyDescent="0.25"/>
    <row r="100" hidden="1" x14ac:dyDescent="0.25"/>
  </sheetData>
  <mergeCells count="4">
    <mergeCell ref="I45:M45"/>
    <mergeCell ref="I46:M46"/>
    <mergeCell ref="I47:M47"/>
    <mergeCell ref="H52:K52"/>
  </mergeCells>
  <conditionalFormatting sqref="AP14 AR14 AP39:AP40 AR39:AR40 AP8 AR8">
    <cfRule type="cellIs" dxfId="1115" priority="69" operator="equal">
      <formula>"6-Retiré/Abandon"</formula>
    </cfRule>
    <cfRule type="cellIs" dxfId="1114" priority="70" operator="equal">
      <formula>"5-Défavorable"</formula>
    </cfRule>
    <cfRule type="cellIs" dxfId="1113" priority="71" operator="equal">
      <formula>"4-Ajournement"</formula>
    </cfRule>
    <cfRule type="cellIs" dxfId="1112" priority="72" operator="equal">
      <formula>"1-Favorable"</formula>
    </cfRule>
  </conditionalFormatting>
  <conditionalFormatting sqref="AP20:AP34 AR20:AR34">
    <cfRule type="cellIs" dxfId="1111" priority="57" operator="equal">
      <formula>"6-Retiré/Abandon"</formula>
    </cfRule>
    <cfRule type="cellIs" dxfId="1110" priority="58" operator="equal">
      <formula>"5-Défavorable"</formula>
    </cfRule>
    <cfRule type="cellIs" dxfId="1109" priority="59" operator="equal">
      <formula>"4-Ajournement"</formula>
    </cfRule>
    <cfRule type="cellIs" dxfId="1108" priority="60" operator="equal">
      <formula>"1-Favorable"</formula>
    </cfRule>
  </conditionalFormatting>
  <conditionalFormatting sqref="AT8:AT10">
    <cfRule type="cellIs" dxfId="1107" priority="53" operator="equal">
      <formula>"6-Retiré/Abandon"</formula>
    </cfRule>
    <cfRule type="cellIs" dxfId="1106" priority="54" operator="equal">
      <formula>"5-Défavorable"</formula>
    </cfRule>
    <cfRule type="cellIs" dxfId="1105" priority="55" operator="equal">
      <formula>"4-Ajournement"</formula>
    </cfRule>
    <cfRule type="cellIs" dxfId="1104" priority="56" operator="equal">
      <formula>"1-Favorable"</formula>
    </cfRule>
  </conditionalFormatting>
  <conditionalFormatting sqref="AT16:AT18">
    <cfRule type="cellIs" dxfId="1103" priority="49" operator="equal">
      <formula>"6-Retiré/Abandon"</formula>
    </cfRule>
    <cfRule type="cellIs" dxfId="1102" priority="50" operator="equal">
      <formula>"5-Défavorable"</formula>
    </cfRule>
    <cfRule type="cellIs" dxfId="1101" priority="51" operator="equal">
      <formula>"4-Ajournement"</formula>
    </cfRule>
    <cfRule type="cellIs" dxfId="1100" priority="52" operator="equal">
      <formula>"1-Favorable"</formula>
    </cfRule>
  </conditionalFormatting>
  <conditionalFormatting sqref="AT36:AT38 AT43:AT48">
    <cfRule type="cellIs" dxfId="1099" priority="45" operator="equal">
      <formula>"6-Retiré/Abandon"</formula>
    </cfRule>
    <cfRule type="cellIs" dxfId="1098" priority="46" operator="equal">
      <formula>"5-Défavorable"</formula>
    </cfRule>
    <cfRule type="cellIs" dxfId="1097" priority="47" operator="equal">
      <formula>"4-Ajournement"</formula>
    </cfRule>
    <cfRule type="cellIs" dxfId="1096" priority="48" operator="equal">
      <formula>"1-Favorable"</formula>
    </cfRule>
  </conditionalFormatting>
  <conditionalFormatting sqref="AT54">
    <cfRule type="cellIs" dxfId="1095" priority="27" operator="equal">
      <formula>"6-Retiré/Abandon"</formula>
    </cfRule>
    <cfRule type="cellIs" dxfId="1094" priority="28" operator="equal">
      <formula>"5-Défavorable"</formula>
    </cfRule>
    <cfRule type="cellIs" dxfId="1093" priority="29" operator="equal">
      <formula>"4-Ajournement"</formula>
    </cfRule>
    <cfRule type="cellIs" dxfId="1092" priority="30" operator="equal">
      <formula>"1-Favorable"</formula>
    </cfRule>
  </conditionalFormatting>
  <conditionalFormatting sqref="AO46:AO47">
    <cfRule type="cellIs" dxfId="1091" priority="36" operator="lessThan">
      <formula>0</formula>
    </cfRule>
  </conditionalFormatting>
  <conditionalFormatting sqref="R47">
    <cfRule type="cellIs" dxfId="1090" priority="35" operator="greaterThan">
      <formula>1000000</formula>
    </cfRule>
  </conditionalFormatting>
  <conditionalFormatting sqref="AP20:AP34 AR20:AR34 AP14 AR14 AP39:AP40 AR39:AR40 AP8 AR8">
    <cfRule type="cellIs" dxfId="1089" priority="34" operator="equal">
      <formula>"2-Favorable sous réserve"</formula>
    </cfRule>
  </conditionalFormatting>
  <conditionalFormatting sqref="AT54">
    <cfRule type="cellIs" dxfId="1088" priority="26" operator="equal">
      <formula>"2-Favorable sous réserve"</formula>
    </cfRule>
  </conditionalFormatting>
  <conditionalFormatting sqref="AT55">
    <cfRule type="cellIs" dxfId="1087" priority="22" operator="equal">
      <formula>"6-Retiré/Abandon"</formula>
    </cfRule>
    <cfRule type="cellIs" dxfId="1086" priority="23" operator="equal">
      <formula>"5-Défavorable"</formula>
    </cfRule>
    <cfRule type="cellIs" dxfId="1085" priority="24" operator="equal">
      <formula>"4-Ajournement"</formula>
    </cfRule>
    <cfRule type="cellIs" dxfId="1084" priority="25" operator="equal">
      <formula>"1-Favorable"</formula>
    </cfRule>
  </conditionalFormatting>
  <conditionalFormatting sqref="AT55">
    <cfRule type="cellIs" dxfId="1083" priority="21" operator="equal">
      <formula>"2-Favorable sous réserve"</formula>
    </cfRule>
  </conditionalFormatting>
  <conditionalFormatting sqref="AT39:AT40">
    <cfRule type="cellIs" dxfId="1082" priority="2" operator="equal">
      <formula>"6-Retiré/Abandon"</formula>
    </cfRule>
    <cfRule type="cellIs" dxfId="1081" priority="3" operator="equal">
      <formula>"5-Défavorable"</formula>
    </cfRule>
    <cfRule type="cellIs" dxfId="1080" priority="4" operator="equal">
      <formula>"4-Ajournement"</formula>
    </cfRule>
    <cfRule type="cellIs" dxfId="1079" priority="5" operator="equal">
      <formula>"1-Favorable"</formula>
    </cfRule>
  </conditionalFormatting>
  <conditionalFormatting sqref="AT39:AT40">
    <cfRule type="cellIs" dxfId="1078" priority="1" operator="equal">
      <formula>"2-Favorable sous réserve"</formula>
    </cfRule>
  </conditionalFormatting>
  <conditionalFormatting sqref="AT20:AT34">
    <cfRule type="cellIs" dxfId="1077" priority="12" operator="equal">
      <formula>"6-Retiré/Abandon"</formula>
    </cfRule>
    <cfRule type="cellIs" dxfId="1076" priority="13" operator="equal">
      <formula>"5-Défavorable"</formula>
    </cfRule>
    <cfRule type="cellIs" dxfId="1075" priority="14" operator="equal">
      <formula>"4-Ajournement"</formula>
    </cfRule>
    <cfRule type="cellIs" dxfId="1074" priority="15" operator="equal">
      <formula>"1-Favorable"</formula>
    </cfRule>
  </conditionalFormatting>
  <conditionalFormatting sqref="AT20:AT34">
    <cfRule type="cellIs" dxfId="1073" priority="11" operator="equal">
      <formula>"2-Favorable sous réserve"</formula>
    </cfRule>
  </conditionalFormatting>
  <dataValidations count="1">
    <dataValidation type="list" allowBlank="1" showInputMessage="1" showErrorMessage="1" sqref="AR8 AR20:AR34 AR14 AR40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57" fitToHeight="0" orientation="landscape" r:id="rId1"/>
  <rowBreaks count="1" manualBreakCount="1">
    <brk id="48" max="45" man="1"/>
  </rowBreaks>
  <drawing r:id="rId2"/>
  <tableParts count="4"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92"/>
  <sheetViews>
    <sheetView topLeftCell="H1" zoomScale="80" zoomScaleNormal="80" zoomScaleSheetLayoutView="80" workbookViewId="0">
      <selection activeCell="AV8" sqref="AV8"/>
    </sheetView>
  </sheetViews>
  <sheetFormatPr baseColWidth="10" defaultRowHeight="15" outlineLevelCol="1" x14ac:dyDescent="0.25"/>
  <cols>
    <col min="1" max="1" width="14.5703125" style="31" customWidth="1"/>
    <col min="2" max="2" width="12.140625" style="31" hidden="1" customWidth="1"/>
    <col min="3" max="3" width="16.28515625" style="31" bestFit="1" customWidth="1"/>
    <col min="4" max="4" width="39.85546875" style="31" customWidth="1"/>
    <col min="5" max="5" width="46" style="31" customWidth="1"/>
    <col min="6" max="6" width="7.28515625" style="31" hidden="1" customWidth="1"/>
    <col min="7" max="7" width="20.85546875" style="31" hidden="1" customWidth="1"/>
    <col min="8" max="8" width="16" style="31" bestFit="1" customWidth="1"/>
    <col min="9" max="9" width="21" style="31" hidden="1" customWidth="1"/>
    <col min="10" max="10" width="13" style="31" hidden="1" customWidth="1"/>
    <col min="11" max="11" width="16.5703125" style="31" hidden="1" customWidth="1"/>
    <col min="12" max="12" width="16.140625" style="31" customWidth="1"/>
    <col min="13" max="13" width="14.5703125" style="31" customWidth="1"/>
    <col min="14" max="14" width="22.5703125" style="31" hidden="1" customWidth="1" outlineLevel="1"/>
    <col min="15" max="15" width="17.28515625" style="31" hidden="1" customWidth="1" outlineLevel="1" collapsed="1"/>
    <col min="16" max="16" width="14.7109375" style="31" customWidth="1" collapsed="1"/>
    <col min="17" max="20" width="22.5703125" style="31" hidden="1" customWidth="1" outlineLevel="1"/>
    <col min="21" max="21" width="18.85546875" style="31" bestFit="1" customWidth="1" collapsed="1"/>
    <col min="22" max="43" width="22.5703125" style="31" hidden="1" customWidth="1" outlineLevel="1"/>
    <col min="44" max="44" width="16.7109375" style="31" customWidth="1" collapsed="1"/>
    <col min="45" max="45" width="17.7109375" style="31" bestFit="1" customWidth="1"/>
    <col min="46" max="46" width="14.140625" style="31" bestFit="1" customWidth="1"/>
    <col min="47" max="47" width="2.42578125" style="34" customWidth="1"/>
    <col min="48" max="48" width="77.28515625" style="40" customWidth="1"/>
    <col min="49" max="49" width="24.28515625" style="34" hidden="1" customWidth="1"/>
    <col min="50" max="50" width="14.140625" style="31" hidden="1" customWidth="1"/>
    <col min="51" max="51" width="22.5703125" style="31" hidden="1" customWidth="1"/>
    <col min="52" max="52" width="17.28515625" style="31" hidden="1" customWidth="1" outlineLevel="1" collapsed="1"/>
    <col min="53" max="53" width="12.85546875" style="31" hidden="1" customWidth="1" outlineLevel="1"/>
    <col min="54" max="54" width="22.5703125" style="31" hidden="1" customWidth="1" collapsed="1"/>
    <col min="55" max="57" width="22.5703125" style="31" hidden="1" customWidth="1" outlineLevel="1"/>
    <col min="58" max="58" width="18.85546875" style="31" hidden="1" customWidth="1" outlineLevel="1" collapsed="1"/>
    <col min="59" max="59" width="22.5703125" style="31" hidden="1" customWidth="1" collapsed="1"/>
    <col min="60" max="80" width="22.5703125" style="31" hidden="1" customWidth="1" outlineLevel="1"/>
    <col min="81" max="81" width="12.42578125" style="31" hidden="1" customWidth="1" outlineLevel="1" collapsed="1"/>
    <col min="82" max="82" width="14.28515625" style="31" hidden="1" customWidth="1" collapsed="1"/>
    <col min="83" max="83" width="17.42578125" style="31" hidden="1" customWidth="1" collapsed="1"/>
    <col min="84" max="84" width="11.42578125" style="31" hidden="1" customWidth="1" collapsed="1"/>
    <col min="85" max="85" width="11.42578125" style="31" customWidth="1"/>
    <col min="86" max="86" width="15.5703125" style="31" customWidth="1"/>
    <col min="87" max="87" width="36.85546875" style="31" customWidth="1"/>
    <col min="88" max="88" width="10" style="31" customWidth="1"/>
    <col min="89" max="89" width="19.28515625" style="31" customWidth="1"/>
    <col min="90" max="90" width="21.5703125" style="31" customWidth="1" collapsed="1"/>
    <col min="91" max="91" width="9.7109375" style="35" customWidth="1" collapsed="1"/>
    <col min="92" max="112" width="9.7109375" style="35" customWidth="1"/>
    <col min="113" max="113" width="12" style="31" customWidth="1" collapsed="1"/>
    <col min="114" max="114" width="14.28515625" style="31" bestFit="1" customWidth="1" collapsed="1"/>
    <col min="115" max="115" width="17.42578125" style="31" bestFit="1" customWidth="1"/>
    <col min="116" max="116" width="17" style="31" bestFit="1" customWidth="1"/>
    <col min="117" max="117" width="14.7109375" style="31" bestFit="1" customWidth="1"/>
    <col min="118" max="16384" width="11.42578125" style="31"/>
  </cols>
  <sheetData>
    <row r="1" spans="1:112" ht="18.75" x14ac:dyDescent="0.3">
      <c r="D1" s="32" t="s">
        <v>75</v>
      </c>
      <c r="E1" s="33">
        <f>Itinérance!C1</f>
        <v>42696</v>
      </c>
      <c r="H1" s="33"/>
    </row>
    <row r="5" spans="1:112" x14ac:dyDescent="0.25">
      <c r="C5" s="36" t="s">
        <v>141</v>
      </c>
    </row>
    <row r="6" spans="1:112" s="38" customFormat="1" ht="60" x14ac:dyDescent="0.25">
      <c r="A6" s="37" t="s">
        <v>0</v>
      </c>
      <c r="B6" s="37" t="s">
        <v>10</v>
      </c>
      <c r="C6" s="37" t="s">
        <v>7</v>
      </c>
      <c r="D6" s="37" t="s">
        <v>1</v>
      </c>
      <c r="E6" s="37" t="s">
        <v>2</v>
      </c>
      <c r="F6" s="37" t="s">
        <v>3</v>
      </c>
      <c r="G6" s="37" t="s">
        <v>14</v>
      </c>
      <c r="H6" s="37" t="s">
        <v>15</v>
      </c>
      <c r="I6" s="37" t="s">
        <v>13</v>
      </c>
      <c r="J6" s="37" t="s">
        <v>6</v>
      </c>
      <c r="K6" s="37" t="s">
        <v>5</v>
      </c>
      <c r="L6" s="37" t="s">
        <v>4</v>
      </c>
      <c r="M6" s="37" t="s">
        <v>46</v>
      </c>
      <c r="N6" s="37" t="s">
        <v>16</v>
      </c>
      <c r="O6" s="37" t="s">
        <v>17</v>
      </c>
      <c r="P6" s="37" t="s">
        <v>47</v>
      </c>
      <c r="Q6" s="37" t="s">
        <v>20</v>
      </c>
      <c r="R6" s="37" t="s">
        <v>18</v>
      </c>
      <c r="S6" s="37" t="s">
        <v>19</v>
      </c>
      <c r="T6" s="37" t="s">
        <v>21</v>
      </c>
      <c r="U6" s="37" t="s">
        <v>48</v>
      </c>
      <c r="V6" s="37" t="s">
        <v>22</v>
      </c>
      <c r="W6" s="37" t="s">
        <v>23</v>
      </c>
      <c r="X6" s="37" t="s">
        <v>24</v>
      </c>
      <c r="Y6" s="37" t="s">
        <v>25</v>
      </c>
      <c r="Z6" s="37" t="s">
        <v>26</v>
      </c>
      <c r="AA6" s="37" t="s">
        <v>27</v>
      </c>
      <c r="AB6" s="37" t="s">
        <v>28</v>
      </c>
      <c r="AC6" s="37" t="s">
        <v>29</v>
      </c>
      <c r="AD6" s="37" t="s">
        <v>30</v>
      </c>
      <c r="AE6" s="37" t="s">
        <v>31</v>
      </c>
      <c r="AF6" s="37" t="s">
        <v>32</v>
      </c>
      <c r="AG6" s="37" t="s">
        <v>33</v>
      </c>
      <c r="AH6" s="37" t="s">
        <v>34</v>
      </c>
      <c r="AI6" s="37" t="s">
        <v>35</v>
      </c>
      <c r="AJ6" s="37" t="s">
        <v>36</v>
      </c>
      <c r="AK6" s="37" t="s">
        <v>37</v>
      </c>
      <c r="AL6" s="37" t="s">
        <v>38</v>
      </c>
      <c r="AM6" s="37" t="s">
        <v>39</v>
      </c>
      <c r="AN6" s="37" t="s">
        <v>40</v>
      </c>
      <c r="AO6" s="37" t="s">
        <v>41</v>
      </c>
      <c r="AP6" s="37" t="s">
        <v>42</v>
      </c>
      <c r="AQ6" s="37" t="s">
        <v>43</v>
      </c>
      <c r="AR6" s="37" t="s">
        <v>44</v>
      </c>
      <c r="AS6" s="37" t="s">
        <v>45</v>
      </c>
      <c r="AT6" s="37" t="s">
        <v>56</v>
      </c>
      <c r="AV6" s="81" t="s">
        <v>12</v>
      </c>
      <c r="AX6" s="38" t="s">
        <v>62</v>
      </c>
      <c r="AY6" s="37" t="s">
        <v>46</v>
      </c>
      <c r="AZ6" s="37" t="s">
        <v>16</v>
      </c>
      <c r="BA6" s="37" t="s">
        <v>17</v>
      </c>
      <c r="BB6" s="37" t="s">
        <v>47</v>
      </c>
      <c r="BC6" s="37" t="s">
        <v>20</v>
      </c>
      <c r="BD6" s="37" t="s">
        <v>18</v>
      </c>
      <c r="BE6" s="37" t="s">
        <v>19</v>
      </c>
      <c r="BF6" s="37" t="s">
        <v>21</v>
      </c>
      <c r="BG6" s="37" t="s">
        <v>48</v>
      </c>
      <c r="BH6" s="37" t="s">
        <v>22</v>
      </c>
      <c r="BI6" s="37" t="s">
        <v>23</v>
      </c>
      <c r="BJ6" s="37" t="s">
        <v>24</v>
      </c>
      <c r="BK6" s="37" t="s">
        <v>25</v>
      </c>
      <c r="BL6" s="37" t="s">
        <v>26</v>
      </c>
      <c r="BM6" s="37" t="s">
        <v>27</v>
      </c>
      <c r="BN6" s="37" t="s">
        <v>28</v>
      </c>
      <c r="BO6" s="37" t="s">
        <v>29</v>
      </c>
      <c r="BP6" s="37" t="s">
        <v>30</v>
      </c>
      <c r="BQ6" s="37" t="s">
        <v>31</v>
      </c>
      <c r="BR6" s="37" t="s">
        <v>32</v>
      </c>
      <c r="BS6" s="37" t="s">
        <v>33</v>
      </c>
      <c r="BT6" s="37" t="s">
        <v>34</v>
      </c>
      <c r="BU6" s="37" t="s">
        <v>35</v>
      </c>
      <c r="BV6" s="37" t="s">
        <v>36</v>
      </c>
      <c r="BW6" s="37" t="s">
        <v>37</v>
      </c>
      <c r="BX6" s="37" t="s">
        <v>38</v>
      </c>
      <c r="BY6" s="37" t="s">
        <v>39</v>
      </c>
      <c r="BZ6" s="37" t="s">
        <v>40</v>
      </c>
      <c r="CA6" s="37" t="s">
        <v>41</v>
      </c>
      <c r="CB6" s="37" t="s">
        <v>42</v>
      </c>
      <c r="CC6" s="37" t="s">
        <v>43</v>
      </c>
      <c r="CD6" s="37" t="s">
        <v>44</v>
      </c>
      <c r="CE6" s="38" t="s">
        <v>63</v>
      </c>
    </row>
    <row r="7" spans="1:112" ht="30.75" thickBot="1" x14ac:dyDescent="0.3">
      <c r="A7" s="37" t="s">
        <v>132</v>
      </c>
      <c r="B7" s="39" t="s">
        <v>235</v>
      </c>
      <c r="C7" s="39" t="s">
        <v>232</v>
      </c>
      <c r="D7" s="40" t="s">
        <v>233</v>
      </c>
      <c r="E7" s="40" t="s">
        <v>234</v>
      </c>
      <c r="F7" s="41">
        <v>354864.511</v>
      </c>
      <c r="G7" s="41"/>
      <c r="H7" s="41">
        <f>IF(Tableau_Lancer_la_requête_à_partir_de_Excel_Files316[[#This Row],[Coût total Eligible FEDER]]="",Tableau_Lancer_la_requête_à_partir_de_Excel_Files316[[#This Row],[Coût total déposé]],Tableau_Lancer_la_requête_à_partir_de_Excel_Files316[[#This Row],[Coût total Eligible FEDER]])</f>
        <v>354864.511</v>
      </c>
      <c r="I7" s="41">
        <f>Tableau_Lancer_la_requête_à_partir_de_Excel_Files316[[#This Row],[Aide Massif Obtenu]]+Tableau_Lancer_la_requête_à_partir_de_Excel_Files316[[#This Row],[''Autre Public'']]</f>
        <v>0</v>
      </c>
      <c r="J7" s="42">
        <f>Tableau_Lancer_la_requête_à_partir_de_Excel_Files316[[#This Row],[Aide Publique Obtenue]]/Tableau_Lancer_la_requête_à_partir_de_Excel_Files316[[#This Row],[Coût total]]</f>
        <v>0</v>
      </c>
      <c r="K7" s="41">
        <f>Tableau_Lancer_la_requête_à_partir_de_Excel_Files316[[#This Row],[Etat]]+Tableau_Lancer_la_requête_à_partir_de_Excel_Files316[[#This Row],[Régions]]+Tableau_Lancer_la_requête_à_partir_de_Excel_Files316[[#This Row],[Départements]]+Tableau_Lancer_la_requête_à_partir_de_Excel_Files316[[#This Row],[''FEDER'']]</f>
        <v>0</v>
      </c>
      <c r="L7" s="42">
        <f>Tableau_Lancer_la_requête_à_partir_de_Excel_Files316[[#This Row],[Aide Massif Obtenu]]/Tableau_Lancer_la_requête_à_partir_de_Excel_Files316[[#This Row],[Coût total]]</f>
        <v>0</v>
      </c>
      <c r="M7" s="43">
        <f>Tableau_Lancer_la_requête_à_partir_de_Excel_Files316[[#This Row],[''FNADT'']]+Tableau_Lancer_la_requête_à_partir_de_Excel_Files316[[#This Row],[''Agriculture'']]</f>
        <v>0</v>
      </c>
      <c r="N7" s="41"/>
      <c r="O7" s="41"/>
      <c r="P7" s="43">
        <f>Tableau_Lancer_la_requête_à_partir_de_Excel_Files316[[#This Row],[''ALPC'']]+Tableau_Lancer_la_requête_à_partir_de_Excel_Files316[[#This Row],[''AURA'']]+Tableau_Lancer_la_requête_à_partir_de_Excel_Files316[[#This Row],[''BFC'']]+Tableau_Lancer_la_requête_à_partir_de_Excel_Files316[[#This Row],[''LRMP'']]</f>
        <v>0</v>
      </c>
      <c r="Q7" s="41"/>
      <c r="R7" s="41"/>
      <c r="S7" s="41"/>
      <c r="T7" s="41"/>
      <c r="U7" s="43">
        <f>Tableau_Lancer_la_requête_à_partir_de_Excel_Files316[[#This Row],[''03'']]+Tableau_Lancer_la_requête_à_partir_de_Excel_Files316[[#This Row],[''07'']]+Tableau_Lancer_la_requête_à_partir_de_Excel_Files316[[#This Row],[''11'']]+Tableau_Lancer_la_requête_à_partir_de_Excel_Files316[[#This Row],[''12'']]+Tableau_Lancer_la_requête_à_partir_de_Excel_Files316[[#This Row],[''15'']]+Tableau_Lancer_la_requête_à_partir_de_Excel_Files316[[#This Row],[''21'']]+Tableau_Lancer_la_requête_à_partir_de_Excel_Files316[[#This Row],[''19'']]+Tableau_Lancer_la_requête_à_partir_de_Excel_Files316[[#This Row],[''23'']]+Tableau_Lancer_la_requête_à_partir_de_Excel_Files316[[#This Row],[''30'']]+Tableau_Lancer_la_requête_à_partir_de_Excel_Files316[[#This Row],[''34'']]+Tableau_Lancer_la_requête_à_partir_de_Excel_Files316[[#This Row],[''42'']]+Tableau_Lancer_la_requête_à_partir_de_Excel_Files316[[#This Row],[''43'']]+Tableau_Lancer_la_requête_à_partir_de_Excel_Files316[[#This Row],[''46'']]+Tableau_Lancer_la_requête_à_partir_de_Excel_Files316[[#This Row],[''48'']]+Tableau_Lancer_la_requête_à_partir_de_Excel_Files316[[#This Row],[''58'']]+Tableau_Lancer_la_requête_à_partir_de_Excel_Files316[[#This Row],[''63'']]+Tableau_Lancer_la_requête_à_partir_de_Excel_Files316[[#This Row],[''69'']]+Tableau_Lancer_la_requête_à_partir_de_Excel_Files316[[#This Row],[''71'']]+Tableau_Lancer_la_requête_à_partir_de_Excel_Files316[[#This Row],[''81'']]+Tableau_Lancer_la_requête_à_partir_de_Excel_Files316[[#This Row],[''82'']]+Tableau_Lancer_la_requête_à_partir_de_Excel_Files316[[#This Row],[''87'']]+Tableau_Lancer_la_requête_à_partir_de_Excel_Files316[[#This Row],[''89'']]</f>
        <v>0</v>
      </c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>
        <v>0</v>
      </c>
      <c r="AS7" s="41">
        <v>0</v>
      </c>
      <c r="AT7" s="44" t="s">
        <v>258</v>
      </c>
      <c r="AU7" s="31"/>
      <c r="AV7" s="66" t="s">
        <v>259</v>
      </c>
      <c r="AX7" s="34"/>
      <c r="AY7" s="43">
        <f t="shared" ref="AY7:AY23" si="0">SUM(AZ7:BA7)</f>
        <v>0</v>
      </c>
      <c r="AZ7" s="43"/>
      <c r="BA7" s="43"/>
      <c r="BB7" s="43">
        <f t="shared" ref="BB7:BB23" si="1">SUM(BC7:BF7)</f>
        <v>0</v>
      </c>
      <c r="BC7" s="43"/>
      <c r="BD7" s="43"/>
      <c r="BE7" s="43"/>
      <c r="BF7" s="43"/>
      <c r="BG7" s="43">
        <f t="shared" ref="BG7:BG23" si="2">SUM(BH7:CC7)</f>
        <v>0</v>
      </c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31" t="e">
        <f>VLOOKUP(Tableau317[[#This Row],[NumSym]],Tableau_Lancer_la_requête_à_partir_de_Excel_Files316[[ID_Synergie]:[Avis Prog]],44)</f>
        <v>#N/A</v>
      </c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</row>
    <row r="8" spans="1:112" ht="15.75" thickTop="1" x14ac:dyDescent="0.25">
      <c r="A8" s="40" t="s">
        <v>8</v>
      </c>
      <c r="B8" s="40"/>
      <c r="C8" s="40">
        <f>SUBTOTAL(103,Tableau_Lancer_la_requête_à_partir_de_Excel_Files316[ID_Synergie])</f>
        <v>1</v>
      </c>
      <c r="D8" s="40"/>
      <c r="E8" s="40"/>
      <c r="F8" s="41">
        <f>SUBTOTAL(109,Tableau_Lancer_la_requête_à_partir_de_Excel_Files316[Coût total déposé])</f>
        <v>354864.511</v>
      </c>
      <c r="G8" s="41"/>
      <c r="H8" s="41">
        <f>SUBTOTAL(109,Tableau_Lancer_la_requête_à_partir_de_Excel_Files316[Coût total])</f>
        <v>354864.511</v>
      </c>
      <c r="I8" s="41">
        <f>SUBTOTAL(109,Tableau_Lancer_la_requête_à_partir_de_Excel_Files316[Aide Publique Obtenue])</f>
        <v>0</v>
      </c>
      <c r="J8" s="41"/>
      <c r="K8" s="41">
        <f>SUBTOTAL(109,Tableau_Lancer_la_requête_à_partir_de_Excel_Files316[Aide Massif Obtenu])</f>
        <v>0</v>
      </c>
      <c r="L8" s="40"/>
      <c r="M8" s="41">
        <f>SUBTOTAL(109,Tableau_Lancer_la_requête_à_partir_de_Excel_Files316[Etat])</f>
        <v>0</v>
      </c>
      <c r="N8" s="41"/>
      <c r="O8" s="41"/>
      <c r="P8" s="41">
        <f>SUBTOTAL(109,Tableau_Lancer_la_requête_à_partir_de_Excel_Files316[Régions])</f>
        <v>0</v>
      </c>
      <c r="Q8" s="41"/>
      <c r="R8" s="41"/>
      <c r="S8" s="41"/>
      <c r="T8" s="41"/>
      <c r="U8" s="41">
        <f>SUBTOTAL(109,Tableau_Lancer_la_requête_à_partir_de_Excel_Files316[Départements])</f>
        <v>0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>
        <f>SUBTOTAL(109,Tableau_Lancer_la_requête_à_partir_de_Excel_Files316[''FEDER''])</f>
        <v>0</v>
      </c>
      <c r="AS8" s="41"/>
      <c r="AT8" s="40"/>
      <c r="AU8" s="31"/>
      <c r="AV8" s="62"/>
      <c r="AX8" s="34"/>
      <c r="AY8" s="43">
        <f t="shared" si="0"/>
        <v>0</v>
      </c>
      <c r="AZ8" s="43"/>
      <c r="BA8" s="43"/>
      <c r="BB8" s="43">
        <f t="shared" si="1"/>
        <v>0</v>
      </c>
      <c r="BC8" s="43"/>
      <c r="BD8" s="43"/>
      <c r="BE8" s="43"/>
      <c r="BF8" s="43"/>
      <c r="BG8" s="43">
        <f t="shared" si="2"/>
        <v>0</v>
      </c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31" t="e">
        <f>VLOOKUP(Tableau317[[#This Row],[NumSym]],Tableau_Lancer_la_requête_à_partir_de_Excel_Files316[[ID_Synergie]:[Avis Prog]],44)</f>
        <v>#N/A</v>
      </c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</row>
    <row r="9" spans="1:112" x14ac:dyDescent="0.25">
      <c r="AU9" s="31"/>
      <c r="AX9" s="34"/>
      <c r="AY9" s="43">
        <f t="shared" si="0"/>
        <v>0</v>
      </c>
      <c r="AZ9" s="43"/>
      <c r="BA9" s="43"/>
      <c r="BB9" s="43">
        <f t="shared" si="1"/>
        <v>0</v>
      </c>
      <c r="BC9" s="43"/>
      <c r="BD9" s="43"/>
      <c r="BE9" s="43"/>
      <c r="BF9" s="43"/>
      <c r="BG9" s="43">
        <f t="shared" si="2"/>
        <v>0</v>
      </c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31" t="e">
        <f>VLOOKUP(Tableau317[[#This Row],[NumSym]],Tableau_Lancer_la_requête_à_partir_de_Excel_Files316[[ID_Synergie]:[Avis Prog]],44)</f>
        <v>#N/A</v>
      </c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</row>
    <row r="10" spans="1:112" x14ac:dyDescent="0.25">
      <c r="AU10" s="31"/>
      <c r="AX10" s="34"/>
      <c r="AY10" s="43">
        <f t="shared" si="0"/>
        <v>0</v>
      </c>
      <c r="AZ10" s="43"/>
      <c r="BA10" s="43"/>
      <c r="BB10" s="43">
        <f t="shared" si="1"/>
        <v>0</v>
      </c>
      <c r="BC10" s="43"/>
      <c r="BD10" s="43"/>
      <c r="BE10" s="43"/>
      <c r="BF10" s="43"/>
      <c r="BG10" s="43">
        <f t="shared" si="2"/>
        <v>0</v>
      </c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31" t="e">
        <f>VLOOKUP(Tableau317[[#This Row],[NumSym]],Tableau_Lancer_la_requête_à_partir_de_Excel_Files316[[ID_Synergie]:[Avis Prog]],44)</f>
        <v>#N/A</v>
      </c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</row>
    <row r="11" spans="1:112" x14ac:dyDescent="0.25">
      <c r="AU11" s="31"/>
      <c r="AX11" s="34"/>
      <c r="AY11" s="43">
        <f t="shared" si="0"/>
        <v>0</v>
      </c>
      <c r="AZ11" s="43"/>
      <c r="BA11" s="43"/>
      <c r="BB11" s="43">
        <f t="shared" si="1"/>
        <v>0</v>
      </c>
      <c r="BC11" s="43"/>
      <c r="BD11" s="43"/>
      <c r="BE11" s="43"/>
      <c r="BF11" s="43"/>
      <c r="BG11" s="43">
        <f t="shared" si="2"/>
        <v>0</v>
      </c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31" t="e">
        <f>VLOOKUP(Tableau317[[#This Row],[NumSym]],Tableau_Lancer_la_requête_à_partir_de_Excel_Files316[[ID_Synergie]:[Avis Prog]],44)</f>
        <v>#N/A</v>
      </c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</row>
    <row r="12" spans="1:112" x14ac:dyDescent="0.25">
      <c r="AU12" s="31"/>
      <c r="AX12" s="34"/>
      <c r="AY12" s="43">
        <f t="shared" si="0"/>
        <v>0</v>
      </c>
      <c r="AZ12" s="43"/>
      <c r="BA12" s="43"/>
      <c r="BB12" s="43">
        <f t="shared" si="1"/>
        <v>0</v>
      </c>
      <c r="BC12" s="43"/>
      <c r="BD12" s="43"/>
      <c r="BE12" s="43"/>
      <c r="BF12" s="43"/>
      <c r="BG12" s="43">
        <f t="shared" si="2"/>
        <v>0</v>
      </c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31" t="e">
        <f>VLOOKUP(Tableau317[[#This Row],[NumSym]],Tableau_Lancer_la_requête_à_partir_de_Excel_Files316[[ID_Synergie]:[Avis Prog]],44)</f>
        <v>#N/A</v>
      </c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</row>
    <row r="13" spans="1:112" x14ac:dyDescent="0.25">
      <c r="AU13" s="31"/>
      <c r="AX13" s="34"/>
      <c r="AY13" s="43">
        <f t="shared" si="0"/>
        <v>0</v>
      </c>
      <c r="AZ13" s="43"/>
      <c r="BA13" s="43"/>
      <c r="BB13" s="43">
        <f t="shared" si="1"/>
        <v>0</v>
      </c>
      <c r="BC13" s="43"/>
      <c r="BD13" s="43"/>
      <c r="BE13" s="43"/>
      <c r="BF13" s="43"/>
      <c r="BG13" s="43">
        <f t="shared" si="2"/>
        <v>0</v>
      </c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31" t="e">
        <f>VLOOKUP(Tableau317[[#This Row],[NumSym]],Tableau_Lancer_la_requête_à_partir_de_Excel_Files316[[ID_Synergie]:[Avis Prog]],44)</f>
        <v>#N/A</v>
      </c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</row>
    <row r="14" spans="1:112" x14ac:dyDescent="0.25">
      <c r="AU14" s="31"/>
      <c r="AX14" s="34"/>
      <c r="AY14" s="43"/>
      <c r="AZ14" s="41"/>
      <c r="BA14" s="41"/>
      <c r="BB14" s="43"/>
      <c r="BC14" s="41"/>
      <c r="BD14" s="41"/>
      <c r="BE14" s="41"/>
      <c r="BF14" s="41"/>
      <c r="BG14" s="43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</row>
    <row r="15" spans="1:112" x14ac:dyDescent="0.25">
      <c r="AX15" s="43"/>
      <c r="AY15" s="43">
        <f t="shared" si="0"/>
        <v>0</v>
      </c>
      <c r="BA15" s="43"/>
      <c r="BB15" s="43">
        <f t="shared" si="1"/>
        <v>0</v>
      </c>
      <c r="BF15" s="43"/>
      <c r="BG15" s="43">
        <f t="shared" si="2"/>
        <v>0</v>
      </c>
      <c r="CE15" s="31" t="e">
        <f>VLOOKUP(Tableau317[[#This Row],[NumSym]],Tableau_Lancer_la_requête_à_partir_de_Excel_Files316[[ID_Synergie]:[Avis Prog]],44)</f>
        <v>#N/A</v>
      </c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</row>
    <row r="16" spans="1:112" x14ac:dyDescent="0.25">
      <c r="AX16" s="43"/>
      <c r="AY16" s="43">
        <f t="shared" si="0"/>
        <v>0</v>
      </c>
      <c r="BA16" s="43"/>
      <c r="BB16" s="43">
        <f t="shared" si="1"/>
        <v>0</v>
      </c>
      <c r="BF16" s="43"/>
      <c r="BG16" s="43">
        <f t="shared" si="2"/>
        <v>0</v>
      </c>
      <c r="CE16" s="31" t="e">
        <f>VLOOKUP(Tableau317[[#This Row],[NumSym]],Tableau_Lancer_la_requête_à_partir_de_Excel_Files316[[ID_Synergie]:[Avis Prog]],44)</f>
        <v>#N/A</v>
      </c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</row>
    <row r="17" spans="50:112" x14ac:dyDescent="0.25">
      <c r="AX17" s="43"/>
      <c r="AY17" s="43">
        <f t="shared" si="0"/>
        <v>0</v>
      </c>
      <c r="BA17" s="43"/>
      <c r="BB17" s="43">
        <f t="shared" si="1"/>
        <v>0</v>
      </c>
      <c r="BF17" s="43"/>
      <c r="BG17" s="43">
        <f t="shared" si="2"/>
        <v>0</v>
      </c>
      <c r="CE17" s="31" t="e">
        <f>VLOOKUP(Tableau317[[#This Row],[NumSym]],Tableau_Lancer_la_requête_à_partir_de_Excel_Files316[[ID_Synergie]:[Avis Prog]],44)</f>
        <v>#N/A</v>
      </c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</row>
    <row r="18" spans="50:112" x14ac:dyDescent="0.25">
      <c r="AX18" s="43"/>
      <c r="AY18" s="43">
        <f t="shared" si="0"/>
        <v>0</v>
      </c>
      <c r="BA18" s="43"/>
      <c r="BB18" s="43">
        <f t="shared" si="1"/>
        <v>0</v>
      </c>
      <c r="BF18" s="43"/>
      <c r="BG18" s="43">
        <f t="shared" si="2"/>
        <v>0</v>
      </c>
      <c r="CE18" s="31" t="e">
        <f>VLOOKUP(Tableau317[[#This Row],[NumSym]],Tableau_Lancer_la_requête_à_partir_de_Excel_Files316[[ID_Synergie]:[Avis Prog]],44)</f>
        <v>#N/A</v>
      </c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</row>
    <row r="19" spans="50:112" x14ac:dyDescent="0.25">
      <c r="AX19" s="43"/>
      <c r="AY19" s="43">
        <f t="shared" si="0"/>
        <v>0</v>
      </c>
      <c r="BA19" s="43"/>
      <c r="BB19" s="43">
        <f t="shared" si="1"/>
        <v>0</v>
      </c>
      <c r="BF19" s="43"/>
      <c r="BG19" s="43">
        <f t="shared" si="2"/>
        <v>0</v>
      </c>
      <c r="CE19" s="31" t="e">
        <f>VLOOKUP(Tableau317[[#This Row],[NumSym]],Tableau_Lancer_la_requête_à_partir_de_Excel_Files316[[ID_Synergie]:[Avis Prog]],44)</f>
        <v>#N/A</v>
      </c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</row>
    <row r="20" spans="50:112" x14ac:dyDescent="0.25">
      <c r="AX20" s="43"/>
      <c r="AY20" s="43">
        <f t="shared" si="0"/>
        <v>0</v>
      </c>
      <c r="BA20" s="43"/>
      <c r="BB20" s="43">
        <f t="shared" si="1"/>
        <v>0</v>
      </c>
      <c r="BF20" s="43"/>
      <c r="BG20" s="43">
        <f t="shared" si="2"/>
        <v>0</v>
      </c>
      <c r="CE20" s="31" t="e">
        <f>VLOOKUP(Tableau317[[#This Row],[NumSym]],Tableau_Lancer_la_requête_à_partir_de_Excel_Files316[[ID_Synergie]:[Avis Prog]],44)</f>
        <v>#N/A</v>
      </c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</row>
    <row r="21" spans="50:112" x14ac:dyDescent="0.25">
      <c r="AX21" s="43"/>
      <c r="AY21" s="43">
        <f t="shared" si="0"/>
        <v>0</v>
      </c>
      <c r="BA21" s="43"/>
      <c r="BB21" s="43">
        <f t="shared" si="1"/>
        <v>0</v>
      </c>
      <c r="BF21" s="43"/>
      <c r="BG21" s="43">
        <f t="shared" si="2"/>
        <v>0</v>
      </c>
      <c r="CE21" s="31" t="e">
        <f>VLOOKUP(Tableau317[[#This Row],[NumSym]],Tableau_Lancer_la_requête_à_partir_de_Excel_Files316[[ID_Synergie]:[Avis Prog]],44)</f>
        <v>#N/A</v>
      </c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</row>
    <row r="22" spans="50:112" x14ac:dyDescent="0.25">
      <c r="AX22" s="43"/>
      <c r="AY22" s="43">
        <f t="shared" si="0"/>
        <v>0</v>
      </c>
      <c r="BA22" s="43"/>
      <c r="BB22" s="43">
        <f t="shared" si="1"/>
        <v>0</v>
      </c>
      <c r="BF22" s="43"/>
      <c r="BG22" s="43">
        <f t="shared" si="2"/>
        <v>0</v>
      </c>
      <c r="CE22" s="31" t="e">
        <f>VLOOKUP(Tableau317[[#This Row],[NumSym]],Tableau_Lancer_la_requête_à_partir_de_Excel_Files316[[ID_Synergie]:[Avis Prog]],44)</f>
        <v>#N/A</v>
      </c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</row>
    <row r="23" spans="50:112" x14ac:dyDescent="0.25">
      <c r="AX23" s="43"/>
      <c r="AY23" s="43">
        <f t="shared" si="0"/>
        <v>0</v>
      </c>
      <c r="BA23" s="43"/>
      <c r="BB23" s="43">
        <f t="shared" si="1"/>
        <v>0</v>
      </c>
      <c r="BF23" s="43"/>
      <c r="BG23" s="43">
        <f t="shared" si="2"/>
        <v>0</v>
      </c>
      <c r="CE23" s="31" t="e">
        <f>VLOOKUP(Tableau317[[#This Row],[NumSym]],Tableau_Lancer_la_requête_à_partir_de_Excel_Files316[[ID_Synergie]:[Avis Prog]],44)</f>
        <v>#N/A</v>
      </c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</row>
    <row r="24" spans="50:112" x14ac:dyDescent="0.25">
      <c r="AX24" s="45" t="s">
        <v>8</v>
      </c>
      <c r="AY24" s="43">
        <f>SUBTOTAL(109,Tableau317[Etat])</f>
        <v>0</v>
      </c>
      <c r="AZ24" s="43">
        <f>SUBTOTAL(109,Tableau317[''FNADT''])</f>
        <v>0</v>
      </c>
      <c r="BA24" s="43">
        <f>SUBTOTAL(109,Tableau317[''Agriculture''])</f>
        <v>0</v>
      </c>
      <c r="BB24" s="43">
        <f>SUBTOTAL(109,Tableau317[Régions])</f>
        <v>0</v>
      </c>
      <c r="BC24" s="43">
        <f>SUBTOTAL(109,Tableau317[''ALPC''])</f>
        <v>0</v>
      </c>
      <c r="BD24" s="43">
        <f>SUBTOTAL(109,Tableau317[''AURA''])</f>
        <v>0</v>
      </c>
      <c r="BE24" s="43">
        <f>SUBTOTAL(109,Tableau317[''BFC''])</f>
        <v>0</v>
      </c>
      <c r="BF24" s="43">
        <f>SUBTOTAL(109,Tableau317[''LRMP''])</f>
        <v>0</v>
      </c>
      <c r="BG24" s="43">
        <f>SUBTOTAL(109,Tableau317[Départements])</f>
        <v>0</v>
      </c>
      <c r="BH24" s="43">
        <f>SUBTOTAL(109,Tableau317[''03''])</f>
        <v>0</v>
      </c>
      <c r="BI24" s="43">
        <f>SUBTOTAL(109,Tableau317[''07''])</f>
        <v>0</v>
      </c>
      <c r="BJ24" s="43">
        <f>SUBTOTAL(109,Tableau317[''11''])</f>
        <v>0</v>
      </c>
      <c r="BK24" s="43">
        <f>SUBTOTAL(109,Tableau317[''12''])</f>
        <v>0</v>
      </c>
      <c r="BL24" s="43">
        <f>SUBTOTAL(109,Tableau317[''15''])</f>
        <v>0</v>
      </c>
      <c r="BM24" s="43">
        <f>SUBTOTAL(109,Tableau317[''19''])</f>
        <v>0</v>
      </c>
      <c r="BN24" s="43">
        <f>SUBTOTAL(109,Tableau317[''21''])</f>
        <v>0</v>
      </c>
      <c r="BO24" s="43">
        <f>SUBTOTAL(109,Tableau317[''23''])</f>
        <v>0</v>
      </c>
      <c r="BP24" s="43">
        <f>SUBTOTAL(109,Tableau317[''30''])</f>
        <v>0</v>
      </c>
      <c r="BQ24" s="43">
        <f>SUBTOTAL(109,Tableau317[''34''])</f>
        <v>0</v>
      </c>
      <c r="BR24" s="43">
        <f>SUBTOTAL(109,Tableau317[''42''])</f>
        <v>0</v>
      </c>
      <c r="BS24" s="43">
        <f>SUBTOTAL(109,Tableau317[''43''])</f>
        <v>0</v>
      </c>
      <c r="BT24" s="43">
        <f>SUBTOTAL(109,Tableau317[''46''])</f>
        <v>0</v>
      </c>
      <c r="BU24" s="43">
        <f>SUBTOTAL(109,Tableau317[''48''])</f>
        <v>0</v>
      </c>
      <c r="BV24" s="43">
        <f>SUBTOTAL(109,Tableau317[''58''])</f>
        <v>0</v>
      </c>
      <c r="BW24" s="43">
        <f>SUBTOTAL(109,Tableau317[''63''])</f>
        <v>0</v>
      </c>
      <c r="BX24" s="43">
        <f>SUBTOTAL(109,Tableau317[''69''])</f>
        <v>0</v>
      </c>
      <c r="BY24" s="43">
        <f>SUBTOTAL(109,Tableau317[''71''])</f>
        <v>0</v>
      </c>
      <c r="BZ24" s="43">
        <f>SUBTOTAL(109,Tableau317[''81''])</f>
        <v>0</v>
      </c>
      <c r="CA24" s="43">
        <f>SUBTOTAL(109,Tableau317[''82''])</f>
        <v>0</v>
      </c>
      <c r="CB24" s="43">
        <f>SUBTOTAL(109,Tableau317[''87''])</f>
        <v>0</v>
      </c>
      <c r="CC24" s="43">
        <f>SUBTOTAL(109,Tableau317[''89''])</f>
        <v>0</v>
      </c>
      <c r="CD24" s="43">
        <f>SUBTOTAL(109,Tableau317[''FEDER''])</f>
        <v>0</v>
      </c>
      <c r="CE24" s="31">
        <f>SUBTOTAL(103,Tableau317[Avis])</f>
        <v>16</v>
      </c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</row>
    <row r="25" spans="50:112" x14ac:dyDescent="0.25"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</row>
    <row r="26" spans="50:112" x14ac:dyDescent="0.25"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</row>
    <row r="27" spans="50:112" x14ac:dyDescent="0.25"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</row>
    <row r="28" spans="50:112" x14ac:dyDescent="0.25"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</row>
    <row r="29" spans="50:112" x14ac:dyDescent="0.25"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</row>
    <row r="30" spans="50:112" x14ac:dyDescent="0.25">
      <c r="BB30" s="31" t="s">
        <v>82</v>
      </c>
      <c r="BG30" s="31" t="s">
        <v>81</v>
      </c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</row>
    <row r="31" spans="50:112" x14ac:dyDescent="0.25">
      <c r="AY31" s="34" t="s">
        <v>57</v>
      </c>
      <c r="AZ31" s="46">
        <f>SUMIF(Tableau_Lancer_la_requête_à_partir_de_Excel_Files316[Avis Prog],"1-Favorable",Tableau317[''FEDER''])</f>
        <v>0</v>
      </c>
      <c r="BB31" s="31">
        <f>SUMIF(Tableau317[Avis],"1-Favorable",Tableau317[''FEDER''])</f>
        <v>0</v>
      </c>
      <c r="BG31" s="31">
        <f>SUMIF(Tableau317[Avis],"0",Tableau317[''FEDER''])</f>
        <v>0</v>
      </c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</row>
    <row r="32" spans="50:112" x14ac:dyDescent="0.25">
      <c r="AY32" s="34" t="s">
        <v>46</v>
      </c>
      <c r="AZ32" s="46">
        <f>SUMIF(Tableau_Lancer_la_requête_à_partir_de_Excel_Files316[Avis Prog],"1-Favorable",Tableau317[Etat])</f>
        <v>0</v>
      </c>
      <c r="BB32" s="31">
        <f>SUMIF(Tableau317[Avis],"1-Favorable",Tableau317[Etat])</f>
        <v>0</v>
      </c>
      <c r="BG32" s="31">
        <f>SUMIF(Tableau317[Avis],"0",Tableau317[Etat])</f>
        <v>0</v>
      </c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</row>
    <row r="33" spans="51:112" x14ac:dyDescent="0.25">
      <c r="AY33" s="34" t="s">
        <v>47</v>
      </c>
      <c r="AZ33" s="46">
        <f>SUMIF(Tableau_Lancer_la_requête_à_partir_de_Excel_Files316[Avis Prog],"1-Favorable",Tableau317[Régions])</f>
        <v>0</v>
      </c>
      <c r="BB33" s="31">
        <f>SUMIF(Tableau317[Avis],"1-Favorable",Tableau317[Régions])</f>
        <v>0</v>
      </c>
      <c r="BG33" s="31">
        <f>SUMIF(Tableau317[Avis],"0",Tableau317[Régions])</f>
        <v>0</v>
      </c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</row>
    <row r="34" spans="51:112" x14ac:dyDescent="0.25">
      <c r="AY34" s="46" t="s">
        <v>58</v>
      </c>
      <c r="AZ34" s="46">
        <f>SUMIF(Tableau_Lancer_la_requête_à_partir_de_Excel_Files316[Avis Prog],"1-Favorable",Tableau317[''ALPC''])</f>
        <v>0</v>
      </c>
      <c r="BB34" s="31">
        <f>SUMIF(Tableau317[Avis],"1-Favorable",Tableau317[''ALPC''])</f>
        <v>0</v>
      </c>
      <c r="BG34" s="31">
        <f>SUMIF(Tableau317[Avis],"0",Tableau317[''ALPC''])</f>
        <v>0</v>
      </c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</row>
    <row r="35" spans="51:112" x14ac:dyDescent="0.25">
      <c r="AY35" s="46" t="s">
        <v>59</v>
      </c>
      <c r="AZ35" s="46">
        <f>SUMIF(Tableau_Lancer_la_requête_à_partir_de_Excel_Files316[Avis Prog],"1-Favorable",Tableau317[''AURA''])</f>
        <v>0</v>
      </c>
      <c r="BB35" s="31">
        <f>SUMIF(Tableau317[Avis],"1-Favorable",Tableau317[''AURA''])</f>
        <v>0</v>
      </c>
      <c r="BG35" s="31">
        <f>SUMIF(Tableau317[Avis],"0",Tableau317[''AURA''])</f>
        <v>0</v>
      </c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</row>
    <row r="36" spans="51:112" x14ac:dyDescent="0.25">
      <c r="AY36" s="46" t="s">
        <v>60</v>
      </c>
      <c r="AZ36" s="46">
        <f>SUMIF(Tableau_Lancer_la_requête_à_partir_de_Excel_Files316[Avis Prog],"1-Favorable",Tableau317[''BFC''])</f>
        <v>0</v>
      </c>
      <c r="BB36" s="31">
        <f>SUMIF(Tableau317[Avis],"1-Favorable",Tableau317[''BFC''])</f>
        <v>0</v>
      </c>
      <c r="BG36" s="31">
        <f>SUMIF(Tableau317[Avis],"0",Tableau317[''BFC''])</f>
        <v>0</v>
      </c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</row>
    <row r="37" spans="51:112" x14ac:dyDescent="0.25">
      <c r="AY37" s="46" t="s">
        <v>61</v>
      </c>
      <c r="AZ37" s="46">
        <f>SUMIF(Tableau_Lancer_la_requête_à_partir_de_Excel_Files316[Avis Prog],"1-Favorable",Tableau317[''LRMP''])</f>
        <v>0</v>
      </c>
      <c r="BB37" s="31">
        <f>SUMIF(Tableau317[Avis],"1-Favorable",Tableau317[''LRMP''])</f>
        <v>0</v>
      </c>
      <c r="BG37" s="31">
        <f>SUMIF(Tableau317[Avis],"0",Tableau317[''LRMP''])</f>
        <v>0</v>
      </c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</row>
    <row r="38" spans="51:112" x14ac:dyDescent="0.25">
      <c r="AY38" s="34" t="s">
        <v>48</v>
      </c>
      <c r="AZ38" s="46">
        <f>SUMIF(Tableau_Lancer_la_requête_à_partir_de_Excel_Files316[Avis Prog],"1-Favorable",Tableau317[Départements])</f>
        <v>0</v>
      </c>
      <c r="BB38" s="31">
        <f>SUMIF(Tableau317[Avis],"1-Favorable",Tableau317[Départements])</f>
        <v>0</v>
      </c>
      <c r="BG38" s="31">
        <f>SUMIF(Tableau317[Avis],"0",Tableau317[Départements])</f>
        <v>0</v>
      </c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</row>
    <row r="39" spans="51:112" x14ac:dyDescent="0.25">
      <c r="AY39" s="34" t="s">
        <v>22</v>
      </c>
      <c r="AZ39" s="46">
        <f>SUMIF(Tableau_Lancer_la_requête_à_partir_de_Excel_Files316[Avis Prog],"1-Favorable",Tableau317[''03''])</f>
        <v>0</v>
      </c>
      <c r="BB39" s="31">
        <f>SUMIF(Tableau317[Avis],"1-Favorable",Tableau317[''03''])</f>
        <v>0</v>
      </c>
      <c r="BG39" s="31">
        <f>SUMIF(Tableau317[Avis],"0",Tableau317[''03''])</f>
        <v>0</v>
      </c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</row>
    <row r="40" spans="51:112" x14ac:dyDescent="0.25">
      <c r="AY40" s="34" t="s">
        <v>24</v>
      </c>
      <c r="AZ40" s="46">
        <f>SUMIF(Tableau_Lancer_la_requête_à_partir_de_Excel_Files316[Avis Prog],"1-Favorable",Tableau317[''11''])</f>
        <v>0</v>
      </c>
      <c r="BB40" s="31">
        <f>SUMIF(Tableau317[Avis],"1-Favorable",Tableau317[''11''])</f>
        <v>0</v>
      </c>
      <c r="BG40" s="31">
        <f>SUMIF(Tableau317[Avis],"0",Tableau317[''11''])</f>
        <v>0</v>
      </c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</row>
    <row r="41" spans="51:112" x14ac:dyDescent="0.25">
      <c r="AY41" s="34" t="s">
        <v>25</v>
      </c>
      <c r="AZ41" s="46">
        <f>SUMIF(Tableau_Lancer_la_requête_à_partir_de_Excel_Files316[Avis Prog],"1-Favorable",Tableau317[''12''])</f>
        <v>0</v>
      </c>
      <c r="BB41" s="31">
        <f>SUMIF(Tableau317[Avis],"1-Favorable",Tableau317[''12''])</f>
        <v>0</v>
      </c>
      <c r="BG41" s="31">
        <f>SUMIF(Tableau317[Avis],"0",Tableau317[''12''])</f>
        <v>0</v>
      </c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</row>
    <row r="42" spans="51:112" x14ac:dyDescent="0.25">
      <c r="AY42" s="34" t="s">
        <v>26</v>
      </c>
      <c r="AZ42" s="46">
        <f>SUMIF(Tableau_Lancer_la_requête_à_partir_de_Excel_Files316[Avis Prog],"1-Favorable",Tableau317[''15''])</f>
        <v>0</v>
      </c>
      <c r="BB42" s="31">
        <f>SUMIF(Tableau317[Avis],"1-Favorable",Tableau317[''15''])</f>
        <v>0</v>
      </c>
      <c r="BG42" s="31">
        <f>SUMIF(Tableau317[Avis],"0",Tableau317[''15''])</f>
        <v>0</v>
      </c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</row>
    <row r="43" spans="51:112" x14ac:dyDescent="0.25">
      <c r="AY43" s="34" t="s">
        <v>27</v>
      </c>
      <c r="AZ43" s="46">
        <f>SUMIF(Tableau_Lancer_la_requête_à_partir_de_Excel_Files316[Avis Prog],"1-Favorable",Tableau317[''19''])</f>
        <v>0</v>
      </c>
      <c r="BB43" s="31">
        <f>SUMIF(Tableau317[Avis],"1-Favorable",Tableau317[''19''])</f>
        <v>0</v>
      </c>
      <c r="BG43" s="31">
        <f>SUMIF(Tableau317[Avis],"0",Tableau317[''19''])</f>
        <v>0</v>
      </c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</row>
    <row r="44" spans="51:112" x14ac:dyDescent="0.25">
      <c r="AY44" s="34" t="s">
        <v>28</v>
      </c>
      <c r="AZ44" s="46">
        <f>SUMIF(Tableau_Lancer_la_requête_à_partir_de_Excel_Files316[Avis Prog],"1-Favorable",Tableau317[''21''])</f>
        <v>0</v>
      </c>
      <c r="BB44" s="31">
        <f>SUMIF(Tableau317[Avis],"1-Favorable",Tableau317[''21''])</f>
        <v>0</v>
      </c>
      <c r="BG44" s="31">
        <f>SUMIF(Tableau317[Avis],"0",Tableau317[''21''])</f>
        <v>0</v>
      </c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</row>
    <row r="45" spans="51:112" x14ac:dyDescent="0.25">
      <c r="AY45" s="34" t="s">
        <v>29</v>
      </c>
      <c r="AZ45" s="46">
        <f>SUMIF(Tableau_Lancer_la_requête_à_partir_de_Excel_Files316[Avis Prog],"1-Favorable",Tableau317[''23''])</f>
        <v>0</v>
      </c>
      <c r="BB45" s="31">
        <f>SUMIF(Tableau317[Avis],"1-Favorable",Tableau317[''23''])</f>
        <v>0</v>
      </c>
      <c r="BG45" s="31">
        <f>SUMIF(Tableau317[Avis],"0",Tableau317[''23''])</f>
        <v>0</v>
      </c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</row>
    <row r="46" spans="51:112" x14ac:dyDescent="0.25">
      <c r="AY46" s="34" t="s">
        <v>30</v>
      </c>
      <c r="AZ46" s="46">
        <f>SUMIF(Tableau_Lancer_la_requête_à_partir_de_Excel_Files316[Avis Prog],"1-Favorable",Tableau317[''30''])</f>
        <v>0</v>
      </c>
      <c r="BB46" s="31">
        <f>SUMIF(Tableau317[Avis],"1-Favorable",Tableau317[''30''])</f>
        <v>0</v>
      </c>
      <c r="BG46" s="31">
        <f>SUMIF(Tableau317[Avis],"0",Tableau317[''30''])</f>
        <v>0</v>
      </c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</row>
    <row r="47" spans="51:112" x14ac:dyDescent="0.25">
      <c r="AY47" s="34" t="s">
        <v>31</v>
      </c>
      <c r="AZ47" s="46">
        <f>SUMIF(Tableau_Lancer_la_requête_à_partir_de_Excel_Files316[Avis Prog],"1-Favorable",Tableau317[''34''])</f>
        <v>0</v>
      </c>
      <c r="BB47" s="31">
        <f>SUMIF(Tableau317[Avis],"1-Favorable",Tableau317[''34''])</f>
        <v>0</v>
      </c>
      <c r="BG47" s="31">
        <f>SUMIF(Tableau317[Avis],"0",Tableau317[''34''])</f>
        <v>0</v>
      </c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</row>
    <row r="48" spans="51:112" x14ac:dyDescent="0.25">
      <c r="AY48" s="34" t="s">
        <v>32</v>
      </c>
      <c r="AZ48" s="46">
        <f>SUMIF(Tableau_Lancer_la_requête_à_partir_de_Excel_Files316[Avis Prog],"1-Favorable",Tableau317[''42''])</f>
        <v>0</v>
      </c>
      <c r="BB48" s="31">
        <f>SUMIF(Tableau317[Avis],"1-Favorable",Tableau317[''42''])</f>
        <v>0</v>
      </c>
      <c r="BG48" s="31">
        <f>SUMIF(Tableau317[Avis],"0",Tableau317[''42''])</f>
        <v>0</v>
      </c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</row>
    <row r="49" spans="51:112" x14ac:dyDescent="0.25">
      <c r="AY49" s="34" t="s">
        <v>33</v>
      </c>
      <c r="AZ49" s="46">
        <f>SUMIF(Tableau_Lancer_la_requête_à_partir_de_Excel_Files316[Avis Prog],"1-Favorable",Tableau317[''43''])</f>
        <v>0</v>
      </c>
      <c r="BB49" s="31">
        <f>SUMIF(Tableau317[Avis],"1-Favorable",Tableau317[''43''])</f>
        <v>0</v>
      </c>
      <c r="BG49" s="31">
        <f>SUMIF(Tableau317[Avis],"0",Tableau317[''43''])</f>
        <v>0</v>
      </c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</row>
    <row r="50" spans="51:112" x14ac:dyDescent="0.25">
      <c r="AY50" s="34" t="s">
        <v>34</v>
      </c>
      <c r="AZ50" s="46">
        <f>SUMIF(Tableau_Lancer_la_requête_à_partir_de_Excel_Files316[Avis Prog],"1-Favorable",Tableau317[''46''])</f>
        <v>0</v>
      </c>
      <c r="BB50" s="31">
        <f>SUMIF(Tableau317[Avis],"1-Favorable",Tableau317[''46''])</f>
        <v>0</v>
      </c>
      <c r="BG50" s="31">
        <f>SUMIF(Tableau317[Avis],"0",Tableau317[''46''])</f>
        <v>0</v>
      </c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</row>
    <row r="51" spans="51:112" x14ac:dyDescent="0.25">
      <c r="AY51" s="34" t="s">
        <v>35</v>
      </c>
      <c r="AZ51" s="46">
        <f>SUMIF(Tableau_Lancer_la_requête_à_partir_de_Excel_Files316[Avis Prog],"1-Favorable",Tableau317[''48''])</f>
        <v>0</v>
      </c>
      <c r="BB51" s="31">
        <f>SUMIF(Tableau317[Avis],"1-Favorable",Tableau317[''48''])</f>
        <v>0</v>
      </c>
      <c r="BG51" s="31">
        <f>SUMIF(Tableau317[Avis],"0",Tableau317[''48''])</f>
        <v>0</v>
      </c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</row>
    <row r="52" spans="51:112" x14ac:dyDescent="0.25">
      <c r="AY52" s="34" t="s">
        <v>36</v>
      </c>
      <c r="AZ52" s="46">
        <f>SUMIF(Tableau_Lancer_la_requête_à_partir_de_Excel_Files316[Avis Prog],"1-Favorable",Tableau317[''58''])</f>
        <v>0</v>
      </c>
      <c r="BB52" s="31">
        <f>SUMIF(Tableau317[Avis],"1-Favorable",Tableau317[''58''])</f>
        <v>0</v>
      </c>
      <c r="BG52" s="31">
        <f>SUMIF(Tableau317[Avis],"0",Tableau317[''58''])</f>
        <v>0</v>
      </c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</row>
    <row r="53" spans="51:112" x14ac:dyDescent="0.25">
      <c r="AY53" s="34" t="s">
        <v>37</v>
      </c>
      <c r="AZ53" s="46">
        <f>SUMIF(Tableau_Lancer_la_requête_à_partir_de_Excel_Files316[Avis Prog],"1-Favorable",Tableau317[''63''])</f>
        <v>0</v>
      </c>
      <c r="BB53" s="31">
        <f>SUMIF(Tableau317[Avis],"1-Favorable",Tableau317[''63''])</f>
        <v>0</v>
      </c>
      <c r="BG53" s="31">
        <f>SUMIF(Tableau317[Avis],"0",Tableau317[''63''])</f>
        <v>0</v>
      </c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</row>
    <row r="54" spans="51:112" x14ac:dyDescent="0.25">
      <c r="AY54" s="34" t="s">
        <v>38</v>
      </c>
      <c r="AZ54" s="46">
        <f>SUMIF(Tableau_Lancer_la_requête_à_partir_de_Excel_Files316[Avis Prog],"1-Favorable",Tableau317[''69''])</f>
        <v>0</v>
      </c>
      <c r="BB54" s="31">
        <f>SUMIF(Tableau317[Avis],"1-Favorable",Tableau317[''69''])</f>
        <v>0</v>
      </c>
      <c r="BG54" s="31">
        <f>SUMIF(Tableau317[Avis],"0",Tableau317[''69''])</f>
        <v>0</v>
      </c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</row>
    <row r="55" spans="51:112" x14ac:dyDescent="0.25">
      <c r="AY55" s="34" t="s">
        <v>39</v>
      </c>
      <c r="AZ55" s="46">
        <f>SUMIF(Tableau_Lancer_la_requête_à_partir_de_Excel_Files316[Avis Prog],"1-Favorable",Tableau317[''71''])</f>
        <v>0</v>
      </c>
      <c r="BB55" s="31">
        <f>SUMIF(Tableau317[Avis],"1-Favorable",Tableau317[''71''])</f>
        <v>0</v>
      </c>
      <c r="BG55" s="31">
        <f>SUMIF(Tableau317[Avis],"0",Tableau317[''71''])</f>
        <v>0</v>
      </c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</row>
    <row r="56" spans="51:112" x14ac:dyDescent="0.25">
      <c r="AY56" s="34" t="s">
        <v>40</v>
      </c>
      <c r="AZ56" s="46">
        <f>SUMIF(Tableau_Lancer_la_requête_à_partir_de_Excel_Files316[Avis Prog],"1-Favorable",Tableau317[''81''])</f>
        <v>0</v>
      </c>
      <c r="BB56" s="31">
        <f>SUMIF(Tableau317[Avis],"1-Favorable",Tableau317[''81''])</f>
        <v>0</v>
      </c>
      <c r="BG56" s="31">
        <f>SUMIF(Tableau317[Avis],"0",Tableau317[''81''])</f>
        <v>0</v>
      </c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</row>
    <row r="57" spans="51:112" x14ac:dyDescent="0.25">
      <c r="AY57" s="34" t="s">
        <v>41</v>
      </c>
      <c r="AZ57" s="46">
        <f>SUMIF(Tableau_Lancer_la_requête_à_partir_de_Excel_Files316[Avis Prog],"1-Favorable",Tableau317[''82''])</f>
        <v>0</v>
      </c>
      <c r="BB57" s="31">
        <f>SUMIF(Tableau317[Avis],"1-Favorable",Tableau317[''82''])</f>
        <v>0</v>
      </c>
      <c r="BG57" s="31">
        <f>SUMIF(Tableau317[Avis],"0",Tableau317[''82''])</f>
        <v>0</v>
      </c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</row>
    <row r="58" spans="51:112" x14ac:dyDescent="0.25">
      <c r="AY58" s="34" t="s">
        <v>42</v>
      </c>
      <c r="AZ58" s="46">
        <f>SUMIF(Tableau_Lancer_la_requête_à_partir_de_Excel_Files316[Avis Prog],"1-Favorable",Tableau317[''87''])</f>
        <v>0</v>
      </c>
      <c r="BB58" s="31">
        <f>SUMIF(Tableau317[Avis],"1-Favorable",Tableau317[''87''])</f>
        <v>0</v>
      </c>
      <c r="BG58" s="31">
        <f>SUMIF(Tableau317[Avis],"0",Tableau317[''87''])</f>
        <v>0</v>
      </c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</row>
    <row r="59" spans="51:112" x14ac:dyDescent="0.25">
      <c r="AY59" s="34" t="s">
        <v>43</v>
      </c>
      <c r="AZ59" s="46">
        <f>SUMIF(Tableau_Lancer_la_requête_à_partir_de_Excel_Files316[Avis Prog],"1-Favorable",Tableau317[''89''])</f>
        <v>0</v>
      </c>
      <c r="BB59" s="31">
        <f>SUMIF(Tableau317[Avis],"1-Favorable",Tableau317[''89''])</f>
        <v>0</v>
      </c>
      <c r="BG59" s="31">
        <f>SUMIF(Tableau317[Avis],"0",Tableau317[''89''])</f>
        <v>0</v>
      </c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</row>
    <row r="60" spans="51:112" x14ac:dyDescent="0.25"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</row>
    <row r="61" spans="51:112" x14ac:dyDescent="0.25"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</row>
    <row r="62" spans="51:112" x14ac:dyDescent="0.25"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</row>
    <row r="63" spans="51:112" x14ac:dyDescent="0.25"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</row>
    <row r="64" spans="51:112" x14ac:dyDescent="0.25"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</row>
    <row r="65" spans="84:112" x14ac:dyDescent="0.25"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</row>
    <row r="66" spans="84:112" x14ac:dyDescent="0.25"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</row>
    <row r="67" spans="84:112" x14ac:dyDescent="0.25"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</row>
    <row r="68" spans="84:112" x14ac:dyDescent="0.25"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</row>
    <row r="69" spans="84:112" x14ac:dyDescent="0.25"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</row>
    <row r="70" spans="84:112" x14ac:dyDescent="0.25"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</row>
    <row r="71" spans="84:112" x14ac:dyDescent="0.25"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</row>
    <row r="72" spans="84:112" x14ac:dyDescent="0.25">
      <c r="CF72" s="35"/>
      <c r="CG72" s="35"/>
      <c r="CH72" s="35"/>
      <c r="CI72" s="35"/>
      <c r="CJ72" s="35"/>
      <c r="CK72" s="35"/>
      <c r="CL72" s="35"/>
      <c r="DB72" s="31"/>
      <c r="DC72" s="31"/>
      <c r="DD72" s="31"/>
      <c r="DE72" s="31"/>
      <c r="DF72" s="31"/>
      <c r="DG72" s="31"/>
      <c r="DH72" s="31"/>
    </row>
    <row r="73" spans="84:112" x14ac:dyDescent="0.25">
      <c r="CF73" s="35"/>
      <c r="CG73" s="35"/>
      <c r="CH73" s="35"/>
      <c r="CI73" s="35"/>
      <c r="CJ73" s="35"/>
      <c r="CK73" s="35"/>
      <c r="CL73" s="35"/>
      <c r="DB73" s="31"/>
      <c r="DC73" s="31"/>
      <c r="DD73" s="31"/>
      <c r="DE73" s="31"/>
      <c r="DF73" s="31"/>
      <c r="DG73" s="31"/>
      <c r="DH73" s="31"/>
    </row>
    <row r="74" spans="84:112" x14ac:dyDescent="0.25">
      <c r="CF74" s="35"/>
      <c r="CG74" s="35"/>
      <c r="CH74" s="35"/>
      <c r="CI74" s="35"/>
      <c r="CJ74" s="35"/>
      <c r="CK74" s="35"/>
      <c r="CL74" s="35"/>
      <c r="DB74" s="31"/>
      <c r="DC74" s="31"/>
      <c r="DD74" s="31"/>
      <c r="DE74" s="31"/>
      <c r="DF74" s="31"/>
      <c r="DG74" s="31"/>
      <c r="DH74" s="31"/>
    </row>
    <row r="75" spans="84:112" x14ac:dyDescent="0.25">
      <c r="CF75" s="35"/>
      <c r="CG75" s="35"/>
      <c r="CH75" s="35"/>
      <c r="CI75" s="35"/>
      <c r="CJ75" s="35"/>
      <c r="CK75" s="35"/>
      <c r="CL75" s="35"/>
      <c r="DB75" s="31"/>
      <c r="DC75" s="31"/>
      <c r="DD75" s="31"/>
      <c r="DE75" s="31"/>
      <c r="DF75" s="31"/>
      <c r="DG75" s="31"/>
      <c r="DH75" s="31"/>
    </row>
    <row r="76" spans="84:112" x14ac:dyDescent="0.25">
      <c r="CF76" s="35"/>
      <c r="CG76" s="35"/>
      <c r="CH76" s="35"/>
      <c r="CI76" s="35"/>
      <c r="CJ76" s="35"/>
      <c r="CK76" s="35"/>
      <c r="CL76" s="35"/>
      <c r="DB76" s="31"/>
      <c r="DC76" s="31"/>
      <c r="DD76" s="31"/>
      <c r="DE76" s="31"/>
      <c r="DF76" s="31"/>
      <c r="DG76" s="31"/>
      <c r="DH76" s="31"/>
    </row>
    <row r="77" spans="84:112" x14ac:dyDescent="0.25">
      <c r="CF77" s="35"/>
      <c r="CG77" s="35"/>
      <c r="CH77" s="35"/>
      <c r="CI77" s="35"/>
      <c r="CJ77" s="35"/>
      <c r="CK77" s="35"/>
      <c r="CL77" s="35"/>
      <c r="DB77" s="31"/>
      <c r="DC77" s="31"/>
      <c r="DD77" s="31"/>
      <c r="DE77" s="31"/>
      <c r="DF77" s="31"/>
      <c r="DG77" s="31"/>
      <c r="DH77" s="31"/>
    </row>
    <row r="78" spans="84:112" x14ac:dyDescent="0.25">
      <c r="CF78" s="35"/>
      <c r="CG78" s="35"/>
      <c r="CH78" s="35"/>
      <c r="CI78" s="35"/>
      <c r="CJ78" s="35"/>
      <c r="CK78" s="35"/>
      <c r="CL78" s="35"/>
      <c r="DB78" s="31"/>
      <c r="DC78" s="31"/>
      <c r="DD78" s="31"/>
      <c r="DE78" s="31"/>
      <c r="DF78" s="31"/>
      <c r="DG78" s="31"/>
      <c r="DH78" s="31"/>
    </row>
    <row r="79" spans="84:112" x14ac:dyDescent="0.25">
      <c r="CF79" s="35"/>
      <c r="CG79" s="35"/>
      <c r="CH79" s="35"/>
      <c r="CI79" s="35"/>
      <c r="CJ79" s="35"/>
      <c r="CK79" s="35"/>
      <c r="CL79" s="35"/>
      <c r="DB79" s="31"/>
      <c r="DC79" s="31"/>
      <c r="DD79" s="31"/>
      <c r="DE79" s="31"/>
      <c r="DF79" s="31"/>
      <c r="DG79" s="31"/>
      <c r="DH79" s="31"/>
    </row>
    <row r="80" spans="84:112" x14ac:dyDescent="0.25">
      <c r="CF80" s="35"/>
      <c r="CG80" s="35"/>
      <c r="CH80" s="35"/>
      <c r="CI80" s="35"/>
      <c r="CJ80" s="35"/>
      <c r="CK80" s="35"/>
      <c r="CL80" s="35"/>
      <c r="DB80" s="31"/>
      <c r="DC80" s="31"/>
      <c r="DD80" s="31"/>
      <c r="DE80" s="31"/>
      <c r="DF80" s="31"/>
      <c r="DG80" s="31"/>
      <c r="DH80" s="31"/>
    </row>
    <row r="81" spans="84:112" x14ac:dyDescent="0.25">
      <c r="CF81" s="35"/>
      <c r="CG81" s="35"/>
      <c r="CH81" s="35"/>
      <c r="CI81" s="35"/>
      <c r="CJ81" s="35"/>
      <c r="CK81" s="35"/>
      <c r="CL81" s="35"/>
      <c r="DB81" s="31"/>
      <c r="DC81" s="31"/>
      <c r="DD81" s="31"/>
      <c r="DE81" s="31"/>
      <c r="DF81" s="31"/>
      <c r="DG81" s="31"/>
      <c r="DH81" s="31"/>
    </row>
    <row r="82" spans="84:112" x14ac:dyDescent="0.25">
      <c r="CF82" s="35"/>
      <c r="CG82" s="35"/>
      <c r="CH82" s="35"/>
      <c r="CI82" s="35"/>
      <c r="CJ82" s="35"/>
      <c r="CK82" s="35"/>
      <c r="CL82" s="35"/>
      <c r="DB82" s="31"/>
      <c r="DC82" s="31"/>
      <c r="DD82" s="31"/>
      <c r="DE82" s="31"/>
      <c r="DF82" s="31"/>
      <c r="DG82" s="31"/>
      <c r="DH82" s="31"/>
    </row>
    <row r="83" spans="84:112" x14ac:dyDescent="0.25">
      <c r="CF83" s="35"/>
      <c r="CG83" s="35"/>
      <c r="CH83" s="35"/>
      <c r="CI83" s="35"/>
      <c r="CJ83" s="35"/>
      <c r="CK83" s="35"/>
      <c r="CL83" s="35"/>
      <c r="DB83" s="31"/>
      <c r="DC83" s="31"/>
      <c r="DD83" s="31"/>
      <c r="DE83" s="31"/>
      <c r="DF83" s="31"/>
      <c r="DG83" s="31"/>
      <c r="DH83" s="31"/>
    </row>
    <row r="84" spans="84:112" x14ac:dyDescent="0.25">
      <c r="CF84" s="35"/>
      <c r="CG84" s="35"/>
      <c r="CH84" s="35"/>
      <c r="CI84" s="35"/>
      <c r="CJ84" s="35"/>
      <c r="CK84" s="35"/>
      <c r="CL84" s="35"/>
      <c r="DB84" s="31"/>
      <c r="DC84" s="31"/>
      <c r="DD84" s="31"/>
      <c r="DE84" s="31"/>
      <c r="DF84" s="31"/>
      <c r="DG84" s="31"/>
      <c r="DH84" s="31"/>
    </row>
    <row r="85" spans="84:112" x14ac:dyDescent="0.25">
      <c r="CF85" s="35"/>
      <c r="CG85" s="35"/>
      <c r="CH85" s="35"/>
      <c r="CI85" s="35"/>
      <c r="CJ85" s="35"/>
      <c r="CK85" s="35"/>
      <c r="CL85" s="35"/>
      <c r="DB85" s="31"/>
      <c r="DC85" s="31"/>
      <c r="DD85" s="31"/>
      <c r="DE85" s="31"/>
      <c r="DF85" s="31"/>
      <c r="DG85" s="31"/>
      <c r="DH85" s="31"/>
    </row>
    <row r="86" spans="84:112" x14ac:dyDescent="0.25">
      <c r="CF86" s="35"/>
      <c r="CG86" s="35"/>
      <c r="CH86" s="35"/>
      <c r="CI86" s="35"/>
      <c r="CJ86" s="35"/>
      <c r="CK86" s="35"/>
      <c r="CL86" s="35"/>
      <c r="DB86" s="31"/>
      <c r="DC86" s="31"/>
      <c r="DD86" s="31"/>
      <c r="DE86" s="31"/>
      <c r="DF86" s="31"/>
      <c r="DG86" s="31"/>
      <c r="DH86" s="31"/>
    </row>
    <row r="87" spans="84:112" x14ac:dyDescent="0.25">
      <c r="CF87" s="35"/>
      <c r="CG87" s="35"/>
      <c r="CH87" s="35"/>
      <c r="CI87" s="35"/>
      <c r="CJ87" s="35"/>
      <c r="CK87" s="35"/>
      <c r="CL87" s="35"/>
      <c r="DB87" s="31"/>
      <c r="DC87" s="31"/>
      <c r="DD87" s="31"/>
      <c r="DE87" s="31"/>
      <c r="DF87" s="31"/>
      <c r="DG87" s="31"/>
      <c r="DH87" s="31"/>
    </row>
    <row r="88" spans="84:112" x14ac:dyDescent="0.25">
      <c r="CF88" s="35"/>
      <c r="CG88" s="35"/>
      <c r="CH88" s="35"/>
      <c r="CI88" s="35"/>
      <c r="CJ88" s="35"/>
      <c r="CK88" s="35"/>
      <c r="CL88" s="35"/>
      <c r="DB88" s="31"/>
      <c r="DC88" s="31"/>
      <c r="DD88" s="31"/>
      <c r="DE88" s="31"/>
      <c r="DF88" s="31"/>
      <c r="DG88" s="31"/>
      <c r="DH88" s="31"/>
    </row>
    <row r="89" spans="84:112" x14ac:dyDescent="0.25">
      <c r="CF89" s="35"/>
      <c r="CG89" s="35"/>
      <c r="CH89" s="35"/>
      <c r="CI89" s="35"/>
      <c r="CJ89" s="35"/>
      <c r="CK89" s="35"/>
      <c r="CL89" s="35"/>
      <c r="DB89" s="31"/>
      <c r="DC89" s="31"/>
      <c r="DD89" s="31"/>
      <c r="DE89" s="31"/>
      <c r="DF89" s="31"/>
      <c r="DG89" s="31"/>
      <c r="DH89" s="31"/>
    </row>
    <row r="90" spans="84:112" x14ac:dyDescent="0.25">
      <c r="CF90" s="35"/>
      <c r="CG90" s="35"/>
      <c r="CH90" s="35"/>
      <c r="CI90" s="35"/>
      <c r="CJ90" s="35"/>
      <c r="CK90" s="35"/>
      <c r="CL90" s="35"/>
      <c r="DB90" s="31"/>
      <c r="DC90" s="31"/>
      <c r="DD90" s="31"/>
      <c r="DE90" s="31"/>
      <c r="DF90" s="31"/>
      <c r="DG90" s="31"/>
      <c r="DH90" s="31"/>
    </row>
    <row r="91" spans="84:112" x14ac:dyDescent="0.25">
      <c r="CF91" s="35"/>
      <c r="CG91" s="35"/>
      <c r="CH91" s="35"/>
      <c r="CI91" s="35"/>
      <c r="CJ91" s="35"/>
      <c r="CK91" s="35"/>
      <c r="CL91" s="35"/>
      <c r="DB91" s="31"/>
      <c r="DC91" s="31"/>
      <c r="DD91" s="31"/>
      <c r="DE91" s="31"/>
      <c r="DF91" s="31"/>
      <c r="DG91" s="31"/>
      <c r="DH91" s="31"/>
    </row>
    <row r="92" spans="84:112" x14ac:dyDescent="0.25">
      <c r="CF92" s="35"/>
      <c r="CG92" s="35"/>
      <c r="CH92" s="35"/>
      <c r="CI92" s="35"/>
      <c r="CJ92" s="35"/>
      <c r="CK92" s="35"/>
      <c r="CL92" s="35"/>
      <c r="DB92" s="31"/>
      <c r="DC92" s="31"/>
      <c r="DD92" s="31"/>
      <c r="DE92" s="31"/>
      <c r="DF92" s="31"/>
      <c r="DG92" s="31"/>
      <c r="DH92" s="31"/>
    </row>
  </sheetData>
  <conditionalFormatting sqref="I9:I1048576">
    <cfRule type="cellIs" dxfId="175" priority="13" operator="greaterThan">
      <formula>0</formula>
    </cfRule>
    <cfRule type="cellIs" dxfId="174" priority="14" operator="lessThan">
      <formula>0</formula>
    </cfRule>
  </conditionalFormatting>
  <conditionalFormatting sqref="AT7">
    <cfRule type="cellIs" dxfId="173" priority="9" operator="equal">
      <formula>"6-Retiré/Abandon"</formula>
    </cfRule>
    <cfRule type="cellIs" dxfId="172" priority="10" operator="equal">
      <formula>"5-Défavorable"</formula>
    </cfRule>
    <cfRule type="cellIs" dxfId="171" priority="11" operator="equal">
      <formula>"4-Ajournement"</formula>
    </cfRule>
    <cfRule type="cellIs" dxfId="170" priority="12" operator="equal">
      <formula>"1-Favorable"</formula>
    </cfRule>
  </conditionalFormatting>
  <conditionalFormatting sqref="AV7">
    <cfRule type="cellIs" dxfId="169" priority="1" operator="equal">
      <formula>"6-Retiré/Abandon"</formula>
    </cfRule>
    <cfRule type="cellIs" dxfId="168" priority="2" operator="equal">
      <formula>"5-Défavorable"</formula>
    </cfRule>
    <cfRule type="cellIs" dxfId="167" priority="3" operator="equal">
      <formula>"4-Ajournement"</formula>
    </cfRule>
    <cfRule type="cellIs" dxfId="166" priority="4" operator="equal">
      <formula>"1-Favorable"</formula>
    </cfRule>
  </conditionalFormatting>
  <dataValidations count="1">
    <dataValidation type="list" allowBlank="1" showInputMessage="1" showErrorMessage="1" sqref="AT7">
      <formula1>"1-Favorable,4-Ajournement,5-Défavorable,6-Retiré/Abandon"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63" fitToHeight="0" orientation="landscape" r:id="rId1"/>
  <drawing r:id="rId2"/>
  <tableParts count="2"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7"/>
  <sheetViews>
    <sheetView tabSelected="1" workbookViewId="0">
      <selection activeCell="H64" sqref="H64"/>
    </sheetView>
  </sheetViews>
  <sheetFormatPr baseColWidth="10" defaultRowHeight="15" outlineLevelRow="1" x14ac:dyDescent="0.25"/>
  <cols>
    <col min="3" max="3" width="13.7109375" bestFit="1" customWidth="1"/>
    <col min="4" max="4" width="12.140625" bestFit="1" customWidth="1"/>
    <col min="11" max="11" width="18.7109375" bestFit="1" customWidth="1"/>
    <col min="12" max="12" width="33.140625" customWidth="1"/>
    <col min="13" max="17" width="11.42578125" customWidth="1"/>
  </cols>
  <sheetData>
    <row r="5" spans="1:12" x14ac:dyDescent="0.25">
      <c r="A5" s="181" t="s">
        <v>75</v>
      </c>
      <c r="B5" s="181"/>
      <c r="C5" s="181"/>
      <c r="D5" s="1" t="s">
        <v>80</v>
      </c>
      <c r="K5" s="166"/>
      <c r="L5" s="167">
        <v>42696</v>
      </c>
    </row>
    <row r="6" spans="1:12" ht="21" x14ac:dyDescent="0.35">
      <c r="C6" t="s">
        <v>8</v>
      </c>
      <c r="D6" s="14">
        <f>SUM(D14,D9,D8,D7)</f>
        <v>1718176.3200000003</v>
      </c>
      <c r="K6" s="168" t="s">
        <v>8</v>
      </c>
      <c r="L6" s="170">
        <f>SUM(L14,L9,L8,L7)</f>
        <v>1811281.4204800001</v>
      </c>
    </row>
    <row r="7" spans="1:12" ht="21" x14ac:dyDescent="0.35">
      <c r="C7" t="s">
        <v>57</v>
      </c>
      <c r="D7" s="14">
        <f>Bois!F21+'Reprog (en cours)'!BG31+Pierre!F19+Attractivité!F23+Biodiversité!F29+Agriculture!F31+Tourisme!F24+'AT-Ing Terr'!F23+Itinérance!F54</f>
        <v>588174.38</v>
      </c>
      <c r="K7" s="168" t="s">
        <v>57</v>
      </c>
      <c r="L7" s="170">
        <f>Bois!E21+'Reprog (en cours)'!BB31+Pierre!E19+Attractivité!E23+Biodiversité!E29+Agriculture!E31+Tourisme!E24+'AT-Ing Terr'!E23+Itinérance!E54</f>
        <v>683408.07047999999</v>
      </c>
    </row>
    <row r="8" spans="1:12" ht="21" x14ac:dyDescent="0.35">
      <c r="C8" t="s">
        <v>46</v>
      </c>
      <c r="D8" s="14">
        <f>Bois!F22+'Reprog (en cours)'!BG32+Pierre!F20+Attractivité!F24+Biodiversité!F30+Agriculture!F32+Tourisme!F25+'AT-Ing Terr'!F24+Itinérance!F55</f>
        <v>708600.94000000018</v>
      </c>
      <c r="K8" s="168" t="s">
        <v>46</v>
      </c>
      <c r="L8" s="170">
        <f>Bois!E22+'Reprog (en cours)'!BB32+Pierre!E20+Attractivité!E24+Biodiversité!E30+Agriculture!E32+Tourisme!E25+'AT-Ing Terr'!E24+Itinérance!E55</f>
        <v>636088.45000000007</v>
      </c>
    </row>
    <row r="9" spans="1:12" ht="21" x14ac:dyDescent="0.35">
      <c r="C9" t="s">
        <v>47</v>
      </c>
      <c r="D9" s="14">
        <f>Bois!F23+'Reprog (en cours)'!BG33+Pierre!F21+Attractivité!F25+Biodiversité!F31+Agriculture!F33+Tourisme!F26+'AT-Ing Terr'!F25+Itinérance!F56</f>
        <v>308817</v>
      </c>
      <c r="K9" s="168" t="s">
        <v>47</v>
      </c>
      <c r="L9" s="170">
        <f>Bois!E23+'Reprog (en cours)'!BB33+Pierre!E21+Attractivité!E25+Biodiversité!E31+Agriculture!E33+Tourisme!E26+'AT-Ing Terr'!E25+Itinérance!E56</f>
        <v>379200.9</v>
      </c>
    </row>
    <row r="10" spans="1:12" ht="21" hidden="1" outlineLevel="1" x14ac:dyDescent="0.35">
      <c r="C10" s="18" t="s">
        <v>58</v>
      </c>
      <c r="D10" s="19">
        <f>Bois!F24+'Reprog (en cours)'!BG34+Pierre!F22+Attractivité!F26+Biodiversité!F32+Agriculture!F34+Tourisme!F27+'AT-Ing Terr'!F26</f>
        <v>0</v>
      </c>
      <c r="K10" s="169" t="s">
        <v>58</v>
      </c>
      <c r="L10" s="171">
        <f>Bois!E24+'Reprog (en cours)'!BB34+Pierre!E22+Attractivité!E26+Biodiversité!E32+Agriculture!E34+Tourisme!E27+'AT-Ing Terr'!E26</f>
        <v>0</v>
      </c>
    </row>
    <row r="11" spans="1:12" ht="21" hidden="1" outlineLevel="1" x14ac:dyDescent="0.35">
      <c r="C11" s="18" t="s">
        <v>59</v>
      </c>
      <c r="D11" s="19">
        <f>Bois!F25+'Reprog (en cours)'!BG35+Pierre!F23+Attractivité!F27+Biodiversité!F33+Agriculture!F35+Tourisme!F28+'AT-Ing Terr'!F27</f>
        <v>95258</v>
      </c>
      <c r="K11" s="169" t="s">
        <v>59</v>
      </c>
      <c r="L11" s="171">
        <f>Bois!E25+'Reprog (en cours)'!BB35+Pierre!E23+Attractivité!E27+Biodiversité!E33+Agriculture!E35+Tourisme!E28+'AT-Ing Terr'!E27</f>
        <v>97971.5</v>
      </c>
    </row>
    <row r="12" spans="1:12" ht="21" hidden="1" outlineLevel="1" x14ac:dyDescent="0.35">
      <c r="C12" s="18" t="s">
        <v>60</v>
      </c>
      <c r="D12" s="19">
        <f>Bois!F26+'Reprog (en cours)'!BG36+Pierre!F24+Attractivité!F28+Biodiversité!F34+Agriculture!F36+Tourisme!F29+'AT-Ing Terr'!F28</f>
        <v>0</v>
      </c>
      <c r="K12" s="169" t="s">
        <v>60</v>
      </c>
      <c r="L12" s="171">
        <f>Bois!E26+'Reprog (en cours)'!BB36+Pierre!E24+Attractivité!E28+Biodiversité!E34+Agriculture!E36+Tourisme!E29+'AT-Ing Terr'!E28</f>
        <v>67670.399999999994</v>
      </c>
    </row>
    <row r="13" spans="1:12" ht="21" hidden="1" outlineLevel="1" x14ac:dyDescent="0.35">
      <c r="C13" s="18" t="s">
        <v>61</v>
      </c>
      <c r="D13" s="19">
        <f>Bois!F27+'Reprog (en cours)'!BG37+Pierre!F25+Attractivité!F29+Biodiversité!F35+Agriculture!F37+Tourisme!F30+'AT-Ing Terr'!F29</f>
        <v>5000</v>
      </c>
      <c r="K13" s="169" t="s">
        <v>61</v>
      </c>
      <c r="L13" s="171">
        <f>Bois!E27+'Reprog (en cours)'!BB37+Pierre!E25+Attractivité!E29+Biodiversité!E35+Agriculture!E37+Tourisme!E30+'AT-Ing Terr'!E29</f>
        <v>5000</v>
      </c>
    </row>
    <row r="14" spans="1:12" ht="21" collapsed="1" x14ac:dyDescent="0.35">
      <c r="C14" t="s">
        <v>48</v>
      </c>
      <c r="D14" s="14">
        <f>Bois!F28+'Reprog (en cours)'!BG38+Pierre!F26+Attractivité!F30+Biodiversité!F36+Agriculture!F38+Tourisme!F31+'AT-Ing Terr'!F30+Itinérance!F61</f>
        <v>112584</v>
      </c>
      <c r="K14" s="168" t="s">
        <v>48</v>
      </c>
      <c r="L14" s="170">
        <f>Bois!E28+'Reprog (en cours)'!BB38+Pierre!E26+Attractivité!E30+Biodiversité!E36+Agriculture!E38+Tourisme!E31+'AT-Ing Terr'!E30+Itinérance!E61</f>
        <v>112584</v>
      </c>
    </row>
    <row r="15" spans="1:12" hidden="1" outlineLevel="1" x14ac:dyDescent="0.25">
      <c r="C15" s="18" t="s">
        <v>22</v>
      </c>
      <c r="D15" s="19">
        <f>Bois!E29+'Reprog (en cours)'!BG39+Pierre!E27+Attractivité!E31+Biodiversité!E37+Agriculture!E39+Tourisme!E32+'AT-Ing Terr'!E31</f>
        <v>3976</v>
      </c>
      <c r="K15" s="18" t="s">
        <v>22</v>
      </c>
      <c r="L15" s="14">
        <f>Bois!E29+'Reprog (en cours)'!BB39+Pierre!E27+Attractivité!E31+Biodiversité!E37+Agriculture!E39+Tourisme!E32+'AT-Ing Terr'!E31</f>
        <v>3976</v>
      </c>
    </row>
    <row r="16" spans="1:12" hidden="1" outlineLevel="1" x14ac:dyDescent="0.25">
      <c r="C16" s="18" t="s">
        <v>23</v>
      </c>
      <c r="D16" s="19" t="e">
        <f>Bois!E30+'Reprog (en cours)'!#REF!+Pierre!E28+Attractivité!E32+Biodiversité!E38+Agriculture!E40+Tourisme!E33+'AT-Ing Terr'!E32</f>
        <v>#REF!</v>
      </c>
      <c r="K16" s="18" t="s">
        <v>23</v>
      </c>
      <c r="L16" s="14" t="e">
        <f>Bois!E30+'Reprog (en cours)'!#REF!+Pierre!E28+Attractivité!E32+Biodiversité!E38+Agriculture!E40+Tourisme!E33+'AT-Ing Terr'!E32</f>
        <v>#REF!</v>
      </c>
    </row>
    <row r="17" spans="3:12" hidden="1" outlineLevel="1" x14ac:dyDescent="0.25">
      <c r="C17" s="18" t="s">
        <v>24</v>
      </c>
      <c r="D17" s="19">
        <f>Bois!E31+'Reprog (en cours)'!BG40+Pierre!E29+Attractivité!E33+Biodiversité!E39+Agriculture!E41+Tourisme!E34+'AT-Ing Terr'!E33</f>
        <v>0</v>
      </c>
      <c r="K17" s="18" t="s">
        <v>24</v>
      </c>
      <c r="L17" s="14">
        <f>Bois!E31+'Reprog (en cours)'!BB40+Pierre!E29+Attractivité!E33+Biodiversité!E39+Agriculture!E41+Tourisme!E34+'AT-Ing Terr'!E33</f>
        <v>0</v>
      </c>
    </row>
    <row r="18" spans="3:12" hidden="1" outlineLevel="1" x14ac:dyDescent="0.25">
      <c r="C18" s="18" t="s">
        <v>25</v>
      </c>
      <c r="D18" s="19">
        <f>Bois!E32+'Reprog (en cours)'!BG41+Pierre!E30+Attractivité!E34+Biodiversité!E40+Agriculture!E42+Tourisme!E35+'AT-Ing Terr'!E34</f>
        <v>2272</v>
      </c>
      <c r="K18" s="18" t="s">
        <v>25</v>
      </c>
      <c r="L18" s="14">
        <f>Bois!E32+'Reprog (en cours)'!BB41+Pierre!E30+Attractivité!E34+Biodiversité!E40+Agriculture!E42+Tourisme!E35+'AT-Ing Terr'!E34</f>
        <v>2272</v>
      </c>
    </row>
    <row r="19" spans="3:12" hidden="1" outlineLevel="1" x14ac:dyDescent="0.25">
      <c r="C19" s="18" t="s">
        <v>26</v>
      </c>
      <c r="D19" s="19">
        <f>Bois!E33+'Reprog (en cours)'!BG42+Pierre!E31+Attractivité!E35+Biodiversité!E41+Agriculture!E43+Tourisme!E36+'AT-Ing Terr'!E35</f>
        <v>3090</v>
      </c>
      <c r="K19" s="18" t="s">
        <v>26</v>
      </c>
      <c r="L19" s="14">
        <f>Bois!E33+'Reprog (en cours)'!BB42+Pierre!E31+Attractivité!E35+Biodiversité!E41+Agriculture!E43+Tourisme!E36+'AT-Ing Terr'!E35</f>
        <v>3090</v>
      </c>
    </row>
    <row r="20" spans="3:12" hidden="1" outlineLevel="1" x14ac:dyDescent="0.25">
      <c r="C20" s="18" t="s">
        <v>27</v>
      </c>
      <c r="D20" s="19">
        <f>Bois!E34+'Reprog (en cours)'!BG43+Pierre!E32+Attractivité!E36+Biodiversité!E42+Agriculture!E44+Tourisme!E37+'AT-Ing Terr'!E36</f>
        <v>9000</v>
      </c>
      <c r="K20" s="18" t="s">
        <v>27</v>
      </c>
      <c r="L20" s="14">
        <f>Bois!E34+'Reprog (en cours)'!BB43+Pierre!E32+Attractivité!E36+Biodiversité!E42+Agriculture!E44+Tourisme!E37+'AT-Ing Terr'!E36</f>
        <v>9000</v>
      </c>
    </row>
    <row r="21" spans="3:12" hidden="1" outlineLevel="1" x14ac:dyDescent="0.25">
      <c r="C21" s="18" t="s">
        <v>28</v>
      </c>
      <c r="D21" s="19">
        <f>Bois!E35+'Reprog (en cours)'!BG44+Pierre!E33+Attractivité!E37+Biodiversité!E43+Agriculture!E45+Tourisme!E38+'AT-Ing Terr'!E37</f>
        <v>0</v>
      </c>
      <c r="K21" s="18" t="s">
        <v>28</v>
      </c>
      <c r="L21" s="14">
        <f>Bois!E35+'Reprog (en cours)'!BB44+Pierre!E33+Attractivité!E37+Biodiversité!E43+Agriculture!E45+Tourisme!E38+'AT-Ing Terr'!E37</f>
        <v>0</v>
      </c>
    </row>
    <row r="22" spans="3:12" hidden="1" outlineLevel="1" x14ac:dyDescent="0.25">
      <c r="C22" s="18" t="s">
        <v>29</v>
      </c>
      <c r="D22" s="19">
        <f>Bois!E36+'Reprog (en cours)'!BG45+Pierre!E34+Attractivité!E38+Biodiversité!E44+Agriculture!E46+Tourisme!E39+'AT-Ing Terr'!E38</f>
        <v>6878</v>
      </c>
      <c r="K22" s="18" t="s">
        <v>29</v>
      </c>
      <c r="L22" s="14">
        <f>Bois!E36+'Reprog (en cours)'!BB45+Pierre!E34+Attractivité!E38+Biodiversité!E44+Agriculture!E46+Tourisme!E39+'AT-Ing Terr'!E38</f>
        <v>6878</v>
      </c>
    </row>
    <row r="23" spans="3:12" hidden="1" outlineLevel="1" x14ac:dyDescent="0.25">
      <c r="C23" s="18" t="s">
        <v>30</v>
      </c>
      <c r="D23" s="19">
        <f>Bois!E37+'Reprog (en cours)'!BG46+Pierre!E35+Attractivité!E39+Biodiversité!E45+Agriculture!E47+Tourisme!E40+'AT-Ing Terr'!E39</f>
        <v>0</v>
      </c>
      <c r="K23" s="18" t="s">
        <v>30</v>
      </c>
      <c r="L23" s="14">
        <f>Bois!E37+'Reprog (en cours)'!BB46+Pierre!E35+Attractivité!E39+Biodiversité!E45+Agriculture!E47+Tourisme!E40+'AT-Ing Terr'!E39</f>
        <v>0</v>
      </c>
    </row>
    <row r="24" spans="3:12" hidden="1" outlineLevel="1" x14ac:dyDescent="0.25">
      <c r="C24" s="18" t="s">
        <v>31</v>
      </c>
      <c r="D24" s="19">
        <f>Bois!E38+'Reprog (en cours)'!BG47+Pierre!E36+Attractivité!E40+Biodiversité!E46+Agriculture!E48+Tourisme!E41+'AT-Ing Terr'!E40</f>
        <v>4590</v>
      </c>
      <c r="K24" s="18" t="s">
        <v>31</v>
      </c>
      <c r="L24" s="14">
        <f>Bois!E38+'Reprog (en cours)'!BB47+Pierre!E36+Attractivité!E40+Biodiversité!E46+Agriculture!E48+Tourisme!E41+'AT-Ing Terr'!E40</f>
        <v>4590</v>
      </c>
    </row>
    <row r="25" spans="3:12" hidden="1" outlineLevel="1" x14ac:dyDescent="0.25">
      <c r="C25" s="18" t="s">
        <v>32</v>
      </c>
      <c r="D25" s="19">
        <f>Bois!E39+'Reprog (en cours)'!BG48+Pierre!E37+Attractivité!E41+Biodiversité!E47+Agriculture!E49+Tourisme!E42+'AT-Ing Terr'!E41</f>
        <v>0</v>
      </c>
      <c r="K25" s="18" t="s">
        <v>32</v>
      </c>
      <c r="L25" s="14">
        <f>Bois!E39+'Reprog (en cours)'!BB48+Pierre!E37+Attractivité!E41+Biodiversité!E47+Agriculture!E49+Tourisme!E42+'AT-Ing Terr'!E41</f>
        <v>0</v>
      </c>
    </row>
    <row r="26" spans="3:12" hidden="1" outlineLevel="1" x14ac:dyDescent="0.25">
      <c r="C26" s="18" t="s">
        <v>33</v>
      </c>
      <c r="D26" s="19">
        <f>Bois!E40+'Reprog (en cours)'!BG49+Pierre!E38+Attractivité!E42+Biodiversité!E48+Agriculture!E50+Tourisme!E43+'AT-Ing Terr'!E42</f>
        <v>0</v>
      </c>
      <c r="K26" s="18" t="s">
        <v>33</v>
      </c>
      <c r="L26" s="14">
        <f>Bois!E40+'Reprog (en cours)'!BB49+Pierre!E38+Attractivité!E42+Biodiversité!E48+Agriculture!E50+Tourisme!E43+'AT-Ing Terr'!E42</f>
        <v>0</v>
      </c>
    </row>
    <row r="27" spans="3:12" hidden="1" outlineLevel="1" x14ac:dyDescent="0.25">
      <c r="C27" s="18" t="s">
        <v>34</v>
      </c>
      <c r="D27" s="19">
        <f>Bois!E41+'Reprog (en cours)'!BG50+Pierre!E39+Attractivité!E43+Biodiversité!E49+Agriculture!E51+Tourisme!E44+'AT-Ing Terr'!E43</f>
        <v>0</v>
      </c>
      <c r="K27" s="18" t="s">
        <v>34</v>
      </c>
      <c r="L27" s="14">
        <f>Bois!E41+'Reprog (en cours)'!BB50+Pierre!E39+Attractivité!E43+Biodiversité!E49+Agriculture!E51+Tourisme!E44+'AT-Ing Terr'!E43</f>
        <v>0</v>
      </c>
    </row>
    <row r="28" spans="3:12" hidden="1" outlineLevel="1" x14ac:dyDescent="0.25">
      <c r="C28" s="18" t="s">
        <v>35</v>
      </c>
      <c r="D28" s="19">
        <f>Bois!E42+'Reprog (en cours)'!BG51+Pierre!E40+Attractivité!E44+Biodiversité!E50+Agriculture!E52+Tourisme!E45+'AT-Ing Terr'!E44</f>
        <v>5272</v>
      </c>
      <c r="K28" s="18" t="s">
        <v>35</v>
      </c>
      <c r="L28" s="14">
        <f>Bois!E42+'Reprog (en cours)'!BB51+Pierre!E40+Attractivité!E44+Biodiversité!E50+Agriculture!E52+Tourisme!E45+'AT-Ing Terr'!E44</f>
        <v>5272</v>
      </c>
    </row>
    <row r="29" spans="3:12" hidden="1" outlineLevel="1" x14ac:dyDescent="0.25">
      <c r="C29" s="18" t="s">
        <v>36</v>
      </c>
      <c r="D29" s="19">
        <f>Bois!E43+'Reprog (en cours)'!BG52+Pierre!E41+Attractivité!E45+Biodiversité!E51+Agriculture!E53+Tourisme!E46+'AT-Ing Terr'!E45</f>
        <v>4535</v>
      </c>
      <c r="K29" s="18" t="s">
        <v>36</v>
      </c>
      <c r="L29" s="14">
        <f>Bois!E43+'Reprog (en cours)'!BB52+Pierre!E41+Attractivité!E45+Biodiversité!E51+Agriculture!E53+Tourisme!E46+'AT-Ing Terr'!E45</f>
        <v>4535</v>
      </c>
    </row>
    <row r="30" spans="3:12" hidden="1" outlineLevel="1" x14ac:dyDescent="0.25">
      <c r="C30" s="18" t="s">
        <v>37</v>
      </c>
      <c r="D30" s="19">
        <f>Bois!E44+'Reprog (en cours)'!BG53+Pierre!E42+Attractivité!E46+Biodiversité!E52+Agriculture!E54+Tourisme!E47+'AT-Ing Terr'!E46</f>
        <v>0</v>
      </c>
      <c r="K30" s="18" t="s">
        <v>37</v>
      </c>
      <c r="L30" s="14">
        <f>Bois!E44+'Reprog (en cours)'!BB53+Pierre!E42+Attractivité!E46+Biodiversité!E52+Agriculture!E54+Tourisme!E47+'AT-Ing Terr'!E46</f>
        <v>0</v>
      </c>
    </row>
    <row r="31" spans="3:12" hidden="1" outlineLevel="1" x14ac:dyDescent="0.25">
      <c r="C31" s="18" t="s">
        <v>38</v>
      </c>
      <c r="D31" s="19">
        <f>Bois!E45+'Reprog (en cours)'!BG54+Pierre!E43+Attractivité!E47+Biodiversité!E53+Agriculture!E55+Tourisme!E48+'AT-Ing Terr'!E47</f>
        <v>0</v>
      </c>
      <c r="K31" s="18" t="s">
        <v>38</v>
      </c>
      <c r="L31" s="14">
        <f>Bois!E45+'Reprog (en cours)'!BB54+Pierre!E43+Attractivité!E47+Biodiversité!E53+Agriculture!E55+Tourisme!E48+'AT-Ing Terr'!E47</f>
        <v>0</v>
      </c>
    </row>
    <row r="32" spans="3:12" hidden="1" outlineLevel="1" x14ac:dyDescent="0.25">
      <c r="C32" s="18" t="s">
        <v>39</v>
      </c>
      <c r="D32" s="19">
        <f>Bois!E46+'Reprog (en cours)'!BG55+Pierre!E44+Attractivité!E48+Biodiversité!E54+Agriculture!E56+Tourisme!E49+'AT-Ing Terr'!E48</f>
        <v>10035</v>
      </c>
      <c r="K32" s="18" t="s">
        <v>39</v>
      </c>
      <c r="L32" s="14">
        <f>Bois!E46+'Reprog (en cours)'!BB55+Pierre!E44+Attractivité!E48+Biodiversité!E54+Agriculture!E56+Tourisme!E49+'AT-Ing Terr'!E48</f>
        <v>10035</v>
      </c>
    </row>
    <row r="33" spans="3:12" hidden="1" outlineLevel="1" x14ac:dyDescent="0.25">
      <c r="C33" s="18" t="s">
        <v>40</v>
      </c>
      <c r="D33" s="19">
        <f>Bois!E47+'Reprog (en cours)'!BG56+Pierre!E45+Attractivité!E49+Biodiversité!E55+Agriculture!E57+Tourisme!E50+'AT-Ing Terr'!E49</f>
        <v>0</v>
      </c>
      <c r="K33" s="18" t="s">
        <v>40</v>
      </c>
      <c r="L33" s="14">
        <f>Bois!E47+'Reprog (en cours)'!BB56+Pierre!E45+Attractivité!E49+Biodiversité!E55+Agriculture!E57+Tourisme!E50+'AT-Ing Terr'!E49</f>
        <v>0</v>
      </c>
    </row>
    <row r="34" spans="3:12" hidden="1" outlineLevel="1" x14ac:dyDescent="0.25">
      <c r="C34" s="18" t="s">
        <v>41</v>
      </c>
      <c r="D34" s="19">
        <f>Bois!E48+'Reprog (en cours)'!BG57+Pierre!E46+Attractivité!E50+Biodiversité!E56+Agriculture!E58+Tourisme!E51+'AT-Ing Terr'!E50</f>
        <v>0</v>
      </c>
      <c r="K34" s="18" t="s">
        <v>41</v>
      </c>
      <c r="L34" s="14">
        <f>Bois!E48+'Reprog (en cours)'!BB57+Pierre!E46+Attractivité!E50+Biodiversité!E56+Agriculture!E58+Tourisme!E51+'AT-Ing Terr'!E50</f>
        <v>0</v>
      </c>
    </row>
    <row r="35" spans="3:12" hidden="1" outlineLevel="1" x14ac:dyDescent="0.25">
      <c r="C35" s="18" t="s">
        <v>42</v>
      </c>
      <c r="D35" s="19">
        <f>Bois!E49+'Reprog (en cours)'!BG58+Pierre!E47+Attractivité!E51+Biodiversité!E57+Agriculture!E59+Tourisme!E52+'AT-Ing Terr'!E51</f>
        <v>0</v>
      </c>
      <c r="K35" s="18" t="s">
        <v>42</v>
      </c>
      <c r="L35" s="14">
        <f>Bois!E49+'Reprog (en cours)'!BB58+Pierre!E47+Attractivité!E51+Biodiversité!E57+Agriculture!E59+Tourisme!E52+'AT-Ing Terr'!E51</f>
        <v>0</v>
      </c>
    </row>
    <row r="36" spans="3:12" hidden="1" outlineLevel="1" x14ac:dyDescent="0.25">
      <c r="C36" s="18" t="s">
        <v>43</v>
      </c>
      <c r="D36" s="19">
        <f>Bois!E50+'Reprog (en cours)'!BG59+Pierre!E48+Attractivité!E52+Biodiversité!E58+Agriculture!E60+Tourisme!E53+'AT-Ing Terr'!E52</f>
        <v>0</v>
      </c>
      <c r="K36" s="18" t="s">
        <v>43</v>
      </c>
      <c r="L36" s="14">
        <f>Bois!E50+'Reprog (en cours)'!BB59+Pierre!E48+Attractivité!E52+Biodiversité!E58+Agriculture!E60+Tourisme!E53+'AT-Ing Terr'!E52</f>
        <v>0</v>
      </c>
    </row>
    <row r="37" spans="3:12" collapsed="1" x14ac:dyDescent="0.25"/>
  </sheetData>
  <mergeCells count="1">
    <mergeCell ref="A5:C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4"/>
  <sheetViews>
    <sheetView zoomScale="60" zoomScaleNormal="60" zoomScaleSheetLayoutView="80" workbookViewId="0">
      <selection activeCell="AR10" sqref="AR10"/>
    </sheetView>
  </sheetViews>
  <sheetFormatPr baseColWidth="10" defaultRowHeight="15" outlineLevelCol="1" x14ac:dyDescent="0.25"/>
  <cols>
    <col min="1" max="1" width="13.85546875" style="3" customWidth="1"/>
    <col min="2" max="2" width="35" style="4" customWidth="1"/>
    <col min="3" max="3" width="48" style="5" customWidth="1"/>
    <col min="4" max="4" width="14.85546875" style="3" bestFit="1" customWidth="1"/>
    <col min="5" max="5" width="14" style="3" customWidth="1"/>
    <col min="6" max="6" width="12" style="6" customWidth="1"/>
    <col min="7" max="7" width="16" style="3" bestFit="1" customWidth="1"/>
    <col min="8" max="8" width="11.28515625" style="6" customWidth="1"/>
    <col min="9" max="9" width="13.85546875" style="3" bestFit="1" customWidth="1"/>
    <col min="10" max="10" width="15" style="3" bestFit="1" customWidth="1"/>
    <col min="11" max="11" width="11.5703125" style="3" hidden="1" customWidth="1" outlineLevel="1"/>
    <col min="12" max="12" width="16.5703125" style="3" hidden="1" customWidth="1" outlineLevel="1"/>
    <col min="13" max="13" width="13.7109375" style="3" bestFit="1" customWidth="1" collapsed="1"/>
    <col min="14" max="14" width="11.140625" style="3" hidden="1" customWidth="1" outlineLevel="1"/>
    <col min="15" max="16" width="13.140625" style="3" hidden="1" customWidth="1" outlineLevel="1"/>
    <col min="17" max="17" width="11.7109375" style="3" hidden="1" customWidth="1" outlineLevel="1"/>
    <col min="18" max="18" width="16.140625" style="3" bestFit="1" customWidth="1" collapsed="1"/>
    <col min="19" max="40" width="8.7109375" style="3" hidden="1" customWidth="1" outlineLevel="1"/>
    <col min="41" max="41" width="12.28515625" style="3" customWidth="1" collapsed="1"/>
    <col min="42" max="43" width="11.5703125" style="3" customWidth="1"/>
    <col min="44" max="44" width="15.42578125" style="3" bestFit="1" customWidth="1"/>
    <col min="45" max="45" width="15.42578125" style="3" hidden="1" customWidth="1"/>
    <col min="46" max="46" width="69" style="3" customWidth="1"/>
    <col min="47" max="47" width="15.42578125" style="3" bestFit="1" customWidth="1"/>
    <col min="48" max="48" width="17.28515625" style="3" bestFit="1" customWidth="1"/>
    <col min="49" max="49" width="9.42578125" style="3" customWidth="1"/>
    <col min="50" max="64" width="9.7109375" style="3" customWidth="1"/>
    <col min="65" max="65" width="15.140625" style="3" customWidth="1"/>
    <col min="66" max="66" width="14.5703125" style="3" customWidth="1"/>
    <col min="67" max="67" width="18.5703125" style="3" customWidth="1"/>
    <col min="68" max="68" width="12.5703125" style="3" customWidth="1"/>
    <col min="69" max="69" width="20.42578125" style="3" customWidth="1"/>
    <col min="70" max="70" width="12.7109375" style="3" customWidth="1"/>
    <col min="71" max="71" width="9.28515625" style="3" customWidth="1"/>
    <col min="72" max="72" width="14.28515625" style="3" customWidth="1"/>
    <col min="73" max="73" width="11.42578125" style="3" customWidth="1"/>
    <col min="74" max="74" width="9" style="3" customWidth="1"/>
    <col min="75" max="75" width="9.5703125" style="3" customWidth="1"/>
    <col min="76" max="76" width="11" style="3" customWidth="1"/>
    <col min="77" max="77" width="12.7109375" style="3" customWidth="1"/>
    <col min="78" max="80" width="9.7109375" style="3" customWidth="1"/>
    <col min="81" max="81" width="15.140625" style="3" customWidth="1"/>
    <col min="82" max="82" width="17.28515625" style="3" customWidth="1"/>
    <col min="83" max="83" width="49.28515625" style="4" customWidth="1"/>
    <col min="84" max="84" width="17.28515625" style="3" customWidth="1"/>
    <col min="85" max="16384" width="11.42578125" style="3"/>
  </cols>
  <sheetData>
    <row r="1" spans="1:83" ht="18.75" x14ac:dyDescent="0.3">
      <c r="B1" s="21" t="s">
        <v>75</v>
      </c>
      <c r="C1" s="22">
        <f>Itinérance!C1</f>
        <v>42696</v>
      </c>
    </row>
    <row r="5" spans="1:83" x14ac:dyDescent="0.25">
      <c r="A5" s="1" t="s">
        <v>72</v>
      </c>
      <c r="B5" s="2" t="s">
        <v>133</v>
      </c>
    </row>
    <row r="6" spans="1:83" s="7" customFormat="1" ht="45" x14ac:dyDescent="0.25">
      <c r="A6" s="89" t="s">
        <v>7</v>
      </c>
      <c r="B6" s="90" t="s">
        <v>1</v>
      </c>
      <c r="C6" s="90" t="s">
        <v>2</v>
      </c>
      <c r="D6" s="90" t="s">
        <v>52</v>
      </c>
      <c r="E6" s="90" t="s">
        <v>54</v>
      </c>
      <c r="F6" s="90" t="s">
        <v>53</v>
      </c>
      <c r="G6" s="90" t="s">
        <v>50</v>
      </c>
      <c r="H6" s="90" t="s">
        <v>55</v>
      </c>
      <c r="I6" s="90" t="s">
        <v>44</v>
      </c>
      <c r="J6" s="90" t="s">
        <v>65</v>
      </c>
      <c r="K6" s="90" t="s">
        <v>69</v>
      </c>
      <c r="L6" s="90" t="s">
        <v>17</v>
      </c>
      <c r="M6" s="90" t="s">
        <v>66</v>
      </c>
      <c r="N6" s="90" t="s">
        <v>20</v>
      </c>
      <c r="O6" s="90" t="s">
        <v>18</v>
      </c>
      <c r="P6" s="90" t="s">
        <v>19</v>
      </c>
      <c r="Q6" s="90" t="s">
        <v>21</v>
      </c>
      <c r="R6" s="90" t="s">
        <v>67</v>
      </c>
      <c r="S6" s="90" t="s">
        <v>22</v>
      </c>
      <c r="T6" s="90" t="s">
        <v>23</v>
      </c>
      <c r="U6" s="90" t="s">
        <v>24</v>
      </c>
      <c r="V6" s="90" t="s">
        <v>25</v>
      </c>
      <c r="W6" s="90" t="s">
        <v>26</v>
      </c>
      <c r="X6" s="90" t="s">
        <v>27</v>
      </c>
      <c r="Y6" s="90" t="s">
        <v>28</v>
      </c>
      <c r="Z6" s="90" t="s">
        <v>29</v>
      </c>
      <c r="AA6" s="90" t="s">
        <v>30</v>
      </c>
      <c r="AB6" s="90" t="s">
        <v>31</v>
      </c>
      <c r="AC6" s="90" t="s">
        <v>32</v>
      </c>
      <c r="AD6" s="90" t="s">
        <v>33</v>
      </c>
      <c r="AE6" s="90" t="s">
        <v>34</v>
      </c>
      <c r="AF6" s="90" t="s">
        <v>35</v>
      </c>
      <c r="AG6" s="90" t="s">
        <v>36</v>
      </c>
      <c r="AH6" s="90" t="s">
        <v>37</v>
      </c>
      <c r="AI6" s="90" t="s">
        <v>38</v>
      </c>
      <c r="AJ6" s="90" t="s">
        <v>39</v>
      </c>
      <c r="AK6" s="90" t="s">
        <v>40</v>
      </c>
      <c r="AL6" s="90" t="s">
        <v>41</v>
      </c>
      <c r="AM6" s="90" t="s">
        <v>42</v>
      </c>
      <c r="AN6" s="90" t="s">
        <v>43</v>
      </c>
      <c r="AO6" s="90" t="s">
        <v>45</v>
      </c>
      <c r="AP6" s="90" t="s">
        <v>49</v>
      </c>
      <c r="AQ6" s="90" t="s">
        <v>131</v>
      </c>
      <c r="AR6" s="91" t="s">
        <v>56</v>
      </c>
      <c r="AT6" s="55" t="s">
        <v>64</v>
      </c>
    </row>
    <row r="7" spans="1:83" s="10" customFormat="1" ht="45.75" thickBot="1" x14ac:dyDescent="0.3">
      <c r="A7" s="92" t="s">
        <v>228</v>
      </c>
      <c r="B7" s="93" t="s">
        <v>74</v>
      </c>
      <c r="C7" s="93" t="s">
        <v>229</v>
      </c>
      <c r="D7" s="94">
        <v>60679</v>
      </c>
      <c r="E7" s="94">
        <f>Tourisme!$G7+Tourisme!$AO7</f>
        <v>38080</v>
      </c>
      <c r="F7" s="95">
        <f>Tourisme!$E7/Tourisme!$D7</f>
        <v>0.62756472585243661</v>
      </c>
      <c r="G7" s="94">
        <f>Tourisme!$I7+Tourisme!$J7+Tourisme!$M7+Tourisme!$R7</f>
        <v>38080</v>
      </c>
      <c r="H7" s="95">
        <f>Tourisme!$G7/Tourisme!$D7</f>
        <v>0.62756472585243661</v>
      </c>
      <c r="I7" s="94">
        <v>0</v>
      </c>
      <c r="J7" s="94">
        <f>Tourisme!$K7+Tourisme!$L7</f>
        <v>6500</v>
      </c>
      <c r="K7" s="94">
        <v>6500</v>
      </c>
      <c r="L7" s="94"/>
      <c r="M7" s="94">
        <f>Tourisme!$N7+Tourisme!$O7+Tourisme!$P7+Tourisme!$Q7</f>
        <v>0</v>
      </c>
      <c r="N7" s="94"/>
      <c r="O7" s="94"/>
      <c r="P7" s="94"/>
      <c r="Q7" s="94"/>
      <c r="R7" s="94">
        <f>Tourisme!$S7+Tourisme!$T7+Tourisme!$U7+Tourisme!$V7+Tourisme!$W7+Tourisme!$X7+Tourisme!$Y7+Tourisme!$Z7+Tourisme!$AA7+Tourisme!$AB7+Tourisme!$AC7+Tourisme!$AD7+Tourisme!$AE7+Tourisme!$AF7+Tourisme!$AG7+Tourisme!$AH7+Tourisme!$AI7+Tourisme!$AJ7+Tourisme!$AK7+Tourisme!$AL7+Tourisme!$AM7+Tourisme!$AN7</f>
        <v>31580</v>
      </c>
      <c r="S7" s="94">
        <v>3976</v>
      </c>
      <c r="T7" s="94"/>
      <c r="U7" s="94"/>
      <c r="V7" s="94">
        <v>2272</v>
      </c>
      <c r="W7" s="94">
        <v>3090</v>
      </c>
      <c r="X7" s="94"/>
      <c r="Y7" s="94"/>
      <c r="Z7" s="94"/>
      <c r="AA7" s="94"/>
      <c r="AB7" s="94">
        <v>4590</v>
      </c>
      <c r="AC7" s="94"/>
      <c r="AD7" s="94"/>
      <c r="AE7" s="94"/>
      <c r="AF7" s="94">
        <v>5272</v>
      </c>
      <c r="AG7" s="94">
        <v>2345</v>
      </c>
      <c r="AH7" s="94"/>
      <c r="AI7" s="94"/>
      <c r="AJ7" s="94">
        <v>10035</v>
      </c>
      <c r="AK7" s="94"/>
      <c r="AL7" s="94"/>
      <c r="AM7" s="94"/>
      <c r="AN7" s="94"/>
      <c r="AO7" s="94">
        <v>0</v>
      </c>
      <c r="AP7" s="96" t="s">
        <v>150</v>
      </c>
      <c r="AQ7" s="97"/>
      <c r="AR7" s="98" t="s">
        <v>149</v>
      </c>
      <c r="AT7" s="47"/>
    </row>
    <row r="8" spans="1:83" ht="15.75" thickTop="1" x14ac:dyDescent="0.25">
      <c r="A8" s="87" t="s">
        <v>8</v>
      </c>
      <c r="B8" s="88">
        <f>SUBTOTAL(3,B7)</f>
        <v>1</v>
      </c>
      <c r="C8" s="88"/>
      <c r="D8" s="86">
        <f>SUBTOTAL(9,D7)</f>
        <v>60679</v>
      </c>
      <c r="E8" s="86">
        <f t="shared" ref="E8:AO8" si="0">SUBTOTAL(9,E7)</f>
        <v>38080</v>
      </c>
      <c r="F8" s="86"/>
      <c r="G8" s="86">
        <f t="shared" si="0"/>
        <v>38080</v>
      </c>
      <c r="H8" s="86">
        <f t="shared" si="0"/>
        <v>0.62756472585243661</v>
      </c>
      <c r="I8" s="86">
        <f t="shared" si="0"/>
        <v>0</v>
      </c>
      <c r="J8" s="86">
        <f t="shared" si="0"/>
        <v>6500</v>
      </c>
      <c r="K8" s="86">
        <f t="shared" si="0"/>
        <v>6500</v>
      </c>
      <c r="L8" s="86">
        <f t="shared" si="0"/>
        <v>0</v>
      </c>
      <c r="M8" s="86">
        <f t="shared" si="0"/>
        <v>0</v>
      </c>
      <c r="N8" s="86">
        <f t="shared" si="0"/>
        <v>0</v>
      </c>
      <c r="O8" s="86">
        <f t="shared" si="0"/>
        <v>0</v>
      </c>
      <c r="P8" s="86">
        <f t="shared" si="0"/>
        <v>0</v>
      </c>
      <c r="Q8" s="86">
        <f t="shared" si="0"/>
        <v>0</v>
      </c>
      <c r="R8" s="86">
        <f t="shared" si="0"/>
        <v>31580</v>
      </c>
      <c r="S8" s="86">
        <f t="shared" si="0"/>
        <v>3976</v>
      </c>
      <c r="T8" s="86">
        <f t="shared" si="0"/>
        <v>0</v>
      </c>
      <c r="U8" s="86">
        <f t="shared" si="0"/>
        <v>0</v>
      </c>
      <c r="V8" s="86">
        <f t="shared" si="0"/>
        <v>2272</v>
      </c>
      <c r="W8" s="86">
        <f t="shared" si="0"/>
        <v>3090</v>
      </c>
      <c r="X8" s="86">
        <f t="shared" si="0"/>
        <v>0</v>
      </c>
      <c r="Y8" s="86">
        <f t="shared" si="0"/>
        <v>0</v>
      </c>
      <c r="Z8" s="86">
        <f t="shared" si="0"/>
        <v>0</v>
      </c>
      <c r="AA8" s="86">
        <f t="shared" si="0"/>
        <v>0</v>
      </c>
      <c r="AB8" s="86">
        <f t="shared" si="0"/>
        <v>4590</v>
      </c>
      <c r="AC8" s="86">
        <f t="shared" si="0"/>
        <v>0</v>
      </c>
      <c r="AD8" s="86">
        <f t="shared" si="0"/>
        <v>0</v>
      </c>
      <c r="AE8" s="86">
        <f t="shared" si="0"/>
        <v>0</v>
      </c>
      <c r="AF8" s="86">
        <f t="shared" si="0"/>
        <v>5272</v>
      </c>
      <c r="AG8" s="86">
        <f t="shared" si="0"/>
        <v>2345</v>
      </c>
      <c r="AH8" s="86">
        <f t="shared" si="0"/>
        <v>0</v>
      </c>
      <c r="AI8" s="86">
        <f t="shared" si="0"/>
        <v>0</v>
      </c>
      <c r="AJ8" s="86">
        <f t="shared" si="0"/>
        <v>10035</v>
      </c>
      <c r="AK8" s="86">
        <f t="shared" si="0"/>
        <v>0</v>
      </c>
      <c r="AL8" s="86">
        <f t="shared" si="0"/>
        <v>0</v>
      </c>
      <c r="AM8" s="86">
        <f t="shared" si="0"/>
        <v>0</v>
      </c>
      <c r="AN8" s="86">
        <f t="shared" si="0"/>
        <v>0</v>
      </c>
      <c r="AO8" s="86">
        <f t="shared" si="0"/>
        <v>0</v>
      </c>
      <c r="AP8" s="27"/>
      <c r="AQ8" s="27"/>
      <c r="AR8" s="28"/>
      <c r="AT8" s="28"/>
    </row>
    <row r="9" spans="1:83" s="112" customFormat="1" x14ac:dyDescent="0.25">
      <c r="A9" s="111"/>
      <c r="B9" s="106"/>
      <c r="C9" s="106"/>
      <c r="D9" s="107"/>
      <c r="E9" s="107"/>
      <c r="F9" s="108"/>
      <c r="G9" s="107"/>
      <c r="H9" s="108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9"/>
      <c r="AQ9" s="110"/>
      <c r="AR9" s="109"/>
      <c r="AT9" s="113"/>
    </row>
    <row r="10" spans="1:83" s="10" customFormat="1" ht="30" x14ac:dyDescent="0.25">
      <c r="A10" s="99" t="s">
        <v>142</v>
      </c>
      <c r="B10" s="100" t="s">
        <v>217</v>
      </c>
      <c r="C10" s="100" t="s">
        <v>218</v>
      </c>
      <c r="D10" s="101">
        <v>18582</v>
      </c>
      <c r="E10" s="101">
        <f>Tourisme!$G10+Tourisme!$AO10</f>
        <v>10220.799999999999</v>
      </c>
      <c r="F10" s="102">
        <f>Tourisme!$E10/Tourisme!$D10</f>
        <v>0.55003767086427724</v>
      </c>
      <c r="G10" s="101">
        <f>Tourisme!$I10+Tourisme!$J10+Tourisme!$M10+Tourisme!$R10</f>
        <v>10220.799999999999</v>
      </c>
      <c r="H10" s="102">
        <f>Tourisme!$G10/Tourisme!$D10</f>
        <v>0.55003767086427724</v>
      </c>
      <c r="I10" s="101">
        <v>7432.8</v>
      </c>
      <c r="J10" s="101">
        <f>Tourisme!$K10+Tourisme!$L10</f>
        <v>0</v>
      </c>
      <c r="K10" s="101"/>
      <c r="L10" s="101"/>
      <c r="M10" s="101">
        <f>Tourisme!$N10+Tourisme!$O10+Tourisme!$P10+Tourisme!$Q10</f>
        <v>2788</v>
      </c>
      <c r="N10" s="101"/>
      <c r="O10" s="101">
        <v>2788</v>
      </c>
      <c r="P10" s="101"/>
      <c r="Q10" s="101"/>
      <c r="R10" s="101">
        <f>Tourisme!$S10+Tourisme!$T10+Tourisme!$U10+Tourisme!$V10+Tourisme!$W10+Tourisme!$X10+Tourisme!$Y10+Tourisme!$Z10+Tourisme!$AA10+Tourisme!$AB10+Tourisme!$AC10+Tourisme!$AD10+Tourisme!$AE10+Tourisme!$AF10+Tourisme!$AG10+Tourisme!$AH10+Tourisme!$AI10+Tourisme!$AJ10+Tourisme!$AK10+Tourisme!$AL10+Tourisme!$AM10+Tourisme!$AN10</f>
        <v>0</v>
      </c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>
        <v>0</v>
      </c>
      <c r="AP10" s="103" t="s">
        <v>150</v>
      </c>
      <c r="AQ10" s="104">
        <v>42217</v>
      </c>
      <c r="AR10" s="105" t="s">
        <v>149</v>
      </c>
      <c r="AT10" s="80"/>
    </row>
    <row r="11" spans="1:83" s="10" customFormat="1" ht="30.75" thickBot="1" x14ac:dyDescent="0.3">
      <c r="A11" s="92" t="s">
        <v>142</v>
      </c>
      <c r="B11" s="93" t="s">
        <v>219</v>
      </c>
      <c r="C11" s="93" t="s">
        <v>220</v>
      </c>
      <c r="D11" s="94">
        <v>421239.62</v>
      </c>
      <c r="E11" s="94">
        <f>Tourisme!$G11+Tourisme!$AO11</f>
        <v>210341.38</v>
      </c>
      <c r="F11" s="95">
        <f>Tourisme!$E11/Tourisme!$D11</f>
        <v>0.49933902228854921</v>
      </c>
      <c r="G11" s="94">
        <f>Tourisme!$I11+Tourisme!$J11+Tourisme!$M11+Tourisme!$R11</f>
        <v>210341.38</v>
      </c>
      <c r="H11" s="95">
        <f>Tourisme!$G11/Tourisme!$D11</f>
        <v>0.49933902228854921</v>
      </c>
      <c r="I11" s="94">
        <v>117871.38</v>
      </c>
      <c r="J11" s="94">
        <f>Tourisme!$K11+Tourisme!$L11</f>
        <v>0</v>
      </c>
      <c r="K11" s="94"/>
      <c r="L11" s="94"/>
      <c r="M11" s="94">
        <f>Tourisme!$N11+Tourisme!$O11+Tourisme!$P11+Tourisme!$Q11</f>
        <v>92470</v>
      </c>
      <c r="N11" s="94"/>
      <c r="O11" s="94">
        <v>92470</v>
      </c>
      <c r="P11" s="94"/>
      <c r="Q11" s="94"/>
      <c r="R11" s="94">
        <f>Tourisme!$S11+Tourisme!$T11+Tourisme!$U11+Tourisme!$V11+Tourisme!$W11+Tourisme!$X11+Tourisme!$Y11+Tourisme!$Z11+Tourisme!$AA11+Tourisme!$AB11+Tourisme!$AC11+Tourisme!$AD11+Tourisme!$AE11+Tourisme!$AF11+Tourisme!$AG11+Tourisme!$AH11+Tourisme!$AI11+Tourisme!$AJ11+Tourisme!$AK11+Tourisme!$AL11+Tourisme!$AM11+Tourisme!$AN11</f>
        <v>0</v>
      </c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>
        <v>0</v>
      </c>
      <c r="AP11" s="96" t="s">
        <v>150</v>
      </c>
      <c r="AQ11" s="97">
        <v>42522</v>
      </c>
      <c r="AR11" s="98" t="s">
        <v>149</v>
      </c>
      <c r="AT11" s="47"/>
    </row>
    <row r="12" spans="1:83" ht="15.75" thickTop="1" x14ac:dyDescent="0.25">
      <c r="A12" s="87" t="s">
        <v>8</v>
      </c>
      <c r="B12" s="88">
        <f>SUBTOTAL(3,B11)</f>
        <v>1</v>
      </c>
      <c r="C12" s="88"/>
      <c r="D12" s="86">
        <f>SUBTOTAL(9,D10:D11)</f>
        <v>439821.62</v>
      </c>
      <c r="E12" s="86">
        <f>SUBTOTAL(9,E10:E11)</f>
        <v>220562.18</v>
      </c>
      <c r="F12" s="86"/>
      <c r="G12" s="86">
        <f t="shared" ref="G12:AO12" si="1">SUBTOTAL(9,G10:G11)</f>
        <v>220562.18</v>
      </c>
      <c r="H12" s="86"/>
      <c r="I12" s="86">
        <f t="shared" si="1"/>
        <v>125304.18000000001</v>
      </c>
      <c r="J12" s="86">
        <f t="shared" si="1"/>
        <v>0</v>
      </c>
      <c r="K12" s="86">
        <f t="shared" si="1"/>
        <v>0</v>
      </c>
      <c r="L12" s="86">
        <f t="shared" si="1"/>
        <v>0</v>
      </c>
      <c r="M12" s="86">
        <f t="shared" si="1"/>
        <v>95258</v>
      </c>
      <c r="N12" s="86">
        <f t="shared" si="1"/>
        <v>0</v>
      </c>
      <c r="O12" s="86">
        <f t="shared" si="1"/>
        <v>95258</v>
      </c>
      <c r="P12" s="86">
        <f t="shared" si="1"/>
        <v>0</v>
      </c>
      <c r="Q12" s="86">
        <f t="shared" si="1"/>
        <v>0</v>
      </c>
      <c r="R12" s="86">
        <f t="shared" si="1"/>
        <v>0</v>
      </c>
      <c r="S12" s="86">
        <f t="shared" si="1"/>
        <v>0</v>
      </c>
      <c r="T12" s="86">
        <f t="shared" si="1"/>
        <v>0</v>
      </c>
      <c r="U12" s="86">
        <f t="shared" si="1"/>
        <v>0</v>
      </c>
      <c r="V12" s="86">
        <f t="shared" si="1"/>
        <v>0</v>
      </c>
      <c r="W12" s="86">
        <f t="shared" si="1"/>
        <v>0</v>
      </c>
      <c r="X12" s="86">
        <f t="shared" si="1"/>
        <v>0</v>
      </c>
      <c r="Y12" s="86">
        <f t="shared" si="1"/>
        <v>0</v>
      </c>
      <c r="Z12" s="86">
        <f t="shared" si="1"/>
        <v>0</v>
      </c>
      <c r="AA12" s="86">
        <f t="shared" si="1"/>
        <v>0</v>
      </c>
      <c r="AB12" s="86">
        <f t="shared" si="1"/>
        <v>0</v>
      </c>
      <c r="AC12" s="86">
        <f t="shared" si="1"/>
        <v>0</v>
      </c>
      <c r="AD12" s="86">
        <f t="shared" si="1"/>
        <v>0</v>
      </c>
      <c r="AE12" s="86">
        <f t="shared" si="1"/>
        <v>0</v>
      </c>
      <c r="AF12" s="86">
        <f t="shared" si="1"/>
        <v>0</v>
      </c>
      <c r="AG12" s="86">
        <f t="shared" si="1"/>
        <v>0</v>
      </c>
      <c r="AH12" s="86">
        <f t="shared" si="1"/>
        <v>0</v>
      </c>
      <c r="AI12" s="86">
        <f t="shared" si="1"/>
        <v>0</v>
      </c>
      <c r="AJ12" s="86">
        <f t="shared" si="1"/>
        <v>0</v>
      </c>
      <c r="AK12" s="86">
        <f t="shared" si="1"/>
        <v>0</v>
      </c>
      <c r="AL12" s="86">
        <f t="shared" si="1"/>
        <v>0</v>
      </c>
      <c r="AM12" s="86">
        <f t="shared" si="1"/>
        <v>0</v>
      </c>
      <c r="AN12" s="86">
        <f t="shared" si="1"/>
        <v>0</v>
      </c>
      <c r="AO12" s="86">
        <f t="shared" si="1"/>
        <v>0</v>
      </c>
      <c r="AP12" s="27"/>
      <c r="AQ12" s="27"/>
      <c r="AR12" s="28"/>
      <c r="AT12" s="28"/>
    </row>
    <row r="13" spans="1:83" s="112" customFormat="1" x14ac:dyDescent="0.25">
      <c r="A13" s="111"/>
      <c r="B13" s="106"/>
      <c r="C13" s="106"/>
      <c r="D13" s="107"/>
      <c r="E13" s="107"/>
      <c r="F13" s="108"/>
      <c r="G13" s="107"/>
      <c r="H13" s="108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9"/>
      <c r="AQ13" s="110"/>
      <c r="AR13" s="109"/>
      <c r="AT13" s="113"/>
    </row>
    <row r="14" spans="1:83" s="10" customFormat="1" ht="30" x14ac:dyDescent="0.25">
      <c r="A14" s="99" t="s">
        <v>189</v>
      </c>
      <c r="B14" s="100" t="s">
        <v>147</v>
      </c>
      <c r="C14" s="100" t="s">
        <v>190</v>
      </c>
      <c r="D14" s="101">
        <v>0</v>
      </c>
      <c r="E14" s="101">
        <f>Tourisme!$G14+Tourisme!$AO14</f>
        <v>0</v>
      </c>
      <c r="F14" s="102"/>
      <c r="G14" s="101">
        <f>Tourisme!$I14+Tourisme!$J14+Tourisme!$M14+Tourisme!$R14</f>
        <v>0</v>
      </c>
      <c r="H14" s="102"/>
      <c r="I14" s="101">
        <v>0</v>
      </c>
      <c r="J14" s="101">
        <f>Tourisme!$K14+Tourisme!$L14</f>
        <v>0</v>
      </c>
      <c r="K14" s="101"/>
      <c r="L14" s="101"/>
      <c r="M14" s="101">
        <f>Tourisme!$N14+Tourisme!$O14+Tourisme!$P14+Tourisme!$Q14</f>
        <v>0</v>
      </c>
      <c r="N14" s="101"/>
      <c r="O14" s="101"/>
      <c r="P14" s="101"/>
      <c r="Q14" s="101"/>
      <c r="R14" s="101">
        <f>Tourisme!$S14+Tourisme!$T14+Tourisme!$U14+Tourisme!$V14+Tourisme!$W14+Tourisme!$X14+Tourisme!$Y14+Tourisme!$Z14+Tourisme!$AA14+Tourisme!$AB14+Tourisme!$AC14+Tourisme!$AD14+Tourisme!$AE14+Tourisme!$AF14+Tourisme!$AG14+Tourisme!$AH14+Tourisme!$AI14+Tourisme!$AJ14+Tourisme!$AK14+Tourisme!$AL14+Tourisme!$AM14+Tourisme!$AN14</f>
        <v>0</v>
      </c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>
        <v>0</v>
      </c>
      <c r="AP14" s="103" t="s">
        <v>163</v>
      </c>
      <c r="AQ14" s="104"/>
      <c r="AR14" s="105" t="s">
        <v>149</v>
      </c>
      <c r="AT14" s="80"/>
    </row>
    <row r="15" spans="1:83" ht="30" x14ac:dyDescent="0.25">
      <c r="A15" s="92" t="s">
        <v>189</v>
      </c>
      <c r="B15" s="93" t="s">
        <v>191</v>
      </c>
      <c r="C15" s="93" t="s">
        <v>192</v>
      </c>
      <c r="D15" s="94">
        <v>44844</v>
      </c>
      <c r="E15" s="94">
        <f>Tourisme!$G15+Tourisme!$AO15</f>
        <v>26082.830480000001</v>
      </c>
      <c r="F15" s="95">
        <f>Tourisme!$E15/Tourisme!$D15</f>
        <v>0.58163478904647226</v>
      </c>
      <c r="G15" s="94">
        <f>Tourisme!$I15+Tourisme!$J15+Tourisme!$M15+Tourisme!$R15</f>
        <v>26082.830480000001</v>
      </c>
      <c r="H15" s="95">
        <f>Tourisme!$G15/Tourisme!$D15</f>
        <v>0.58163478904647226</v>
      </c>
      <c r="I15" s="94">
        <v>10192.830480000001</v>
      </c>
      <c r="J15" s="94">
        <f>Tourisme!$K15+Tourisme!$L15</f>
        <v>0</v>
      </c>
      <c r="K15" s="94"/>
      <c r="L15" s="94"/>
      <c r="M15" s="94">
        <f>Tourisme!$N15+Tourisme!$O15+Tourisme!$P15+Tourisme!$Q15</f>
        <v>15890</v>
      </c>
      <c r="N15" s="94"/>
      <c r="O15" s="94"/>
      <c r="P15" s="94">
        <v>15890</v>
      </c>
      <c r="Q15" s="94"/>
      <c r="R15" s="94">
        <f>Tourisme!$S15+Tourisme!$T15+Tourisme!$U15+Tourisme!$V15+Tourisme!$W15+Tourisme!$X15+Tourisme!$Y15+Tourisme!$Z15+Tourisme!$AA15+Tourisme!$AB15+Tourisme!$AC15+Tourisme!$AD15+Tourisme!$AE15+Tourisme!$AF15+Tourisme!$AG15+Tourisme!$AH15+Tourisme!$AI15+Tourisme!$AJ15+Tourisme!$AK15+Tourisme!$AL15+Tourisme!$AM15+Tourisme!$AN15</f>
        <v>0</v>
      </c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>
        <v>0</v>
      </c>
      <c r="AP15" s="96" t="s">
        <v>163</v>
      </c>
      <c r="AQ15" s="97"/>
      <c r="AR15" s="98" t="s">
        <v>149</v>
      </c>
      <c r="AT15" s="47"/>
      <c r="CD15" s="4"/>
      <c r="CE15" s="3"/>
    </row>
    <row r="16" spans="1:83" ht="30" x14ac:dyDescent="0.25">
      <c r="A16" s="99" t="s">
        <v>189</v>
      </c>
      <c r="B16" s="100" t="s">
        <v>193</v>
      </c>
      <c r="C16" s="100" t="s">
        <v>194</v>
      </c>
      <c r="D16" s="101">
        <v>9000</v>
      </c>
      <c r="E16" s="101">
        <f>Tourisme!$G16+Tourisme!$AO16</f>
        <v>5723.6</v>
      </c>
      <c r="F16" s="102">
        <f>Tourisme!$E16/Tourisme!$D16</f>
        <v>0.63595555555555561</v>
      </c>
      <c r="G16" s="101">
        <f>Tourisme!$I16+Tourisme!$J16+Tourisme!$M16+Tourisme!$R16</f>
        <v>5723.6</v>
      </c>
      <c r="H16" s="102">
        <f>Tourisme!$G16/Tourisme!$D16</f>
        <v>0.63595555555555561</v>
      </c>
      <c r="I16" s="101">
        <v>3023.6000000000004</v>
      </c>
      <c r="J16" s="101">
        <f>Tourisme!$K16+Tourisme!$L16</f>
        <v>0</v>
      </c>
      <c r="K16" s="101"/>
      <c r="L16" s="101"/>
      <c r="M16" s="101">
        <f>Tourisme!$N16+Tourisme!$O16+Tourisme!$P16+Tourisme!$Q16</f>
        <v>2700</v>
      </c>
      <c r="N16" s="101"/>
      <c r="O16" s="101"/>
      <c r="P16" s="101">
        <v>2700</v>
      </c>
      <c r="Q16" s="101"/>
      <c r="R16" s="101">
        <f>Tourisme!$S16+Tourisme!$T16+Tourisme!$U16+Tourisme!$V16+Tourisme!$W16+Tourisme!$X16+Tourisme!$Y16+Tourisme!$Z16+Tourisme!$AA16+Tourisme!$AB16+Tourisme!$AC16+Tourisme!$AD16+Tourisme!$AE16+Tourisme!$AF16+Tourisme!$AG16+Tourisme!$AH16+Tourisme!$AI16+Tourisme!$AJ16+Tourisme!$AK16+Tourisme!$AL16+Tourisme!$AM16+Tourisme!$AN16</f>
        <v>0</v>
      </c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>
        <v>0</v>
      </c>
      <c r="AP16" s="103" t="s">
        <v>163</v>
      </c>
      <c r="AQ16" s="104"/>
      <c r="AR16" s="105" t="s">
        <v>149</v>
      </c>
      <c r="AT16" s="80" t="s">
        <v>254</v>
      </c>
    </row>
    <row r="17" spans="1:46" ht="30" x14ac:dyDescent="0.25">
      <c r="A17" s="92" t="s">
        <v>189</v>
      </c>
      <c r="B17" s="93" t="s">
        <v>195</v>
      </c>
      <c r="C17" s="93" t="s">
        <v>196</v>
      </c>
      <c r="D17" s="94">
        <v>19535</v>
      </c>
      <c r="E17" s="94">
        <f>Tourisme!$G17+Tourisme!$AO17</f>
        <v>13674</v>
      </c>
      <c r="F17" s="95">
        <f>Tourisme!$E17/Tourisme!$D17</f>
        <v>0.69997440491425644</v>
      </c>
      <c r="G17" s="94">
        <f>Tourisme!$I17+Tourisme!$J17+Tourisme!$M17+Tourisme!$R17</f>
        <v>13674</v>
      </c>
      <c r="H17" s="95">
        <f>Tourisme!$G17/Tourisme!$D17</f>
        <v>0.69997440491425644</v>
      </c>
      <c r="I17" s="94">
        <v>7814</v>
      </c>
      <c r="J17" s="94">
        <f>Tourisme!$K17+Tourisme!$L17</f>
        <v>0</v>
      </c>
      <c r="K17" s="94"/>
      <c r="L17" s="94"/>
      <c r="M17" s="94">
        <f>Tourisme!$N17+Tourisme!$O17+Tourisme!$P17+Tourisme!$Q17</f>
        <v>5860</v>
      </c>
      <c r="N17" s="94"/>
      <c r="O17" s="94"/>
      <c r="P17" s="94">
        <v>5860</v>
      </c>
      <c r="Q17" s="94"/>
      <c r="R17" s="94">
        <f>Tourisme!$S17+Tourisme!$T17+Tourisme!$U17+Tourisme!$V17+Tourisme!$W17+Tourisme!$X17+Tourisme!$Y17+Tourisme!$Z17+Tourisme!$AA17+Tourisme!$AB17+Tourisme!$AC17+Tourisme!$AD17+Tourisme!$AE17+Tourisme!$AF17+Tourisme!$AG17+Tourisme!$AH17+Tourisme!$AI17+Tourisme!$AJ17+Tourisme!$AK17+Tourisme!$AL17+Tourisme!$AM17+Tourisme!$AN17</f>
        <v>0</v>
      </c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>
        <v>0</v>
      </c>
      <c r="AP17" s="96" t="s">
        <v>163</v>
      </c>
      <c r="AQ17" s="97"/>
      <c r="AR17" s="98" t="s">
        <v>149</v>
      </c>
      <c r="AT17" s="47"/>
    </row>
    <row r="18" spans="1:46" ht="30" x14ac:dyDescent="0.25">
      <c r="A18" s="99" t="s">
        <v>189</v>
      </c>
      <c r="B18" s="100" t="s">
        <v>197</v>
      </c>
      <c r="C18" s="100" t="s">
        <v>198</v>
      </c>
      <c r="D18" s="101">
        <v>47665.16</v>
      </c>
      <c r="E18" s="101">
        <f>Tourisme!$G18+Tourisme!$AO18</f>
        <v>30662.46</v>
      </c>
      <c r="F18" s="102">
        <f>Tourisme!$E18/Tourisme!$D18</f>
        <v>0.64328872493032641</v>
      </c>
      <c r="G18" s="101">
        <f>Tourisme!$I18+Tourisme!$J18+Tourisme!$M18+Tourisme!$R18</f>
        <v>30662.46</v>
      </c>
      <c r="H18" s="102">
        <f>Tourisme!$G18/Tourisme!$D18</f>
        <v>0.64328872493032641</v>
      </c>
      <c r="I18" s="101">
        <v>16362.460000000001</v>
      </c>
      <c r="J18" s="101">
        <f>Tourisme!$K18+Tourisme!$L18</f>
        <v>0</v>
      </c>
      <c r="K18" s="101"/>
      <c r="L18" s="101"/>
      <c r="M18" s="101">
        <f>Tourisme!$N18+Tourisme!$O18+Tourisme!$P18+Tourisme!$Q18</f>
        <v>14300</v>
      </c>
      <c r="N18" s="101"/>
      <c r="O18" s="101"/>
      <c r="P18" s="101">
        <v>14300</v>
      </c>
      <c r="Q18" s="101"/>
      <c r="R18" s="101">
        <f>Tourisme!$S18+Tourisme!$T18+Tourisme!$U18+Tourisme!$V18+Tourisme!$W18+Tourisme!$X18+Tourisme!$Y18+Tourisme!$Z18+Tourisme!$AA18+Tourisme!$AB18+Tourisme!$AC18+Tourisme!$AD18+Tourisme!$AE18+Tourisme!$AF18+Tourisme!$AG18+Tourisme!$AH18+Tourisme!$AI18+Tourisme!$AJ18+Tourisme!$AK18+Tourisme!$AL18+Tourisme!$AM18+Tourisme!$AN18</f>
        <v>0</v>
      </c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>
        <v>0</v>
      </c>
      <c r="AP18" s="103" t="s">
        <v>163</v>
      </c>
      <c r="AQ18" s="104"/>
      <c r="AR18" s="105" t="s">
        <v>149</v>
      </c>
      <c r="AT18" s="80"/>
    </row>
    <row r="19" spans="1:46" x14ac:dyDescent="0.25">
      <c r="A19" s="92" t="s">
        <v>189</v>
      </c>
      <c r="B19" s="93" t="s">
        <v>199</v>
      </c>
      <c r="C19" s="93" t="s">
        <v>200</v>
      </c>
      <c r="D19" s="94">
        <v>7402</v>
      </c>
      <c r="E19" s="94">
        <f>Tourisme!$G19+Tourisme!$AO19</f>
        <v>0</v>
      </c>
      <c r="F19" s="95">
        <f>Tourisme!$E19/Tourisme!$D19</f>
        <v>0</v>
      </c>
      <c r="G19" s="94">
        <f>Tourisme!$I19+Tourisme!$J19+Tourisme!$M19+Tourisme!$R19</f>
        <v>0</v>
      </c>
      <c r="H19" s="95">
        <f>Tourisme!$G19/Tourisme!$D19</f>
        <v>0</v>
      </c>
      <c r="I19" s="94">
        <v>0</v>
      </c>
      <c r="J19" s="94">
        <f>Tourisme!$K19+Tourisme!$L19</f>
        <v>0</v>
      </c>
      <c r="K19" s="94"/>
      <c r="L19" s="94"/>
      <c r="M19" s="94">
        <f>Tourisme!$N19+Tourisme!$O19+Tourisme!$P19+Tourisme!$Q19</f>
        <v>0</v>
      </c>
      <c r="N19" s="94"/>
      <c r="O19" s="94"/>
      <c r="P19" s="94">
        <v>0</v>
      </c>
      <c r="Q19" s="94"/>
      <c r="R19" s="94">
        <f>Tourisme!$S19+Tourisme!$T19+Tourisme!$U19+Tourisme!$V19+Tourisme!$W19+Tourisme!$X19+Tourisme!$Y19+Tourisme!$Z19+Tourisme!$AA19+Tourisme!$AB19+Tourisme!$AC19+Tourisme!$AD19+Tourisme!$AE19+Tourisme!$AF19+Tourisme!$AG19+Tourisme!$AH19+Tourisme!$AI19+Tourisme!$AJ19+Tourisme!$AK19+Tourisme!$AL19+Tourisme!$AM19+Tourisme!$AN19</f>
        <v>0</v>
      </c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>
        <v>0</v>
      </c>
      <c r="AP19" s="96" t="s">
        <v>161</v>
      </c>
      <c r="AQ19" s="97"/>
      <c r="AR19" s="98" t="s">
        <v>161</v>
      </c>
      <c r="AT19" s="47"/>
    </row>
    <row r="20" spans="1:46" ht="15.75" thickBot="1" x14ac:dyDescent="0.3">
      <c r="A20" s="99" t="s">
        <v>189</v>
      </c>
      <c r="B20" s="100" t="s">
        <v>201</v>
      </c>
      <c r="C20" s="100" t="s">
        <v>202</v>
      </c>
      <c r="D20" s="101">
        <v>144600</v>
      </c>
      <c r="E20" s="101">
        <f>Tourisme!$G20+Tourisme!$AO20</f>
        <v>86761.200000000012</v>
      </c>
      <c r="F20" s="102">
        <f>Tourisme!$E20/Tourisme!$D20</f>
        <v>0.6000082987551868</v>
      </c>
      <c r="G20" s="101">
        <f>Tourisme!$I20+Tourisme!$J20+Tourisme!$M20+Tourisme!$R20</f>
        <v>86761.200000000012</v>
      </c>
      <c r="H20" s="102">
        <f>Tourisme!$G20/Tourisme!$D20</f>
        <v>0.6000082987551868</v>
      </c>
      <c r="I20" s="101">
        <v>57840.800000000003</v>
      </c>
      <c r="J20" s="101">
        <f>Tourisme!$K20+Tourisme!$L20</f>
        <v>0</v>
      </c>
      <c r="K20" s="101"/>
      <c r="L20" s="101"/>
      <c r="M20" s="101">
        <f>Tourisme!$N20+Tourisme!$O20+Tourisme!$P20+Tourisme!$Q20</f>
        <v>28920.400000000001</v>
      </c>
      <c r="N20" s="101"/>
      <c r="O20" s="101"/>
      <c r="P20" s="101">
        <v>28920.400000000001</v>
      </c>
      <c r="Q20" s="101"/>
      <c r="R20" s="101">
        <f>Tourisme!$S20+Tourisme!$T20+Tourisme!$U20+Tourisme!$V20+Tourisme!$W20+Tourisme!$X20+Tourisme!$Y20+Tourisme!$Z20+Tourisme!$AA20+Tourisme!$AB20+Tourisme!$AC20+Tourisme!$AD20+Tourisme!$AE20+Tourisme!$AF20+Tourisme!$AG20+Tourisme!$AH20+Tourisme!$AI20+Tourisme!$AJ20+Tourisme!$AK20+Tourisme!$AL20+Tourisme!$AM20+Tourisme!$AN20</f>
        <v>0</v>
      </c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>
        <v>0</v>
      </c>
      <c r="AP20" s="103" t="s">
        <v>163</v>
      </c>
      <c r="AQ20" s="104"/>
      <c r="AR20" s="105" t="s">
        <v>149</v>
      </c>
      <c r="AT20" s="80" t="s">
        <v>253</v>
      </c>
    </row>
    <row r="21" spans="1:46" ht="15.75" thickTop="1" x14ac:dyDescent="0.25">
      <c r="A21" s="87" t="s">
        <v>8</v>
      </c>
      <c r="B21" s="88">
        <f>SUBTOTAL(103,Tourisme!$B$14:$B$20)</f>
        <v>7</v>
      </c>
      <c r="C21" s="88"/>
      <c r="D21" s="86">
        <f>SUBTOTAL(109,Tourisme!D14:D20)</f>
        <v>273046.16000000003</v>
      </c>
      <c r="E21" s="86">
        <f>SUBTOTAL(109,Tourisme!E14:E20)</f>
        <v>162904.09048000001</v>
      </c>
      <c r="F21" s="86"/>
      <c r="G21" s="86">
        <f>SUBTOTAL(109,Tourisme!G14:G20)</f>
        <v>162904.09048000001</v>
      </c>
      <c r="H21" s="86"/>
      <c r="I21" s="86">
        <f>SUBTOTAL(109,Tourisme!I14:I20)</f>
        <v>95233.690480000005</v>
      </c>
      <c r="J21" s="86">
        <f>SUBTOTAL(109,Tourisme!J14:J20)</f>
        <v>0</v>
      </c>
      <c r="K21" s="86">
        <f>SUBTOTAL(109,Tourisme!K14:K20)</f>
        <v>0</v>
      </c>
      <c r="L21" s="86">
        <f>SUBTOTAL(109,Tourisme!L14:L20)</f>
        <v>0</v>
      </c>
      <c r="M21" s="86">
        <f>SUBTOTAL(109,Tourisme!M14:M20)</f>
        <v>67670.399999999994</v>
      </c>
      <c r="N21" s="86">
        <f>SUBTOTAL(109,Tourisme!N14:N20)</f>
        <v>0</v>
      </c>
      <c r="O21" s="86">
        <f>SUBTOTAL(109,Tourisme!O14:O20)</f>
        <v>0</v>
      </c>
      <c r="P21" s="86">
        <f>SUBTOTAL(109,Tourisme!P14:P20)</f>
        <v>67670.399999999994</v>
      </c>
      <c r="Q21" s="86">
        <f>SUBTOTAL(109,Tourisme!Q14:Q20)</f>
        <v>0</v>
      </c>
      <c r="R21" s="86">
        <f>SUBTOTAL(109,Tourisme!R14:R20)</f>
        <v>0</v>
      </c>
      <c r="S21" s="86">
        <f>SUBTOTAL(109,Tourisme!S14:S20)</f>
        <v>0</v>
      </c>
      <c r="T21" s="86">
        <f>SUBTOTAL(109,Tourisme!T14:T20)</f>
        <v>0</v>
      </c>
      <c r="U21" s="86">
        <f>SUBTOTAL(109,Tourisme!U14:U20)</f>
        <v>0</v>
      </c>
      <c r="V21" s="86">
        <f>SUBTOTAL(109,Tourisme!V14:V20)</f>
        <v>0</v>
      </c>
      <c r="W21" s="86">
        <f>SUBTOTAL(109,Tourisme!W14:W20)</f>
        <v>0</v>
      </c>
      <c r="X21" s="86">
        <f>SUBTOTAL(109,Tourisme!X14:X20)</f>
        <v>0</v>
      </c>
      <c r="Y21" s="86">
        <f>SUBTOTAL(109,Tourisme!Y14:Y20)</f>
        <v>0</v>
      </c>
      <c r="Z21" s="86">
        <f>SUBTOTAL(109,Tourisme!Z14:Z20)</f>
        <v>0</v>
      </c>
      <c r="AA21" s="86">
        <f>SUBTOTAL(109,Tourisme!AA14:AA20)</f>
        <v>0</v>
      </c>
      <c r="AB21" s="86">
        <f>SUBTOTAL(109,Tourisme!AB14:AB20)</f>
        <v>0</v>
      </c>
      <c r="AC21" s="86">
        <f>SUBTOTAL(109,Tourisme!AC14:AC20)</f>
        <v>0</v>
      </c>
      <c r="AD21" s="86">
        <f>SUBTOTAL(109,Tourisme!AD14:AD20)</f>
        <v>0</v>
      </c>
      <c r="AE21" s="86">
        <f>SUBTOTAL(109,Tourisme!AE14:AE20)</f>
        <v>0</v>
      </c>
      <c r="AF21" s="86">
        <f>SUBTOTAL(109,Tourisme!AF14:AF20)</f>
        <v>0</v>
      </c>
      <c r="AG21" s="86">
        <f>SUBTOTAL(109,Tourisme!AG14:AG20)</f>
        <v>0</v>
      </c>
      <c r="AH21" s="86">
        <f>SUBTOTAL(109,Tourisme!AH14:AH20)</f>
        <v>0</v>
      </c>
      <c r="AI21" s="86">
        <f>SUBTOTAL(109,Tourisme!AI14:AI20)</f>
        <v>0</v>
      </c>
      <c r="AJ21" s="86">
        <f>SUBTOTAL(109,Tourisme!AJ14:AJ20)</f>
        <v>0</v>
      </c>
      <c r="AK21" s="86">
        <f>SUBTOTAL(109,Tourisme!AK14:AK20)</f>
        <v>0</v>
      </c>
      <c r="AL21" s="86">
        <f>SUBTOTAL(109,Tourisme!AL14:AL20)</f>
        <v>0</v>
      </c>
      <c r="AM21" s="86">
        <f>SUBTOTAL(109,Tourisme!AM14:AM20)</f>
        <v>0</v>
      </c>
      <c r="AN21" s="86">
        <f>SUBTOTAL(109,Tourisme!AN14:AN20)</f>
        <v>0</v>
      </c>
      <c r="AO21" s="86">
        <f>SUBTOTAL(109,Tourisme!AO14:AO20)</f>
        <v>0</v>
      </c>
      <c r="AP21" s="27"/>
      <c r="AQ21" s="27"/>
      <c r="AR21" s="28"/>
      <c r="AT21" s="28"/>
    </row>
    <row r="22" spans="1:46" x14ac:dyDescent="0.25">
      <c r="A22" s="10"/>
      <c r="B22" s="5"/>
      <c r="D22" s="49"/>
      <c r="E22" s="49"/>
      <c r="F22" s="50"/>
      <c r="G22" s="49"/>
      <c r="H22" s="50"/>
      <c r="I22" s="49"/>
      <c r="J22" s="49"/>
      <c r="K22" s="10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10"/>
      <c r="AQ22" s="10"/>
    </row>
    <row r="23" spans="1:46" hidden="1" x14ac:dyDescent="0.25">
      <c r="E23" s="3" t="s">
        <v>82</v>
      </c>
      <c r="F23" s="6" t="s">
        <v>81</v>
      </c>
    </row>
    <row r="24" spans="1:46" hidden="1" x14ac:dyDescent="0.25">
      <c r="D24" t="s">
        <v>57</v>
      </c>
      <c r="E24" s="3">
        <f>H24+I24</f>
        <v>220537.87047999998</v>
      </c>
      <c r="F24" s="3">
        <f>M24+R24</f>
        <v>125304.18000000001</v>
      </c>
      <c r="H24" s="3">
        <f>SUMIF(Tourisme!$AR$7:$AR$20,"1-Favorable",Tourisme!$I$7:$I$20)</f>
        <v>220537.87047999998</v>
      </c>
      <c r="I24" s="3">
        <f>SUMIF(Tourisme!$AR$7:$AR$20,"2-Favorable sous réserve",Tourisme!$I$7:$I$20)</f>
        <v>0</v>
      </c>
      <c r="M24" s="3">
        <f>SUMIF(Tourisme!$AP$7:$AP$20,"1-Favorable",Tourisme!$I$7:$I$20)</f>
        <v>0</v>
      </c>
      <c r="R24" s="3">
        <f>SUMIF(Tourisme!$AP$7:$AP$20,"2-Favorable sous réserve",Tourisme!$I$7:$I$20)</f>
        <v>125304.18000000001</v>
      </c>
    </row>
    <row r="25" spans="1:46" hidden="1" x14ac:dyDescent="0.25">
      <c r="D25" t="s">
        <v>46</v>
      </c>
      <c r="E25" s="3">
        <f t="shared" ref="E25:E53" si="2">H25+I25</f>
        <v>6500</v>
      </c>
      <c r="F25" s="3">
        <f t="shared" ref="F25:F53" si="3">M25+R25</f>
        <v>6500</v>
      </c>
      <c r="H25" s="3">
        <f>SUMIF(Tourisme!$AR$7:$AR$20,"1-Favorable",Tourisme!$J$7:$J$20)</f>
        <v>6500</v>
      </c>
      <c r="I25" s="3">
        <f>SUMIF(Tourisme!$AR$7:$AR$20,"2-Favorable sous réserve",Tourisme!$J$7:$J$20)</f>
        <v>0</v>
      </c>
      <c r="M25" s="3">
        <f>SUMIF(Tourisme!$AP$7:$AP$20,"1-Favorable",Tourisme!$J$7:$J$20)</f>
        <v>0</v>
      </c>
      <c r="R25" s="3">
        <f>SUMIF(Tourisme!$AP$7:$AP$20,"2-Favorable sous réserve",Tourisme!$J$7:$J$20)</f>
        <v>6500</v>
      </c>
    </row>
    <row r="26" spans="1:46" hidden="1" x14ac:dyDescent="0.25">
      <c r="D26" t="s">
        <v>47</v>
      </c>
      <c r="E26" s="3">
        <f t="shared" si="2"/>
        <v>162928.4</v>
      </c>
      <c r="F26" s="3">
        <f t="shared" si="3"/>
        <v>95258</v>
      </c>
      <c r="H26" s="3">
        <f>SUMIF(Tourisme!$AR$7:$AR$20,"1-Favorable",Tourisme!$M$7:$M$20)</f>
        <v>162928.4</v>
      </c>
      <c r="I26" s="3">
        <f>SUMIF(Tourisme!$AR$7:$AR$20,"2-Favorable sous réserve",Tourisme!$M$7:$M$20)</f>
        <v>0</v>
      </c>
      <c r="M26" s="3">
        <f>SUMIF(Tourisme!$AP$7:$AP$20,"1-Favorable",Tourisme!$M$7:$M$20)</f>
        <v>0</v>
      </c>
      <c r="R26" s="3">
        <f>SUMIF(Tourisme!$AP$7:$AP$20,"2-Favorable sous réserve",Tourisme!$M$7:$M$20)</f>
        <v>95258</v>
      </c>
    </row>
    <row r="27" spans="1:46" hidden="1" x14ac:dyDescent="0.25">
      <c r="D27" s="3" t="s">
        <v>58</v>
      </c>
      <c r="E27" s="3">
        <f t="shared" si="2"/>
        <v>0</v>
      </c>
      <c r="F27" s="3">
        <f t="shared" si="3"/>
        <v>0</v>
      </c>
      <c r="H27" s="3">
        <f>SUMIF(Tourisme!$AR$7:$AR$20,"1-Favorable",Tourisme!$N$7:$N$20)</f>
        <v>0</v>
      </c>
      <c r="I27" s="3">
        <f>SUMIF(Tourisme!$AR$7:$AR$20,"2-Favorable sous réserve",Tourisme!$N$7:$N$20)</f>
        <v>0</v>
      </c>
      <c r="M27" s="3">
        <f>SUMIF(Tourisme!$AP$7:$AP$20,"1-Favorable",Tourisme!$N$7:$N$20)</f>
        <v>0</v>
      </c>
      <c r="R27" s="3">
        <f>SUMIF(Tourisme!$AP$7:$AP$20,"2-Favorable sous réserve",Tourisme!$N$7:$N$20)</f>
        <v>0</v>
      </c>
    </row>
    <row r="28" spans="1:46" hidden="1" x14ac:dyDescent="0.25">
      <c r="D28" s="3" t="s">
        <v>59</v>
      </c>
      <c r="E28" s="3">
        <f t="shared" si="2"/>
        <v>95258</v>
      </c>
      <c r="F28" s="3">
        <f t="shared" si="3"/>
        <v>95258</v>
      </c>
      <c r="H28" s="3">
        <f>SUMIF(Tourisme!$AR$7:$AR$20,"1-Favorable",Tourisme!$O$7:$O$20)</f>
        <v>95258</v>
      </c>
      <c r="I28" s="3">
        <f>SUMIF(Tourisme!$AR$7:$AR$20,"2-Favorable sous réserve",Tourisme!$O$7:$O$20)</f>
        <v>0</v>
      </c>
      <c r="M28" s="3">
        <f>SUMIF(Tourisme!$AP$7:$AP$20,"1-Favorable",Tourisme!$O$7:$O$20)</f>
        <v>0</v>
      </c>
      <c r="R28" s="3">
        <f>SUMIF(Tourisme!$AP$7:$AP$20,"2-Favorable sous réserve",Tourisme!$O$7:$O$20)</f>
        <v>95258</v>
      </c>
    </row>
    <row r="29" spans="1:46" hidden="1" x14ac:dyDescent="0.25">
      <c r="D29" s="3" t="s">
        <v>60</v>
      </c>
      <c r="E29" s="3">
        <f t="shared" si="2"/>
        <v>67670.399999999994</v>
      </c>
      <c r="F29" s="3">
        <f t="shared" si="3"/>
        <v>0</v>
      </c>
      <c r="H29" s="3">
        <f>SUMIF(Tourisme!$AR$7:$AR$20,"1-Favorable",Tourisme!$P$7:$P$20)</f>
        <v>67670.399999999994</v>
      </c>
      <c r="I29" s="3">
        <f>SUMIF(Tourisme!$AR$7:$AR$20,"2-Favorable sous réserve",Tourisme!$P$7:$P$20)</f>
        <v>0</v>
      </c>
      <c r="M29" s="3">
        <f>SUMIF(Tourisme!$AP$7:$AP$20,"1-Favorable",Tourisme!$P$7:$P$20)</f>
        <v>0</v>
      </c>
      <c r="R29" s="3">
        <f>SUMIF(Tourisme!$AP$7:$AP$20,"2-Favorable sous réserve",Tourisme!$P$7:$P$20)</f>
        <v>0</v>
      </c>
    </row>
    <row r="30" spans="1:46" hidden="1" x14ac:dyDescent="0.25">
      <c r="D30" s="3" t="s">
        <v>61</v>
      </c>
      <c r="E30" s="3">
        <f t="shared" si="2"/>
        <v>0</v>
      </c>
      <c r="F30" s="3">
        <f t="shared" si="3"/>
        <v>0</v>
      </c>
      <c r="H30" s="3">
        <f>SUMIF(Tourisme!$AR$7:$AR$20,"1-Favorable",Tourisme!$Q$7:$Q$20)</f>
        <v>0</v>
      </c>
      <c r="I30" s="3">
        <f>SUMIF(Tourisme!$AR$7:$AR$20,"2-Favorable sous réserve",Tourisme!$Q$7:$Q$20)</f>
        <v>0</v>
      </c>
      <c r="M30" s="3">
        <f>SUMIF(Tourisme!$AP$7:$AP$20,"1-Favorable",Tourisme!$Q$7:$Q$20)</f>
        <v>0</v>
      </c>
      <c r="R30" s="3">
        <f>SUMIF(Tourisme!$AP$7:$AP$20,"2-Favorable sous réserve",Tourisme!$Q$7:$Q$20)</f>
        <v>0</v>
      </c>
    </row>
    <row r="31" spans="1:46" hidden="1" x14ac:dyDescent="0.25">
      <c r="D31" t="s">
        <v>48</v>
      </c>
      <c r="E31" s="3">
        <f t="shared" si="2"/>
        <v>31580</v>
      </c>
      <c r="F31" s="3">
        <f t="shared" si="3"/>
        <v>31580</v>
      </c>
      <c r="H31" s="3">
        <f>SUMIF(Tourisme!$AR$7:$AR$20,"1-Favorable",Tourisme!$R$7:$R$20)</f>
        <v>31580</v>
      </c>
      <c r="I31" s="3">
        <f>SUMIF(Tourisme!$AR$7:$AR$20,"2-Favorable sous réserve",Tourisme!$R$7:$R$20)</f>
        <v>0</v>
      </c>
      <c r="M31" s="3">
        <f>SUMIF(Tourisme!$AP$7:$AP$20,"1-Favorable",Tourisme!$R$7:$R$20)</f>
        <v>0</v>
      </c>
      <c r="R31" s="3">
        <f>SUMIF(Tourisme!$AP$7:$AP$20,"2-Favorable sous réserve",Tourisme!$R$7:$R$20)</f>
        <v>31580</v>
      </c>
    </row>
    <row r="32" spans="1:46" hidden="1" x14ac:dyDescent="0.25">
      <c r="D32" t="s">
        <v>22</v>
      </c>
      <c r="E32" s="3">
        <f t="shared" si="2"/>
        <v>3976</v>
      </c>
      <c r="F32" s="3">
        <f t="shared" si="3"/>
        <v>3976</v>
      </c>
      <c r="H32" s="3">
        <f>SUMIF(Tourisme!$AR$7:$AR$20,"1-Favorable",Tourisme!$S$7:$S$20)</f>
        <v>3976</v>
      </c>
      <c r="I32" s="3">
        <f>SUMIF(Tourisme!$AR$7:$AR$20,"2-Favorable sous réserve",Tourisme!$S$7:$S$20)</f>
        <v>0</v>
      </c>
      <c r="M32" s="3">
        <f>SUMIF(Tourisme!$AP$7:$AP$20,"1-Favorable",Tourisme!$S$7:$S$20)</f>
        <v>0</v>
      </c>
      <c r="R32" s="3">
        <f>SUMIF(Tourisme!$AP$7:$AP$20,"2-Favorable sous réserve",Tourisme!$S$7:$S$20)</f>
        <v>3976</v>
      </c>
    </row>
    <row r="33" spans="4:18" hidden="1" x14ac:dyDescent="0.25">
      <c r="D33" t="s">
        <v>23</v>
      </c>
      <c r="E33" s="3">
        <f t="shared" si="2"/>
        <v>0</v>
      </c>
      <c r="F33" s="3">
        <f t="shared" si="3"/>
        <v>0</v>
      </c>
      <c r="H33" s="3">
        <f>SUMIF(Tourisme!$AR$7:$AR$20,"1-Favorable",Tourisme!$T$7:$T$20)</f>
        <v>0</v>
      </c>
      <c r="I33" s="3">
        <f>SUMIF(Tourisme!$AR$7:$AR$20,"2-Favorable sous réserve",Tourisme!$T$7:$T$20)</f>
        <v>0</v>
      </c>
      <c r="M33" s="3">
        <f>SUMIF(Tourisme!$AP$7:$AP$20,"1-Favorable",Tourisme!$T$7:$T$20)</f>
        <v>0</v>
      </c>
      <c r="R33" s="3">
        <f>SUMIF(Tourisme!$AP$7:$AP$20,"2-Favorable sous réserve",Tourisme!$T$7:$T$20)</f>
        <v>0</v>
      </c>
    </row>
    <row r="34" spans="4:18" hidden="1" x14ac:dyDescent="0.25">
      <c r="D34" t="s">
        <v>24</v>
      </c>
      <c r="E34" s="3">
        <f t="shared" si="2"/>
        <v>0</v>
      </c>
      <c r="F34" s="3">
        <f t="shared" si="3"/>
        <v>0</v>
      </c>
      <c r="H34" s="3">
        <f>SUMIF(Tourisme!$AR$7:$AR$20,"1-Favorable",Tourisme!$U$7:$U$20)</f>
        <v>0</v>
      </c>
      <c r="I34" s="3">
        <f>SUMIF(Tourisme!$AR$7:$AR$20,"2-Favorable sous réserve",Tourisme!$U$7:$U$20)</f>
        <v>0</v>
      </c>
      <c r="M34" s="3">
        <f>SUMIF(Tourisme!$AP$7:$AP$20,"1-Favorable",Tourisme!$U$7:$U$20)</f>
        <v>0</v>
      </c>
      <c r="R34" s="3">
        <f>SUMIF(Tourisme!$AP$7:$AP$20,"2-Favorable sous réserve",Tourisme!$U$7:$U$20)</f>
        <v>0</v>
      </c>
    </row>
    <row r="35" spans="4:18" hidden="1" x14ac:dyDescent="0.25">
      <c r="D35" t="s">
        <v>25</v>
      </c>
      <c r="E35" s="3">
        <f t="shared" si="2"/>
        <v>2272</v>
      </c>
      <c r="F35" s="3">
        <f t="shared" si="3"/>
        <v>2272</v>
      </c>
      <c r="H35" s="3">
        <f>SUMIF(Tourisme!$AR$7:$AR$20,"1-Favorable",Tourisme!$V$7:$V$20)</f>
        <v>2272</v>
      </c>
      <c r="I35" s="3">
        <f>SUMIF(Tourisme!$AR$7:$AR$20,"2-Favorable sous réserve",Tourisme!$V$7:$V$20)</f>
        <v>0</v>
      </c>
      <c r="M35" s="3">
        <f>SUMIF(Tourisme!$AP$7:$AP$20,"1-Favorable",Tourisme!$V$7:$V$20)</f>
        <v>0</v>
      </c>
      <c r="R35" s="3">
        <f>SUMIF(Tourisme!$AP$7:$AP$20,"2-Favorable sous réserve",Tourisme!$V$7:$V$20)</f>
        <v>2272</v>
      </c>
    </row>
    <row r="36" spans="4:18" hidden="1" x14ac:dyDescent="0.25">
      <c r="D36" t="s">
        <v>26</v>
      </c>
      <c r="E36" s="3">
        <f t="shared" si="2"/>
        <v>3090</v>
      </c>
      <c r="F36" s="3">
        <f t="shared" si="3"/>
        <v>3090</v>
      </c>
      <c r="H36" s="3">
        <f>SUMIF(Tourisme!$AR$7:$AR$20,"1-Favorable",Tourisme!$W$7:$W$20)</f>
        <v>3090</v>
      </c>
      <c r="I36" s="3">
        <f>SUMIF(Tourisme!$AR$7:$AR$20,"2-Favorable sous réserve",Tourisme!$W$7:$W$20)</f>
        <v>0</v>
      </c>
      <c r="M36" s="3">
        <f>SUMIF(Tourisme!$AP$7:$AP$20,"1-Favorable",Tourisme!$W$7:$W$20)</f>
        <v>0</v>
      </c>
      <c r="R36" s="3">
        <f>SUMIF(Tourisme!$AP$7:$AP$20,"2-Favorable sous réserve",Tourisme!$W$7:$W$20)</f>
        <v>3090</v>
      </c>
    </row>
    <row r="37" spans="4:18" hidden="1" x14ac:dyDescent="0.25">
      <c r="D37" t="s">
        <v>27</v>
      </c>
      <c r="E37" s="3">
        <f t="shared" si="2"/>
        <v>0</v>
      </c>
      <c r="F37" s="3">
        <f t="shared" si="3"/>
        <v>0</v>
      </c>
      <c r="H37" s="3">
        <f>SUMIF(Tourisme!$AR$7:$AR$20,"1-Favorable",Tourisme!$X$7:$X$20)</f>
        <v>0</v>
      </c>
      <c r="I37" s="3">
        <f>SUMIF(Tourisme!$AR$7:$AR$20,"2-Favorable sous réserve",Tourisme!$X$7:$X$20)</f>
        <v>0</v>
      </c>
      <c r="M37" s="3">
        <f>SUMIF(Tourisme!$AP$7:$AP$20,"1-Favorable",Tourisme!$X$7:$X$20)</f>
        <v>0</v>
      </c>
      <c r="R37" s="3">
        <f>SUMIF(Tourisme!$AP$7:$AP$20,"2-Favorable sous réserve",Tourisme!$X$7:$X$20)</f>
        <v>0</v>
      </c>
    </row>
    <row r="38" spans="4:18" hidden="1" x14ac:dyDescent="0.25">
      <c r="D38" t="s">
        <v>28</v>
      </c>
      <c r="E38" s="3">
        <f t="shared" si="2"/>
        <v>0</v>
      </c>
      <c r="F38" s="3">
        <f t="shared" si="3"/>
        <v>0</v>
      </c>
      <c r="H38" s="3">
        <f>SUMIF(Tourisme!$AR$7:$AR$20,"1-Favorable",Tourisme!$Y$7:$Y$20)</f>
        <v>0</v>
      </c>
      <c r="I38" s="3">
        <f>SUMIF(Tourisme!$AR$7:$AR$20,"2-Favorable sous réserve",Tourisme!$Y$7:$Y$20)</f>
        <v>0</v>
      </c>
      <c r="M38" s="3">
        <f>SUMIF(Tourisme!$AP$7:$AP$20,"1-Favorable",Tourisme!$Y$7:$Y$20)</f>
        <v>0</v>
      </c>
      <c r="R38" s="3">
        <f>SUMIF(Tourisme!$AP$7:$AP$20,"2-Favorable sous réserve",Tourisme!$Y$7:$Y$20)</f>
        <v>0</v>
      </c>
    </row>
    <row r="39" spans="4:18" hidden="1" x14ac:dyDescent="0.25">
      <c r="D39" t="s">
        <v>29</v>
      </c>
      <c r="E39" s="3">
        <f t="shared" si="2"/>
        <v>0</v>
      </c>
      <c r="F39" s="3">
        <f t="shared" si="3"/>
        <v>0</v>
      </c>
      <c r="H39" s="3">
        <f>SUMIF(Tourisme!$AR$7:$AR$20,"1-Favorable",Tourisme!$Z$7:$Z$20)</f>
        <v>0</v>
      </c>
      <c r="I39" s="3">
        <f>SUMIF(Tourisme!$AR$7:$AR$20,"2-Favorable sous réserve",Tourisme!$Z$7:$Z$20)</f>
        <v>0</v>
      </c>
      <c r="M39" s="3">
        <f>SUMIF(Tourisme!$AP$7:$AP$20,"1-Favorable",Tourisme!$Z$7:$Z$20)</f>
        <v>0</v>
      </c>
      <c r="R39" s="3">
        <f>SUMIF(Tourisme!$AP$7:$AP$20,"2-Favorable sous réserve",Tourisme!$Z$7:$Z$20)</f>
        <v>0</v>
      </c>
    </row>
    <row r="40" spans="4:18" hidden="1" x14ac:dyDescent="0.25">
      <c r="D40" t="s">
        <v>30</v>
      </c>
      <c r="E40" s="3">
        <f t="shared" si="2"/>
        <v>0</v>
      </c>
      <c r="F40" s="3">
        <f t="shared" si="3"/>
        <v>0</v>
      </c>
      <c r="H40" s="3">
        <f>SUMIF(Tourisme!$AR$7:$AR$20,"1-Favorable",Tourisme!$AA$7:$AA$20)</f>
        <v>0</v>
      </c>
      <c r="I40" s="3">
        <f>SUMIF(Tourisme!$AR$7:$AR$20,"2-Favorable sous réserve",Tourisme!$AA$7:$AA$20)</f>
        <v>0</v>
      </c>
      <c r="M40" s="3">
        <f>SUMIF(Tourisme!$AP$7:$AP$20,"1-Favorable",Tourisme!$AA$7:$AA$20)</f>
        <v>0</v>
      </c>
      <c r="R40" s="3">
        <f>SUMIF(Tourisme!$AP$7:$AP$20,"2-Favorable sous réserve",Tourisme!$AA$7:$AA$20)</f>
        <v>0</v>
      </c>
    </row>
    <row r="41" spans="4:18" hidden="1" x14ac:dyDescent="0.25">
      <c r="D41" t="s">
        <v>31</v>
      </c>
      <c r="E41" s="3">
        <f t="shared" si="2"/>
        <v>4590</v>
      </c>
      <c r="F41" s="3">
        <f t="shared" si="3"/>
        <v>4590</v>
      </c>
      <c r="H41" s="3">
        <f>SUMIF(Tourisme!$AR$7:$AR$20,"1-Favorable",Tourisme!$AB$7:$AB$20)</f>
        <v>4590</v>
      </c>
      <c r="I41" s="3">
        <f>SUMIF(Tourisme!$AR$7:$AR$20,"2-Favorable sous réserve",Tourisme!$AB$7:$AB$20)</f>
        <v>0</v>
      </c>
      <c r="M41" s="3">
        <f>SUMIF(Tourisme!$AP$7:$AP$20,"1-Favorable",Tourisme!$AB$7:$AB$20)</f>
        <v>0</v>
      </c>
      <c r="R41" s="3">
        <f>SUMIF(Tourisme!$AP$7:$AP$20,"2-Favorable sous réserve",Tourisme!$AB$7:$AB$20)</f>
        <v>4590</v>
      </c>
    </row>
    <row r="42" spans="4:18" hidden="1" x14ac:dyDescent="0.25">
      <c r="D42" t="s">
        <v>32</v>
      </c>
      <c r="E42" s="3">
        <f t="shared" si="2"/>
        <v>0</v>
      </c>
      <c r="F42" s="3">
        <f t="shared" si="3"/>
        <v>0</v>
      </c>
      <c r="H42" s="3">
        <f>SUMIF(Tourisme!$AR$7:$AR$20,"1-Favorable",Tourisme!$AC$7:$AC$20)</f>
        <v>0</v>
      </c>
      <c r="I42" s="3">
        <f>SUMIF(Tourisme!$AR$7:$AR$20,"2-Favorable sous réserve",Tourisme!$AC$7:$AC$20)</f>
        <v>0</v>
      </c>
      <c r="M42" s="3">
        <f>SUMIF(Tourisme!$AP$7:$AP$20,"1-Favorable",Tourisme!$AC$7:$AC$20)</f>
        <v>0</v>
      </c>
      <c r="R42" s="3">
        <f>SUMIF(Tourisme!$AP$7:$AP$20,"2-Favorable sous réserve",Tourisme!$AC$7:$AC$20)</f>
        <v>0</v>
      </c>
    </row>
    <row r="43" spans="4:18" hidden="1" x14ac:dyDescent="0.25">
      <c r="D43" t="s">
        <v>33</v>
      </c>
      <c r="E43" s="3">
        <f t="shared" si="2"/>
        <v>0</v>
      </c>
      <c r="F43" s="3">
        <f t="shared" si="3"/>
        <v>0</v>
      </c>
      <c r="H43" s="3">
        <f>SUMIF(Tourisme!$AR$7:$AR$20,"1-Favorable",Tourisme!$AD$7:$AD$20)</f>
        <v>0</v>
      </c>
      <c r="I43" s="3">
        <f>SUMIF(Tourisme!$AR$7:$AR$20,"2-Favorable sous réserve",Tourisme!$AD$7:$AD$20)</f>
        <v>0</v>
      </c>
      <c r="M43" s="3">
        <f>SUMIF(Tourisme!$AP$7:$AP$20,"1-Favorable",Tourisme!$AD$7:$AD$20)</f>
        <v>0</v>
      </c>
      <c r="R43" s="3">
        <f>SUMIF(Tourisme!$AP$7:$AP$20,"2-Favorable sous réserve",Tourisme!$AD$7:$AD$20)</f>
        <v>0</v>
      </c>
    </row>
    <row r="44" spans="4:18" hidden="1" x14ac:dyDescent="0.25">
      <c r="D44" t="s">
        <v>34</v>
      </c>
      <c r="E44" s="3">
        <f t="shared" si="2"/>
        <v>0</v>
      </c>
      <c r="F44" s="3">
        <f t="shared" si="3"/>
        <v>0</v>
      </c>
      <c r="H44" s="3">
        <f>SUMIF(Tourisme!$AR$7:$AR$20,"1-Favorable",Tourisme!$AE$7:$AE$20)</f>
        <v>0</v>
      </c>
      <c r="I44" s="3">
        <f>SUMIF(Tourisme!$AR$7:$AR$20,"2-Favorable sous réserve",Tourisme!$AE$7:$AE$20)</f>
        <v>0</v>
      </c>
      <c r="M44" s="3">
        <f>SUMIF(Tourisme!$AP$7:$AP$20,"1-Favorable",Tourisme!$AE$7:$AE$20)</f>
        <v>0</v>
      </c>
      <c r="R44" s="3">
        <f>SUMIF(Tourisme!$AP$7:$AP$20,"2-Favorable sous réserve",Tourisme!$AE$7:$AE$20)</f>
        <v>0</v>
      </c>
    </row>
    <row r="45" spans="4:18" hidden="1" x14ac:dyDescent="0.25">
      <c r="D45" t="s">
        <v>35</v>
      </c>
      <c r="E45" s="3">
        <f t="shared" si="2"/>
        <v>5272</v>
      </c>
      <c r="F45" s="3">
        <f t="shared" si="3"/>
        <v>5272</v>
      </c>
      <c r="H45" s="3">
        <f>SUMIF(Tourisme!$AR$7:$AR$20,"1-Favorable",Tourisme!$AF$7:$AF$20)</f>
        <v>5272</v>
      </c>
      <c r="I45" s="3">
        <f>SUMIF(Tourisme!$AR$7:$AR$20,"2-Favorable sous réserve",Tourisme!$AF$7:$AF$20)</f>
        <v>0</v>
      </c>
      <c r="M45" s="3">
        <f>SUMIF(Tourisme!$AP$7:$AP$20,"1-Favorable",Tourisme!$AF$7:$AF$20)</f>
        <v>0</v>
      </c>
      <c r="R45" s="3">
        <f>SUMIF(Tourisme!$AP$7:$AP$20,"2-Favorable sous réserve",Tourisme!$AF$7:$AF$20)</f>
        <v>5272</v>
      </c>
    </row>
    <row r="46" spans="4:18" hidden="1" x14ac:dyDescent="0.25">
      <c r="D46" t="s">
        <v>36</v>
      </c>
      <c r="E46" s="3">
        <f t="shared" si="2"/>
        <v>2345</v>
      </c>
      <c r="F46" s="3">
        <f t="shared" si="3"/>
        <v>2345</v>
      </c>
      <c r="H46" s="3">
        <f>SUMIF(Tourisme!$AR$7:$AR$20,"1-Favorable",Tourisme!$AG$7:$AG$20)</f>
        <v>2345</v>
      </c>
      <c r="I46" s="3">
        <f>SUMIF(Tourisme!$AR$7:$AR$20,"2-Favorable sous réserve",Tourisme!$AG$7:$AG$20)</f>
        <v>0</v>
      </c>
      <c r="M46" s="3">
        <f>SUMIF(Tourisme!$AP$7:$AP$20,"1-Favorable",Tourisme!$AG$7:$AG$20)</f>
        <v>0</v>
      </c>
      <c r="R46" s="3">
        <f>SUMIF(Tourisme!$AP$7:$AP$20,"2-Favorable sous réserve",Tourisme!$AG$7:$AG$20)</f>
        <v>2345</v>
      </c>
    </row>
    <row r="47" spans="4:18" hidden="1" x14ac:dyDescent="0.25">
      <c r="D47" t="s">
        <v>37</v>
      </c>
      <c r="E47" s="3">
        <f t="shared" si="2"/>
        <v>0</v>
      </c>
      <c r="F47" s="3">
        <f t="shared" si="3"/>
        <v>0</v>
      </c>
      <c r="H47" s="3">
        <f>SUMIF(Tourisme!$AR$7:$AR$20,"1-Favorable",Tourisme!$AH$7:$AH$20)</f>
        <v>0</v>
      </c>
      <c r="I47" s="3">
        <f>SUMIF(Tourisme!$AR$7:$AR$20,"2-Favorable sous réserve",Tourisme!$AH$7:$AH$20)</f>
        <v>0</v>
      </c>
      <c r="M47" s="3">
        <f>SUMIF(Tourisme!$AP$7:$AP$20,"1-Favorable",Tourisme!$AH$7:$AH$20)</f>
        <v>0</v>
      </c>
      <c r="R47" s="3">
        <f>SUMIF(Tourisme!$AP$7:$AP$20,"2-Favorable sous réserve",Tourisme!$AH$7:$AH$20)</f>
        <v>0</v>
      </c>
    </row>
    <row r="48" spans="4:18" hidden="1" x14ac:dyDescent="0.25">
      <c r="D48" t="s">
        <v>38</v>
      </c>
      <c r="E48" s="3">
        <f t="shared" si="2"/>
        <v>0</v>
      </c>
      <c r="F48" s="3">
        <f t="shared" si="3"/>
        <v>0</v>
      </c>
      <c r="H48" s="3">
        <f>SUMIF(Tourisme!$AR$7:$AR$20,"1-Favorable",Tourisme!$AI$7:$AI$20)</f>
        <v>0</v>
      </c>
      <c r="I48" s="3">
        <f>SUMIF(Tourisme!$AR$7:$AR$20,"2-Favorable sous réserve",Tourisme!$AI$7:$AI$20)</f>
        <v>0</v>
      </c>
      <c r="M48" s="3">
        <f>SUMIF(Tourisme!$AP$7:$AP$20,"1-Favorable",Tourisme!$AI$7:$AI$20)</f>
        <v>0</v>
      </c>
      <c r="R48" s="3">
        <f>SUMIF(Tourisme!$AP$7:$AP$20,"2-Favorable sous réserve",Tourisme!$AI$7:$AI$20)</f>
        <v>0</v>
      </c>
    </row>
    <row r="49" spans="4:18" hidden="1" x14ac:dyDescent="0.25">
      <c r="D49" t="s">
        <v>39</v>
      </c>
      <c r="E49" s="3">
        <f t="shared" si="2"/>
        <v>10035</v>
      </c>
      <c r="F49" s="3">
        <f t="shared" si="3"/>
        <v>10035</v>
      </c>
      <c r="H49" s="3">
        <f>SUMIF(Tourisme!$AR$7:$AR$20,"1-Favorable",Tourisme!$AJ$7:$AJ$20)</f>
        <v>10035</v>
      </c>
      <c r="I49" s="3">
        <f>SUMIF(Tourisme!$AR$7:$AR$20,"2-Favorable sous réserve",Tourisme!$AJ$7:$AJ$20)</f>
        <v>0</v>
      </c>
      <c r="M49" s="3">
        <f>SUMIF(Tourisme!$AP$7:$AP$20,"1-Favorable",Tourisme!$AJ$7:$AJ$20)</f>
        <v>0</v>
      </c>
      <c r="R49" s="3">
        <f>SUMIF(Tourisme!$AP$7:$AP$20,"2-Favorable sous réserve",Tourisme!$AJ$7:$AJ$20)</f>
        <v>10035</v>
      </c>
    </row>
    <row r="50" spans="4:18" hidden="1" x14ac:dyDescent="0.25">
      <c r="D50" t="s">
        <v>40</v>
      </c>
      <c r="E50" s="3">
        <f t="shared" si="2"/>
        <v>0</v>
      </c>
      <c r="F50" s="3">
        <f t="shared" si="3"/>
        <v>0</v>
      </c>
      <c r="H50" s="3">
        <f>SUMIF(Tourisme!$AR$7:$AR$20,"1-Favorable",Tourisme!$AK$7:$AK$20)</f>
        <v>0</v>
      </c>
      <c r="I50" s="3">
        <f>SUMIF(Tourisme!$AR$7:$AR$20,"2-Favorable sous réserve",Tourisme!$AK$7:$AK$20)</f>
        <v>0</v>
      </c>
      <c r="M50" s="3">
        <f>SUMIF(Tourisme!$AP$7:$AP$20,"1-Favorable",Tourisme!$AK$7:$AK$20)</f>
        <v>0</v>
      </c>
      <c r="R50" s="3">
        <f>SUMIF(Tourisme!$AP$7:$AP$20,"2-Favorable sous réserve",Tourisme!$AK$7:$AK$20)</f>
        <v>0</v>
      </c>
    </row>
    <row r="51" spans="4:18" hidden="1" x14ac:dyDescent="0.25">
      <c r="D51" t="s">
        <v>41</v>
      </c>
      <c r="E51" s="3">
        <f t="shared" si="2"/>
        <v>0</v>
      </c>
      <c r="F51" s="3">
        <f t="shared" si="3"/>
        <v>0</v>
      </c>
      <c r="H51" s="3">
        <f>SUMIF(Tourisme!$AR$7:$AR$20,"1-Favorable",Tourisme!$AL$7:$AL$20)</f>
        <v>0</v>
      </c>
      <c r="I51" s="3">
        <f>SUMIF(Tourisme!$AR$7:$AR$20,"2-Favorable sous réserve",Tourisme!$AL$7:$AL$20)</f>
        <v>0</v>
      </c>
      <c r="M51" s="3">
        <f>SUMIF(Tourisme!$AP$7:$AP$20,"1-Favorable",Tourisme!$AL$7:$AL$20)</f>
        <v>0</v>
      </c>
      <c r="R51" s="3">
        <f>SUMIF(Tourisme!$AP$7:$AP$20,"2-Favorable sous réserve",Tourisme!$AL$7:$AL$20)</f>
        <v>0</v>
      </c>
    </row>
    <row r="52" spans="4:18" hidden="1" x14ac:dyDescent="0.25">
      <c r="D52" t="s">
        <v>42</v>
      </c>
      <c r="E52" s="3">
        <f t="shared" si="2"/>
        <v>0</v>
      </c>
      <c r="F52" s="3">
        <f t="shared" si="3"/>
        <v>0</v>
      </c>
      <c r="H52" s="3">
        <f>SUMIF(Tourisme!$AR$7:$AR$20,"1-Favorable",Tourisme!$AM$7:$AM$20)</f>
        <v>0</v>
      </c>
      <c r="I52" s="3">
        <f>SUMIF(Tourisme!$AR$7:$AR$20,"2-Favorable sous réserve",Tourisme!$AM$7:$AM$20)</f>
        <v>0</v>
      </c>
      <c r="M52" s="3">
        <f>SUMIF(Tourisme!$AP$7:$AP$20,"1-Favorable",Tourisme!$AM$7:$AM$20)</f>
        <v>0</v>
      </c>
      <c r="R52" s="3">
        <f>SUMIF(Tourisme!$AP$7:$AP$20,"2-Favorable sous réserve",Tourisme!$AM$7:$AM$20)</f>
        <v>0</v>
      </c>
    </row>
    <row r="53" spans="4:18" hidden="1" x14ac:dyDescent="0.25">
      <c r="D53" t="s">
        <v>43</v>
      </c>
      <c r="E53" s="3">
        <f t="shared" si="2"/>
        <v>0</v>
      </c>
      <c r="F53" s="3">
        <f t="shared" si="3"/>
        <v>0</v>
      </c>
      <c r="H53" s="3">
        <f>SUMIF(Tourisme!$AR$7:$AR$20,"1-Favorable",Tourisme!$AN$7:$AN$20)</f>
        <v>0</v>
      </c>
      <c r="I53" s="3">
        <f>SUMIF(Tourisme!$AR$7:$AR$20,"2-Favorable sous réserve",Tourisme!$AN$7:$AN$20)</f>
        <v>0</v>
      </c>
      <c r="M53" s="3">
        <f>SUMIF(Tourisme!$AP$7:$AP$20,"1-Favorable",Tourisme!$AN$7:$AN$20)</f>
        <v>0</v>
      </c>
      <c r="R53" s="3">
        <f>SUMIF(Tourisme!$AP$7:$AP$20,"2-Favorable sous réserve",Tourisme!$AN$7:$AN$20)</f>
        <v>0</v>
      </c>
    </row>
    <row r="54" spans="4:18" hidden="1" x14ac:dyDescent="0.25"/>
  </sheetData>
  <conditionalFormatting sqref="AP6:AP7 AR6:AR7 AR9:AR11 AP9:AP11 AP14:AP20 AR14:AR20">
    <cfRule type="cellIs" dxfId="708" priority="16" operator="equal">
      <formula>"2-Favorable sous réserve"</formula>
    </cfRule>
    <cfRule type="cellIs" dxfId="707" priority="25" operator="equal">
      <formula>"6-Retiré/Abandon"</formula>
    </cfRule>
    <cfRule type="cellIs" dxfId="706" priority="26" operator="equal">
      <formula>"5-Défavorable"</formula>
    </cfRule>
    <cfRule type="cellIs" dxfId="705" priority="27" operator="equal">
      <formula>"4-Ajournement"</formula>
    </cfRule>
    <cfRule type="cellIs" dxfId="704" priority="28" operator="equal">
      <formula>"1-Favorable"</formula>
    </cfRule>
  </conditionalFormatting>
  <conditionalFormatting sqref="AT6:AT7 AT9:AT11 AT14:AT20">
    <cfRule type="cellIs" dxfId="703" priority="11" operator="equal">
      <formula>"2-Favorable sous réserve"</formula>
    </cfRule>
    <cfRule type="cellIs" dxfId="702" priority="12" operator="equal">
      <formula>"6-Retiré/Abandon"</formula>
    </cfRule>
    <cfRule type="cellIs" dxfId="701" priority="13" operator="equal">
      <formula>"5-Défavorable"</formula>
    </cfRule>
    <cfRule type="cellIs" dxfId="700" priority="14" operator="equal">
      <formula>"4-Ajournement"</formula>
    </cfRule>
    <cfRule type="cellIs" dxfId="699" priority="15" operator="equal">
      <formula>"1-Favorable"</formula>
    </cfRule>
  </conditionalFormatting>
  <conditionalFormatting sqref="AR13 AP13">
    <cfRule type="cellIs" dxfId="698" priority="6" operator="equal">
      <formula>"2-Favorable sous réserve"</formula>
    </cfRule>
    <cfRule type="cellIs" dxfId="697" priority="7" operator="equal">
      <formula>"6-Retiré/Abandon"</formula>
    </cfRule>
    <cfRule type="cellIs" dxfId="696" priority="8" operator="equal">
      <formula>"5-Défavorable"</formula>
    </cfRule>
    <cfRule type="cellIs" dxfId="695" priority="9" operator="equal">
      <formula>"4-Ajournement"</formula>
    </cfRule>
    <cfRule type="cellIs" dxfId="694" priority="10" operator="equal">
      <formula>"1-Favorable"</formula>
    </cfRule>
  </conditionalFormatting>
  <conditionalFormatting sqref="AT13">
    <cfRule type="cellIs" dxfId="693" priority="1" operator="equal">
      <formula>"2-Favorable sous réserve"</formula>
    </cfRule>
    <cfRule type="cellIs" dxfId="692" priority="2" operator="equal">
      <formula>"6-Retiré/Abandon"</formula>
    </cfRule>
    <cfRule type="cellIs" dxfId="691" priority="3" operator="equal">
      <formula>"5-Défavorable"</formula>
    </cfRule>
    <cfRule type="cellIs" dxfId="690" priority="4" operator="equal">
      <formula>"4-Ajournement"</formula>
    </cfRule>
    <cfRule type="cellIs" dxfId="689" priority="5" operator="equal">
      <formula>"1-Favorable"</formula>
    </cfRule>
  </conditionalFormatting>
  <dataValidations count="1">
    <dataValidation type="list" allowBlank="1" showInputMessage="1" showErrorMessage="1" sqref="AR7:AR20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3"/>
  <sheetViews>
    <sheetView zoomScale="60" zoomScaleNormal="60" workbookViewId="0">
      <selection activeCell="H31" sqref="H31"/>
    </sheetView>
  </sheetViews>
  <sheetFormatPr baseColWidth="10" defaultRowHeight="15" outlineLevelCol="1" x14ac:dyDescent="0.25"/>
  <cols>
    <col min="1" max="1" width="13.85546875" style="3" customWidth="1"/>
    <col min="2" max="2" width="35" style="4" customWidth="1"/>
    <col min="3" max="3" width="48" style="5" customWidth="1"/>
    <col min="4" max="4" width="22.7109375" style="3" bestFit="1" customWidth="1"/>
    <col min="5" max="5" width="19.7109375" style="3" bestFit="1" customWidth="1"/>
    <col min="6" max="6" width="12" style="6" customWidth="1"/>
    <col min="7" max="7" width="16" style="3" bestFit="1" customWidth="1"/>
    <col min="8" max="8" width="11.28515625" style="6" customWidth="1"/>
    <col min="9" max="9" width="18.42578125" style="3" customWidth="1"/>
    <col min="10" max="10" width="15" style="3" bestFit="1" customWidth="1"/>
    <col min="11" max="11" width="11.5703125" style="3" hidden="1" customWidth="1" outlineLevel="1"/>
    <col min="12" max="12" width="16.5703125" style="3" hidden="1" customWidth="1" outlineLevel="1"/>
    <col min="13" max="13" width="13.7109375" style="3" bestFit="1" customWidth="1" collapsed="1"/>
    <col min="14" max="14" width="18.28515625" style="3" hidden="1" customWidth="1" outlineLevel="1"/>
    <col min="15" max="15" width="18.42578125" style="3" hidden="1" customWidth="1" outlineLevel="1"/>
    <col min="16" max="16" width="16.5703125" style="3" hidden="1" customWidth="1" outlineLevel="1"/>
    <col min="17" max="17" width="18.7109375" style="3" hidden="1" customWidth="1" outlineLevel="1"/>
    <col min="18" max="18" width="19.42578125" style="3" bestFit="1" customWidth="1" collapsed="1"/>
    <col min="19" max="40" width="8.7109375" style="3" hidden="1" customWidth="1" outlineLevel="1"/>
    <col min="41" max="41" width="11.5703125" style="3" bestFit="1" customWidth="1" collapsed="1"/>
    <col min="42" max="42" width="11.5703125" style="3" customWidth="1"/>
    <col min="43" max="43" width="16.140625" style="3" customWidth="1"/>
    <col min="44" max="44" width="17.7109375" style="3" customWidth="1"/>
    <col min="45" max="45" width="17.7109375" style="3" hidden="1" customWidth="1"/>
    <col min="46" max="46" width="76.5703125" style="3" customWidth="1"/>
    <col min="47" max="47" width="15.42578125" style="3" bestFit="1" customWidth="1"/>
    <col min="48" max="48" width="91" style="3" customWidth="1"/>
    <col min="49" max="49" width="9.42578125" style="3" customWidth="1"/>
    <col min="50" max="64" width="9.7109375" style="3" customWidth="1"/>
    <col min="65" max="65" width="15.140625" style="3" customWidth="1"/>
    <col min="66" max="66" width="14.5703125" style="3" customWidth="1"/>
    <col min="67" max="67" width="18.5703125" style="3" customWidth="1"/>
    <col min="68" max="68" width="12.5703125" style="3" customWidth="1"/>
    <col min="69" max="69" width="20.42578125" style="3" customWidth="1"/>
    <col min="70" max="70" width="12.7109375" style="3" customWidth="1"/>
    <col min="71" max="71" width="9.28515625" style="3" customWidth="1"/>
    <col min="72" max="72" width="14.28515625" style="3" customWidth="1"/>
    <col min="73" max="73" width="11.42578125" style="3" customWidth="1"/>
    <col min="74" max="74" width="9" style="3" customWidth="1"/>
    <col min="75" max="75" width="9.5703125" style="3" customWidth="1"/>
    <col min="76" max="76" width="11" style="3" customWidth="1"/>
    <col min="77" max="77" width="12.7109375" style="3" customWidth="1"/>
    <col min="78" max="80" width="9.7109375" style="3" customWidth="1"/>
    <col min="81" max="81" width="15.140625" style="3" customWidth="1"/>
    <col min="82" max="82" width="17.28515625" style="3" customWidth="1"/>
    <col min="83" max="83" width="49.28515625" style="4" customWidth="1"/>
    <col min="84" max="84" width="17.28515625" style="3" customWidth="1"/>
    <col min="85" max="16384" width="11.42578125" style="3"/>
  </cols>
  <sheetData>
    <row r="1" spans="1:83" ht="18.75" x14ac:dyDescent="0.3">
      <c r="A1" s="51">
        <v>42684</v>
      </c>
      <c r="B1" s="21" t="s">
        <v>75</v>
      </c>
      <c r="C1" s="22">
        <v>42696</v>
      </c>
    </row>
    <row r="5" spans="1:83" ht="15.75" x14ac:dyDescent="0.25">
      <c r="A5" s="1" t="s">
        <v>51</v>
      </c>
      <c r="B5" s="20"/>
    </row>
    <row r="6" spans="1:83" s="7" customFormat="1" ht="30" x14ac:dyDescent="0.25">
      <c r="A6" s="7" t="s">
        <v>7</v>
      </c>
      <c r="B6" s="7" t="s">
        <v>1</v>
      </c>
      <c r="C6" s="7" t="s">
        <v>2</v>
      </c>
      <c r="D6" s="7" t="s">
        <v>52</v>
      </c>
      <c r="E6" s="7" t="s">
        <v>54</v>
      </c>
      <c r="F6" s="7" t="s">
        <v>53</v>
      </c>
      <c r="G6" s="7" t="s">
        <v>50</v>
      </c>
      <c r="H6" s="7" t="s">
        <v>55</v>
      </c>
      <c r="I6" s="7" t="s">
        <v>44</v>
      </c>
      <c r="J6" s="7" t="s">
        <v>65</v>
      </c>
      <c r="K6" s="7" t="s">
        <v>69</v>
      </c>
      <c r="L6" s="7" t="s">
        <v>17</v>
      </c>
      <c r="M6" s="7" t="s">
        <v>66</v>
      </c>
      <c r="N6" s="7" t="s">
        <v>20</v>
      </c>
      <c r="O6" s="7" t="s">
        <v>18</v>
      </c>
      <c r="P6" s="7" t="s">
        <v>19</v>
      </c>
      <c r="Q6" s="7" t="s">
        <v>21</v>
      </c>
      <c r="R6" s="7" t="s">
        <v>67</v>
      </c>
      <c r="S6" s="7" t="s">
        <v>22</v>
      </c>
      <c r="T6" s="7" t="s">
        <v>23</v>
      </c>
      <c r="U6" s="7" t="s">
        <v>24</v>
      </c>
      <c r="V6" s="7" t="s">
        <v>25</v>
      </c>
      <c r="W6" s="7" t="s">
        <v>26</v>
      </c>
      <c r="X6" s="7" t="s">
        <v>27</v>
      </c>
      <c r="Y6" s="7" t="s">
        <v>28</v>
      </c>
      <c r="Z6" s="7" t="s">
        <v>29</v>
      </c>
      <c r="AA6" s="7" t="s">
        <v>30</v>
      </c>
      <c r="AB6" s="7" t="s">
        <v>31</v>
      </c>
      <c r="AC6" s="7" t="s">
        <v>32</v>
      </c>
      <c r="AD6" s="7" t="s">
        <v>33</v>
      </c>
      <c r="AE6" s="7" t="s">
        <v>34</v>
      </c>
      <c r="AF6" s="7" t="s">
        <v>35</v>
      </c>
      <c r="AG6" s="7" t="s">
        <v>36</v>
      </c>
      <c r="AH6" s="7" t="s">
        <v>37</v>
      </c>
      <c r="AI6" s="7" t="s">
        <v>38</v>
      </c>
      <c r="AJ6" s="7" t="s">
        <v>39</v>
      </c>
      <c r="AK6" s="7" t="s">
        <v>40</v>
      </c>
      <c r="AL6" s="7" t="s">
        <v>41</v>
      </c>
      <c r="AM6" s="7" t="s">
        <v>42</v>
      </c>
      <c r="AN6" s="7" t="s">
        <v>43</v>
      </c>
      <c r="AO6" s="7" t="s">
        <v>45</v>
      </c>
      <c r="AP6" s="7" t="s">
        <v>49</v>
      </c>
      <c r="AQ6" s="7" t="s">
        <v>131</v>
      </c>
      <c r="AR6" s="30" t="s">
        <v>56</v>
      </c>
      <c r="AS6" s="3"/>
      <c r="AT6" s="55" t="s">
        <v>64</v>
      </c>
    </row>
    <row r="7" spans="1:83" s="10" customFormat="1" ht="45" x14ac:dyDescent="0.25">
      <c r="A7" s="6" t="s">
        <v>247</v>
      </c>
      <c r="B7" s="12" t="s">
        <v>248</v>
      </c>
      <c r="C7" s="12" t="s">
        <v>249</v>
      </c>
      <c r="D7" s="15">
        <v>19855.810000000001</v>
      </c>
      <c r="E7" s="15">
        <f>Tableau_Lancer_la_requête_à_partir_de_Excel_Files102[[#This Row],[Aide Massif]]+Tableau_Lancer_la_requête_à_partir_de_Excel_Files102[[#This Row],[''Autre Public'']]</f>
        <v>17186.740000000002</v>
      </c>
      <c r="F7" s="16">
        <f>Tableau_Lancer_la_requête_à_partir_de_Excel_Files102[[#This Row],[Aide 
publique]]/Tableau_Lancer_la_requête_à_partir_de_Excel_Files102[[#This Row],[''Coût total éligible'']]</f>
        <v>0.86557738012198948</v>
      </c>
      <c r="G7" s="15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17186.740000000002</v>
      </c>
      <c r="H7" s="16">
        <f>Tableau_Lancer_la_requête_à_partir_de_Excel_Files102[[#This Row],[Aide Massif]]/Tableau_Lancer_la_requête_à_partir_de_Excel_Files102[[#This Row],[''Coût total éligible'']]</f>
        <v>0.86557738012198948</v>
      </c>
      <c r="I7" s="48"/>
      <c r="J7" s="15">
        <f>Tableau_Lancer_la_requête_à_partir_de_Excel_Files102[[#This Row],[''FNADT '']]+Tableau_Lancer_la_requête_à_partir_de_Excel_Files102[[#This Row],[''Agriculture'']]</f>
        <v>17186.740000000002</v>
      </c>
      <c r="K7" s="15">
        <v>17186.740000000002</v>
      </c>
      <c r="L7" s="15"/>
      <c r="M7" s="15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0</v>
      </c>
      <c r="N7" s="15"/>
      <c r="O7" s="15"/>
      <c r="P7" s="15"/>
      <c r="Q7" s="15"/>
      <c r="R7" s="15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0" t="s">
        <v>163</v>
      </c>
      <c r="AQ7" s="52"/>
      <c r="AR7" s="48"/>
      <c r="AS7" s="3"/>
      <c r="AT7" s="63"/>
    </row>
    <row r="8" spans="1:83" s="10" customFormat="1" ht="45" x14ac:dyDescent="0.25">
      <c r="A8" s="6" t="s">
        <v>247</v>
      </c>
      <c r="B8" s="5" t="s">
        <v>250</v>
      </c>
      <c r="C8" s="5" t="s">
        <v>249</v>
      </c>
      <c r="D8" s="8">
        <v>74974.710000000006</v>
      </c>
      <c r="E8" s="8">
        <f>Tableau_Lancer_la_requête_à_partir_de_Excel_Files102[[#This Row],[Aide Massif]]+Tableau_Lancer_la_requête_à_partir_de_Excel_Files102[[#This Row],[''Autre Public'']]</f>
        <v>0</v>
      </c>
      <c r="F8" s="9">
        <f>Tableau_Lancer_la_requête_à_partir_de_Excel_Files102[[#This Row],[Aide 
publique]]/Tableau_Lancer_la_requête_à_partir_de_Excel_Files102[[#This Row],[''Coût total éligible'']]</f>
        <v>0</v>
      </c>
      <c r="G8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0</v>
      </c>
      <c r="H8" s="9">
        <f>Tableau_Lancer_la_requête_à_partir_de_Excel_Files102[[#This Row],[Aide Massif]]/Tableau_Lancer_la_requête_à_partir_de_Excel_Files102[[#This Row],[''Coût total éligible'']]</f>
        <v>0</v>
      </c>
      <c r="I8" s="165"/>
      <c r="J8" s="8">
        <f>Tableau_Lancer_la_requête_à_partir_de_Excel_Files102[[#This Row],[''FNADT '']]+Tableau_Lancer_la_requête_à_partir_de_Excel_Files102[[#This Row],[''Agriculture'']]</f>
        <v>0</v>
      </c>
      <c r="K8" s="8"/>
      <c r="L8" s="8"/>
      <c r="M8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0</v>
      </c>
      <c r="N8" s="8"/>
      <c r="O8" s="8"/>
      <c r="P8" s="8"/>
      <c r="Q8" s="8"/>
      <c r="R8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0" t="s">
        <v>163</v>
      </c>
      <c r="AQ8" s="53"/>
      <c r="AR8" s="165"/>
      <c r="AS8" s="3"/>
      <c r="AT8" s="64"/>
    </row>
    <row r="9" spans="1:83" s="10" customFormat="1" ht="45.75" thickBot="1" x14ac:dyDescent="0.3">
      <c r="A9" s="6" t="s">
        <v>247</v>
      </c>
      <c r="B9" s="5" t="s">
        <v>251</v>
      </c>
      <c r="C9" s="5" t="s">
        <v>249</v>
      </c>
      <c r="D9" s="8">
        <v>102513.45</v>
      </c>
      <c r="E9" s="8">
        <f>Tableau_Lancer_la_requête_à_partir_de_Excel_Files102[[#This Row],[Aide Massif]]+Tableau_Lancer_la_requête_à_partir_de_Excel_Files102[[#This Row],[''Autre Public'']]</f>
        <v>0</v>
      </c>
      <c r="F9" s="9">
        <f>Tableau_Lancer_la_requête_à_partir_de_Excel_Files102[[#This Row],[Aide 
publique]]/Tableau_Lancer_la_requête_à_partir_de_Excel_Files102[[#This Row],[''Coût total éligible'']]</f>
        <v>0</v>
      </c>
      <c r="G9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0</v>
      </c>
      <c r="H9" s="9">
        <f>Tableau_Lancer_la_requête_à_partir_de_Excel_Files102[[#This Row],[Aide Massif]]/Tableau_Lancer_la_requête_à_partir_de_Excel_Files102[[#This Row],[''Coût total éligible'']]</f>
        <v>0</v>
      </c>
      <c r="I9" s="165"/>
      <c r="J9" s="8">
        <f>Tableau_Lancer_la_requête_à_partir_de_Excel_Files102[[#This Row],[''FNADT '']]+Tableau_Lancer_la_requête_à_partir_de_Excel_Files102[[#This Row],[''Agriculture'']]</f>
        <v>0</v>
      </c>
      <c r="K9" s="8"/>
      <c r="L9" s="8"/>
      <c r="M9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0</v>
      </c>
      <c r="N9" s="8"/>
      <c r="O9" s="8"/>
      <c r="P9" s="8"/>
      <c r="Q9" s="8"/>
      <c r="R9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10" t="s">
        <v>163</v>
      </c>
      <c r="AQ9" s="53"/>
      <c r="AR9" s="165"/>
      <c r="AS9" s="3"/>
      <c r="AT9" s="63"/>
    </row>
    <row r="10" spans="1:83" s="10" customFormat="1" ht="15.75" thickTop="1" x14ac:dyDescent="0.25">
      <c r="A10" s="10" t="s">
        <v>8</v>
      </c>
      <c r="B10" s="5">
        <f>SUBTOTAL(103,Tableau_Lancer_la_requête_à_partir_de_Excel_Files102[Nom_MO])</f>
        <v>3</v>
      </c>
      <c r="C10" s="5"/>
      <c r="D10" s="49">
        <f>SUBTOTAL(109,Tableau_Lancer_la_requête_à_partir_de_Excel_Files102[''Coût total éligible''])</f>
        <v>197343.97</v>
      </c>
      <c r="E10" s="49">
        <f>SUBTOTAL(109,Tableau_Lancer_la_requête_à_partir_de_Excel_Files102[Aide 
publique])</f>
        <v>17186.740000000002</v>
      </c>
      <c r="F10" s="164"/>
      <c r="G10" s="49">
        <f>SUBTOTAL(109,Tableau_Lancer_la_requête_à_partir_de_Excel_Files102[Aide Massif])</f>
        <v>17186.740000000002</v>
      </c>
      <c r="H10" s="164"/>
      <c r="I10" s="49">
        <f>SUBTOTAL(109,Tableau_Lancer_la_requête_à_partir_de_Excel_Files102[''FEDER''])</f>
        <v>0</v>
      </c>
      <c r="J10" s="49">
        <f>SUBTOTAL(109,Tableau_Lancer_la_requête_à_partir_de_Excel_Files102[Total Etat])</f>
        <v>17186.740000000002</v>
      </c>
      <c r="L10" s="49">
        <f>SUBTOTAL(109,Tableau_Lancer_la_requête_à_partir_de_Excel_Files102[''Agriculture''])</f>
        <v>0</v>
      </c>
      <c r="M10" s="49">
        <f>SUBTOTAL(109,Tableau_Lancer_la_requête_à_partir_de_Excel_Files102[Total Régions])</f>
        <v>0</v>
      </c>
      <c r="N10" s="49">
        <f>SUBTOTAL(109,Tableau_Lancer_la_requête_à_partir_de_Excel_Files102[''ALPC''])</f>
        <v>0</v>
      </c>
      <c r="O10" s="49">
        <f>SUBTOTAL(109,Tableau_Lancer_la_requête_à_partir_de_Excel_Files102[''AURA''])</f>
        <v>0</v>
      </c>
      <c r="P10" s="49">
        <f>SUBTOTAL(109,Tableau_Lancer_la_requête_à_partir_de_Excel_Files102[''BFC''])</f>
        <v>0</v>
      </c>
      <c r="Q10" s="49">
        <f>SUBTOTAL(109,Tableau_Lancer_la_requête_à_partir_de_Excel_Files102[''LRMP''])</f>
        <v>0</v>
      </c>
      <c r="R10" s="49">
        <f>SUBTOTAL(109,Tableau_Lancer_la_requête_à_partir_de_Excel_Files102[Total Dpts])</f>
        <v>0</v>
      </c>
      <c r="S10" s="49">
        <f>SUBTOTAL(109,Tableau_Lancer_la_requête_à_partir_de_Excel_Files102[''03''])</f>
        <v>0</v>
      </c>
      <c r="T10" s="49">
        <f>SUBTOTAL(109,Tableau_Lancer_la_requête_à_partir_de_Excel_Files102[''07''])</f>
        <v>0</v>
      </c>
      <c r="U10" s="49">
        <f>SUBTOTAL(109,Tableau_Lancer_la_requête_à_partir_de_Excel_Files102[''11''])</f>
        <v>0</v>
      </c>
      <c r="V10" s="49">
        <f>SUBTOTAL(109,Tableau_Lancer_la_requête_à_partir_de_Excel_Files102[''12''])</f>
        <v>0</v>
      </c>
      <c r="W10" s="49">
        <f>SUBTOTAL(109,Tableau_Lancer_la_requête_à_partir_de_Excel_Files102[''15''])</f>
        <v>0</v>
      </c>
      <c r="X10" s="49">
        <f>SUBTOTAL(109,Tableau_Lancer_la_requête_à_partir_de_Excel_Files102[''19''])</f>
        <v>0</v>
      </c>
      <c r="Y10" s="49">
        <f>SUBTOTAL(109,Tableau_Lancer_la_requête_à_partir_de_Excel_Files102[''21''])</f>
        <v>0</v>
      </c>
      <c r="Z10" s="49">
        <f>SUBTOTAL(109,Tableau_Lancer_la_requête_à_partir_de_Excel_Files102[''23''])</f>
        <v>0</v>
      </c>
      <c r="AA10" s="49">
        <f>SUBTOTAL(109,Tableau_Lancer_la_requête_à_partir_de_Excel_Files102[''30''])</f>
        <v>0</v>
      </c>
      <c r="AB10" s="49">
        <f>SUBTOTAL(109,Tableau_Lancer_la_requête_à_partir_de_Excel_Files102[''34''])</f>
        <v>0</v>
      </c>
      <c r="AC10" s="49">
        <f>SUBTOTAL(109,Tableau_Lancer_la_requête_à_partir_de_Excel_Files102[''42''])</f>
        <v>0</v>
      </c>
      <c r="AD10" s="49">
        <f>SUBTOTAL(109,Tableau_Lancer_la_requête_à_partir_de_Excel_Files102[''43''])</f>
        <v>0</v>
      </c>
      <c r="AE10" s="49">
        <f>SUBTOTAL(109,Tableau_Lancer_la_requête_à_partir_de_Excel_Files102[''46''])</f>
        <v>0</v>
      </c>
      <c r="AF10" s="49">
        <f>SUBTOTAL(109,Tableau_Lancer_la_requête_à_partir_de_Excel_Files102[''48''])</f>
        <v>0</v>
      </c>
      <c r="AG10" s="49">
        <f>SUBTOTAL(109,Tableau_Lancer_la_requête_à_partir_de_Excel_Files102[''58''])</f>
        <v>0</v>
      </c>
      <c r="AH10" s="49">
        <f>SUBTOTAL(109,Tableau_Lancer_la_requête_à_partir_de_Excel_Files102[''63''])</f>
        <v>0</v>
      </c>
      <c r="AI10" s="49">
        <f>SUBTOTAL(109,Tableau_Lancer_la_requête_à_partir_de_Excel_Files102[''69''])</f>
        <v>0</v>
      </c>
      <c r="AJ10" s="49">
        <f>SUBTOTAL(109,Tableau_Lancer_la_requête_à_partir_de_Excel_Files102[''71''])</f>
        <v>0</v>
      </c>
      <c r="AK10" s="49">
        <f>SUBTOTAL(109,Tableau_Lancer_la_requête_à_partir_de_Excel_Files102[''81''])</f>
        <v>0</v>
      </c>
      <c r="AL10" s="49">
        <f>SUBTOTAL(109,Tableau_Lancer_la_requête_à_partir_de_Excel_Files102[''82''])</f>
        <v>0</v>
      </c>
      <c r="AM10" s="49">
        <f>SUBTOTAL(109,Tableau_Lancer_la_requête_à_partir_de_Excel_Files102[''87''])</f>
        <v>0</v>
      </c>
      <c r="AN10" s="49">
        <f>SUBTOTAL(109,Tableau_Lancer_la_requête_à_partir_de_Excel_Files102[''89''])</f>
        <v>0</v>
      </c>
      <c r="AO10" s="49">
        <f>SUBTOTAL(109,Tableau_Lancer_la_requête_à_partir_de_Excel_Files102[''Autre Public''])</f>
        <v>0</v>
      </c>
      <c r="AR10" s="83"/>
      <c r="AS10" s="3"/>
      <c r="AT10" s="65"/>
    </row>
    <row r="11" spans="1:83" s="10" customFormat="1" x14ac:dyDescent="0.25">
      <c r="A11" s="3"/>
      <c r="B11" s="4"/>
      <c r="C11" s="5"/>
      <c r="D11" s="3"/>
      <c r="E11" s="3"/>
      <c r="F11" s="6"/>
      <c r="G11" s="3"/>
      <c r="H11" s="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83" x14ac:dyDescent="0.25">
      <c r="AT12" s="10"/>
      <c r="AU12" s="10"/>
      <c r="CA12" s="4"/>
      <c r="CE12" s="3"/>
    </row>
    <row r="13" spans="1:83" x14ac:dyDescent="0.25">
      <c r="AU13" s="10"/>
      <c r="CA13" s="4"/>
      <c r="CE13" s="3"/>
    </row>
    <row r="14" spans="1:83" x14ac:dyDescent="0.25">
      <c r="AU14" s="10"/>
      <c r="CA14" s="4"/>
      <c r="CE14" s="3"/>
    </row>
    <row r="15" spans="1:83" x14ac:dyDescent="0.25">
      <c r="CA15" s="4"/>
      <c r="CE15" s="3"/>
    </row>
    <row r="16" spans="1:83" x14ac:dyDescent="0.25">
      <c r="CA16" s="4"/>
      <c r="CE16" s="3"/>
    </row>
    <row r="17" spans="1:83" s="7" customFormat="1" x14ac:dyDescent="0.25">
      <c r="A17" s="3"/>
      <c r="B17" s="4"/>
      <c r="C17" s="5"/>
      <c r="D17" s="3"/>
      <c r="E17" s="3"/>
      <c r="F17" s="6"/>
      <c r="G17" s="3"/>
      <c r="H17" s="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5"/>
      <c r="AT17" s="3"/>
    </row>
    <row r="18" spans="1:83" s="10" customFormat="1" x14ac:dyDescent="0.25">
      <c r="A18" s="3"/>
      <c r="B18" s="4"/>
      <c r="C18" s="5"/>
      <c r="D18" s="3"/>
      <c r="E18" s="3"/>
      <c r="F18" s="6"/>
      <c r="G18" s="3"/>
      <c r="H18" s="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83" x14ac:dyDescent="0.25">
      <c r="BZ19" s="4"/>
      <c r="CE19" s="3"/>
    </row>
    <row r="20" spans="1:83" hidden="1" x14ac:dyDescent="0.25">
      <c r="E20" s="3" t="s">
        <v>82</v>
      </c>
      <c r="F20" s="6" t="s">
        <v>81</v>
      </c>
    </row>
    <row r="21" spans="1:83" hidden="1" x14ac:dyDescent="0.25">
      <c r="D21" t="s">
        <v>57</v>
      </c>
      <c r="E21" s="3">
        <f>I21+J21</f>
        <v>0</v>
      </c>
      <c r="F21" s="3">
        <f>R21+AO21</f>
        <v>0</v>
      </c>
      <c r="I21" s="3">
        <f>SUMIF(Tableau_Lancer_la_requête_à_partir_de_Excel_Files102[Avis Prog],"1-Favorable",Tableau_Lancer_la_requête_à_partir_de_Excel_Files102[''FEDER''])</f>
        <v>0</v>
      </c>
      <c r="J21" s="3">
        <f>SUMIF(Tableau_Lancer_la_requête_à_partir_de_Excel_Files102[Avis Prog],"2-Favorable sous réserve",Tableau_Lancer_la_requête_à_partir_de_Excel_Files102[''FEDER''])</f>
        <v>0</v>
      </c>
      <c r="R21" s="3">
        <f>SUMIF(Tableau_Lancer_la_requête_à_partir_de_Excel_Files102[Avis Cofimac],"1-Favorable",Tableau_Lancer_la_requête_à_partir_de_Excel_Files102[''FEDER''])</f>
        <v>0</v>
      </c>
      <c r="AO21" s="3">
        <f>SUMIF(Tableau_Lancer_la_requête_à_partir_de_Excel_Files102[Avis Cofimac],"2-Favorable sous réserve",Tableau_Lancer_la_requête_à_partir_de_Excel_Files102[''FEDER''])</f>
        <v>0</v>
      </c>
    </row>
    <row r="22" spans="1:83" hidden="1" x14ac:dyDescent="0.25">
      <c r="D22" t="s">
        <v>46</v>
      </c>
      <c r="E22" s="3">
        <f t="shared" ref="E22:E50" si="0">I22+J22</f>
        <v>0</v>
      </c>
      <c r="F22" s="3">
        <f t="shared" ref="F22:F50" si="1">R22+AO22</f>
        <v>0</v>
      </c>
      <c r="I22" s="3">
        <f>SUMIF(Tableau_Lancer_la_requête_à_partir_de_Excel_Files102[Avis Prog],"1-Favorable",Tableau_Lancer_la_requête_à_partir_de_Excel_Files102[Total Etat])</f>
        <v>0</v>
      </c>
      <c r="J22" s="3">
        <f>SUMIF(Tableau_Lancer_la_requête_à_partir_de_Excel_Files102[Avis Prog],"2-Favorable sous réserve",Tableau_Lancer_la_requête_à_partir_de_Excel_Files102[Total Etat])</f>
        <v>0</v>
      </c>
      <c r="R22" s="3">
        <f>SUMIF(Tableau_Lancer_la_requête_à_partir_de_Excel_Files102[Avis Cofimac],"1-Favorable",Tableau_Lancer_la_requête_à_partir_de_Excel_Files102[Total Etat])</f>
        <v>0</v>
      </c>
      <c r="AO22" s="3">
        <f>SUMIF(Tableau_Lancer_la_requête_à_partir_de_Excel_Files102[Avis Cofimac],"2-Favorable sous réserve",Tableau_Lancer_la_requête_à_partir_de_Excel_Files102[Total Etat])</f>
        <v>0</v>
      </c>
    </row>
    <row r="23" spans="1:83" hidden="1" x14ac:dyDescent="0.25">
      <c r="D23" t="s">
        <v>47</v>
      </c>
      <c r="E23" s="3">
        <f t="shared" si="0"/>
        <v>0</v>
      </c>
      <c r="F23" s="3">
        <f t="shared" si="1"/>
        <v>0</v>
      </c>
      <c r="I23" s="3">
        <f>SUMIF(Tableau_Lancer_la_requête_à_partir_de_Excel_Files102[Avis Prog],"1-Favorable",Tableau_Lancer_la_requête_à_partir_de_Excel_Files102[Total Régions])</f>
        <v>0</v>
      </c>
      <c r="J23" s="3">
        <f>SUMIF(Tableau_Lancer_la_requête_à_partir_de_Excel_Files102[Avis Prog],"2-Favorable sous réserve",Tableau_Lancer_la_requête_à_partir_de_Excel_Files102[Total Régions])</f>
        <v>0</v>
      </c>
      <c r="R23" s="3">
        <f>SUMIF(Tableau_Lancer_la_requête_à_partir_de_Excel_Files102[Avis Cofimac],"1-Favorable",Tableau_Lancer_la_requête_à_partir_de_Excel_Files102[Total Régions])</f>
        <v>0</v>
      </c>
      <c r="AO23" s="3">
        <f>SUMIF(Tableau_Lancer_la_requête_à_partir_de_Excel_Files102[Avis Cofimac],"2-Favorable sous réserve",Tableau_Lancer_la_requête_à_partir_de_Excel_Files102[Total Régions])</f>
        <v>0</v>
      </c>
    </row>
    <row r="24" spans="1:83" hidden="1" x14ac:dyDescent="0.25">
      <c r="D24" s="3" t="s">
        <v>58</v>
      </c>
      <c r="E24" s="3">
        <f t="shared" si="0"/>
        <v>0</v>
      </c>
      <c r="F24" s="3">
        <f t="shared" si="1"/>
        <v>0</v>
      </c>
      <c r="I24" s="3">
        <f>SUMIF(Tableau_Lancer_la_requête_à_partir_de_Excel_Files102[Avis Prog],"1-Favorable",Tableau_Lancer_la_requête_à_partir_de_Excel_Files102[''ALPC''])</f>
        <v>0</v>
      </c>
      <c r="J24" s="3">
        <f>SUMIF(Tableau_Lancer_la_requête_à_partir_de_Excel_Files102[Avis Prog],"2-Favorable sous réserve",Tableau_Lancer_la_requête_à_partir_de_Excel_Files102[''ALPC''])</f>
        <v>0</v>
      </c>
      <c r="R24" s="3">
        <f>SUMIF(Tableau_Lancer_la_requête_à_partir_de_Excel_Files102[Avis Cofimac],"1-Favorable",Tableau_Lancer_la_requête_à_partir_de_Excel_Files102[''ALPC''])</f>
        <v>0</v>
      </c>
      <c r="AO24" s="3">
        <f>SUMIF(Tableau_Lancer_la_requête_à_partir_de_Excel_Files102[Avis Cofimac],"2-Favorable sous réserve",Tableau_Lancer_la_requête_à_partir_de_Excel_Files102[''ALPC''])</f>
        <v>0</v>
      </c>
    </row>
    <row r="25" spans="1:83" hidden="1" x14ac:dyDescent="0.25">
      <c r="D25" s="3" t="s">
        <v>59</v>
      </c>
      <c r="E25" s="3">
        <f t="shared" si="0"/>
        <v>0</v>
      </c>
      <c r="F25" s="3">
        <f t="shared" si="1"/>
        <v>0</v>
      </c>
      <c r="I25" s="3">
        <f>SUMIF(Tableau_Lancer_la_requête_à_partir_de_Excel_Files102[Avis Prog],"1-Favorable",Tableau_Lancer_la_requête_à_partir_de_Excel_Files102[''AURA''])</f>
        <v>0</v>
      </c>
      <c r="J25" s="3">
        <f>SUMIF(Tableau_Lancer_la_requête_à_partir_de_Excel_Files102[Avis Prog],"2-Favorable sous réserve",Tableau_Lancer_la_requête_à_partir_de_Excel_Files102[''AURA''])</f>
        <v>0</v>
      </c>
      <c r="R25" s="3">
        <f>SUMIF(Tableau_Lancer_la_requête_à_partir_de_Excel_Files102[Avis Cofimac],"1-Favorable",Tableau_Lancer_la_requête_à_partir_de_Excel_Files102[''AURA''])</f>
        <v>0</v>
      </c>
      <c r="AO25" s="3">
        <f>SUMIF(Tableau_Lancer_la_requête_à_partir_de_Excel_Files102[Avis Cofimac],"2-Favorable sous réserve",Tableau_Lancer_la_requête_à_partir_de_Excel_Files102[''AURA''])</f>
        <v>0</v>
      </c>
    </row>
    <row r="26" spans="1:83" hidden="1" x14ac:dyDescent="0.25">
      <c r="D26" s="3" t="s">
        <v>60</v>
      </c>
      <c r="E26" s="3">
        <f t="shared" si="0"/>
        <v>0</v>
      </c>
      <c r="F26" s="3">
        <f t="shared" si="1"/>
        <v>0</v>
      </c>
      <c r="I26" s="3">
        <f>SUMIF(Tableau_Lancer_la_requête_à_partir_de_Excel_Files102[Avis Prog],"1-Favorable",Tableau_Lancer_la_requête_à_partir_de_Excel_Files102[''BFC''])</f>
        <v>0</v>
      </c>
      <c r="J26" s="3">
        <f>SUMIF(Tableau_Lancer_la_requête_à_partir_de_Excel_Files102[Avis Prog],"2-Favorable sous réserve",Tableau_Lancer_la_requête_à_partir_de_Excel_Files102[''BFC''])</f>
        <v>0</v>
      </c>
      <c r="R26" s="3">
        <f>SUMIF(Tableau_Lancer_la_requête_à_partir_de_Excel_Files102[Avis Cofimac],"1-Favorable",Tableau_Lancer_la_requête_à_partir_de_Excel_Files102[''BFC''])</f>
        <v>0</v>
      </c>
      <c r="AO26" s="3">
        <f>SUMIF(Tableau_Lancer_la_requête_à_partir_de_Excel_Files102[Avis Cofimac],"2-Favorable sous réserve",Tableau_Lancer_la_requête_à_partir_de_Excel_Files102[''BFC''])</f>
        <v>0</v>
      </c>
    </row>
    <row r="27" spans="1:83" hidden="1" x14ac:dyDescent="0.25">
      <c r="D27" s="3" t="s">
        <v>61</v>
      </c>
      <c r="E27" s="3">
        <f t="shared" si="0"/>
        <v>0</v>
      </c>
      <c r="F27" s="3">
        <f t="shared" si="1"/>
        <v>0</v>
      </c>
      <c r="I27" s="3">
        <f>SUMIF(Tableau_Lancer_la_requête_à_partir_de_Excel_Files102[Avis Prog],"1-Favorable",Tableau_Lancer_la_requête_à_partir_de_Excel_Files102[''LRMP''])</f>
        <v>0</v>
      </c>
      <c r="J27" s="3">
        <f>SUMIF(Tableau_Lancer_la_requête_à_partir_de_Excel_Files102[Avis Prog],"2-Favorable sous réserve",Tableau_Lancer_la_requête_à_partir_de_Excel_Files102[''LRMP''])</f>
        <v>0</v>
      </c>
      <c r="R27" s="3">
        <f>SUMIF(Tableau_Lancer_la_requête_à_partir_de_Excel_Files102[Avis Cofimac],"1-Favorable",Tableau_Lancer_la_requête_à_partir_de_Excel_Files102[''LRMP''])</f>
        <v>0</v>
      </c>
      <c r="AO27" s="3">
        <f>SUMIF(Tableau_Lancer_la_requête_à_partir_de_Excel_Files102[Avis Cofimac],"2-Favorable sous réserve",Tableau_Lancer_la_requête_à_partir_de_Excel_Files102[''LRMP''])</f>
        <v>0</v>
      </c>
    </row>
    <row r="28" spans="1:83" hidden="1" x14ac:dyDescent="0.25">
      <c r="D28" t="s">
        <v>48</v>
      </c>
      <c r="E28" s="3">
        <f t="shared" si="0"/>
        <v>0</v>
      </c>
      <c r="F28" s="3">
        <f t="shared" si="1"/>
        <v>0</v>
      </c>
      <c r="I28" s="3">
        <f>SUMIF(Tableau_Lancer_la_requête_à_partir_de_Excel_Files102[Avis Prog],"1-Favorable",Tableau_Lancer_la_requête_à_partir_de_Excel_Files102[Total Dpts])</f>
        <v>0</v>
      </c>
      <c r="J28" s="3">
        <f>SUMIF(Tableau_Lancer_la_requête_à_partir_de_Excel_Files102[Avis Prog],"2-Favorable sous réserve",Tableau_Lancer_la_requête_à_partir_de_Excel_Files102[Total Dpts])</f>
        <v>0</v>
      </c>
      <c r="R28" s="3">
        <f>SUMIF(Tableau_Lancer_la_requête_à_partir_de_Excel_Files102[Avis Cofimac],"1-Favorable",Tableau_Lancer_la_requête_à_partir_de_Excel_Files102[Total Dpts])</f>
        <v>0</v>
      </c>
      <c r="AO28" s="3">
        <f>SUMIF(Tableau_Lancer_la_requête_à_partir_de_Excel_Files102[Avis Cofimac],"2-Favorable sous réserve",Tableau_Lancer_la_requête_à_partir_de_Excel_Files102[Total Dpts])</f>
        <v>0</v>
      </c>
    </row>
    <row r="29" spans="1:83" hidden="1" x14ac:dyDescent="0.25">
      <c r="D29" t="s">
        <v>22</v>
      </c>
      <c r="E29" s="3">
        <f t="shared" si="0"/>
        <v>0</v>
      </c>
      <c r="F29" s="3">
        <f t="shared" si="1"/>
        <v>0</v>
      </c>
      <c r="I29" s="3">
        <f>SUMIF(Tableau_Lancer_la_requête_à_partir_de_Excel_Files102[Avis Prog],"1-Favorable",Tableau_Lancer_la_requête_à_partir_de_Excel_Files102[''03''])</f>
        <v>0</v>
      </c>
      <c r="J29" s="3">
        <f>SUMIF(Tableau_Lancer_la_requête_à_partir_de_Excel_Files102[Avis Prog],"2-Favorable sous réserve",Tableau_Lancer_la_requête_à_partir_de_Excel_Files102[''03''])</f>
        <v>0</v>
      </c>
      <c r="R29" s="3">
        <f>SUMIF(Tableau_Lancer_la_requête_à_partir_de_Excel_Files102[Avis Cofimac],"1-Favorable",Tableau_Lancer_la_requête_à_partir_de_Excel_Files102[''03''])</f>
        <v>0</v>
      </c>
      <c r="AO29" s="3">
        <f>SUMIF(Tableau_Lancer_la_requête_à_partir_de_Excel_Files102[Avis Cofimac],"2-Favorable sous réserve",Tableau_Lancer_la_requête_à_partir_de_Excel_Files102[''03''])</f>
        <v>0</v>
      </c>
    </row>
    <row r="30" spans="1:83" hidden="1" x14ac:dyDescent="0.25">
      <c r="D30" t="s">
        <v>23</v>
      </c>
      <c r="E30" s="3">
        <f t="shared" si="0"/>
        <v>0</v>
      </c>
      <c r="F30" s="3">
        <f t="shared" si="1"/>
        <v>0</v>
      </c>
      <c r="I30" s="3">
        <f>SUMIF(Tableau_Lancer_la_requête_à_partir_de_Excel_Files102[Avis Prog],"1-Favorable",Tableau_Lancer_la_requête_à_partir_de_Excel_Files102[''07''])</f>
        <v>0</v>
      </c>
      <c r="J30" s="3">
        <f>SUMIF(Tableau_Lancer_la_requête_à_partir_de_Excel_Files102[Avis Prog],"2-Favorable sous réserve",Tableau_Lancer_la_requête_à_partir_de_Excel_Files102[''07''])</f>
        <v>0</v>
      </c>
      <c r="R30" s="3">
        <f>SUMIF(Tableau_Lancer_la_requête_à_partir_de_Excel_Files102[Avis Cofimac],"1-Favorable",Tableau_Lancer_la_requête_à_partir_de_Excel_Files102[''07''])</f>
        <v>0</v>
      </c>
      <c r="AO30" s="3">
        <f>SUMIF(Tableau_Lancer_la_requête_à_partir_de_Excel_Files102[Avis Cofimac],"2-Favorable sous réserve",Tableau_Lancer_la_requête_à_partir_de_Excel_Files102[''07''])</f>
        <v>0</v>
      </c>
    </row>
    <row r="31" spans="1:83" hidden="1" x14ac:dyDescent="0.25">
      <c r="D31" t="s">
        <v>24</v>
      </c>
      <c r="E31" s="3">
        <f t="shared" si="0"/>
        <v>0</v>
      </c>
      <c r="F31" s="3">
        <f t="shared" si="1"/>
        <v>0</v>
      </c>
      <c r="I31" s="3">
        <f>SUMIF(Tableau_Lancer_la_requête_à_partir_de_Excel_Files102[Avis Prog],"1-Favorable",Tableau_Lancer_la_requête_à_partir_de_Excel_Files102[''11''])</f>
        <v>0</v>
      </c>
      <c r="J31" s="3">
        <f>SUMIF(Tableau_Lancer_la_requête_à_partir_de_Excel_Files102[Avis Prog],"2-Favorable sous réserve",Tableau_Lancer_la_requête_à_partir_de_Excel_Files102[''11''])</f>
        <v>0</v>
      </c>
      <c r="R31" s="3">
        <f>SUMIF(Tableau_Lancer_la_requête_à_partir_de_Excel_Files102[Avis Cofimac],"1-Favorable",Tableau_Lancer_la_requête_à_partir_de_Excel_Files102[''11''])</f>
        <v>0</v>
      </c>
      <c r="AO31" s="3">
        <f>SUMIF(Tableau_Lancer_la_requête_à_partir_de_Excel_Files102[Avis Cofimac],"2-Favorable sous réserve",Tableau_Lancer_la_requête_à_partir_de_Excel_Files102[''11''])</f>
        <v>0</v>
      </c>
    </row>
    <row r="32" spans="1:83" hidden="1" x14ac:dyDescent="0.25">
      <c r="D32" t="s">
        <v>25</v>
      </c>
      <c r="E32" s="3">
        <f t="shared" si="0"/>
        <v>0</v>
      </c>
      <c r="F32" s="3">
        <f t="shared" si="1"/>
        <v>0</v>
      </c>
      <c r="I32" s="3">
        <f>SUMIF(Tableau_Lancer_la_requête_à_partir_de_Excel_Files102[Avis Prog],"1-Favorable",Tableau_Lancer_la_requête_à_partir_de_Excel_Files102[''12''])</f>
        <v>0</v>
      </c>
      <c r="J32" s="3">
        <f>SUMIF(Tableau_Lancer_la_requête_à_partir_de_Excel_Files102[Avis Prog],"2-Favorable sous réserve",Tableau_Lancer_la_requête_à_partir_de_Excel_Files102[''12''])</f>
        <v>0</v>
      </c>
      <c r="R32" s="3">
        <f>SUMIF(Tableau_Lancer_la_requête_à_partir_de_Excel_Files102[Avis Cofimac],"1-Favorable",Tableau_Lancer_la_requête_à_partir_de_Excel_Files102[''12''])</f>
        <v>0</v>
      </c>
      <c r="AO32" s="3">
        <f>SUMIF(Tableau_Lancer_la_requête_à_partir_de_Excel_Files102[Avis Cofimac],"2-Favorable sous réserve",Tableau_Lancer_la_requête_à_partir_de_Excel_Files102[''12''])</f>
        <v>0</v>
      </c>
    </row>
    <row r="33" spans="4:41" hidden="1" x14ac:dyDescent="0.25">
      <c r="D33" t="s">
        <v>26</v>
      </c>
      <c r="E33" s="3">
        <f t="shared" si="0"/>
        <v>0</v>
      </c>
      <c r="F33" s="3">
        <f t="shared" si="1"/>
        <v>0</v>
      </c>
      <c r="I33" s="3">
        <f>SUMIF(Tableau_Lancer_la_requête_à_partir_de_Excel_Files102[Avis Prog],"1-Favorable",Tableau_Lancer_la_requête_à_partir_de_Excel_Files102[''15''])</f>
        <v>0</v>
      </c>
      <c r="J33" s="3">
        <f>SUMIF(Tableau_Lancer_la_requête_à_partir_de_Excel_Files102[Avis Prog],"2-Favorable sous réserve",Tableau_Lancer_la_requête_à_partir_de_Excel_Files102[''15''])</f>
        <v>0</v>
      </c>
      <c r="R33" s="3">
        <f>SUMIF(Tableau_Lancer_la_requête_à_partir_de_Excel_Files102[Avis Cofimac],"1-Favorable",Tableau_Lancer_la_requête_à_partir_de_Excel_Files102[''15''])</f>
        <v>0</v>
      </c>
      <c r="AO33" s="3">
        <f>SUMIF(Tableau_Lancer_la_requête_à_partir_de_Excel_Files102[Avis Cofimac],"2-Favorable sous réserve",Tableau_Lancer_la_requête_à_partir_de_Excel_Files102[''15''])</f>
        <v>0</v>
      </c>
    </row>
    <row r="34" spans="4:41" hidden="1" x14ac:dyDescent="0.25">
      <c r="D34" t="s">
        <v>27</v>
      </c>
      <c r="E34" s="3">
        <f t="shared" si="0"/>
        <v>0</v>
      </c>
      <c r="F34" s="3">
        <f t="shared" si="1"/>
        <v>0</v>
      </c>
      <c r="I34" s="3">
        <f>SUMIF(Tableau_Lancer_la_requête_à_partir_de_Excel_Files102[Avis Prog],"1-Favorable",Tableau_Lancer_la_requête_à_partir_de_Excel_Files102[''19''])</f>
        <v>0</v>
      </c>
      <c r="J34" s="3">
        <f>SUMIF(Tableau_Lancer_la_requête_à_partir_de_Excel_Files102[Avis Prog],"2-Favorable sous réserve",Tableau_Lancer_la_requête_à_partir_de_Excel_Files102[''19''])</f>
        <v>0</v>
      </c>
      <c r="R34" s="3">
        <f>SUMIF(Tableau_Lancer_la_requête_à_partir_de_Excel_Files102[Avis Cofimac],"1-Favorable",Tableau_Lancer_la_requête_à_partir_de_Excel_Files102[''19''])</f>
        <v>0</v>
      </c>
      <c r="AO34" s="3">
        <f>SUMIF(Tableau_Lancer_la_requête_à_partir_de_Excel_Files102[Avis Cofimac],"2-Favorable sous réserve",Tableau_Lancer_la_requête_à_partir_de_Excel_Files102[''19''])</f>
        <v>0</v>
      </c>
    </row>
    <row r="35" spans="4:41" hidden="1" x14ac:dyDescent="0.25">
      <c r="D35" t="s">
        <v>28</v>
      </c>
      <c r="E35" s="3">
        <f t="shared" si="0"/>
        <v>0</v>
      </c>
      <c r="F35" s="3">
        <f t="shared" si="1"/>
        <v>0</v>
      </c>
      <c r="I35" s="3">
        <f>SUMIF(Tableau_Lancer_la_requête_à_partir_de_Excel_Files102[Avis Prog],"1-Favorable",Tableau_Lancer_la_requête_à_partir_de_Excel_Files102[''21''])</f>
        <v>0</v>
      </c>
      <c r="J35" s="3">
        <f>SUMIF(Tableau_Lancer_la_requête_à_partir_de_Excel_Files102[Avis Prog],"2-Favorable sous réserve",Tableau_Lancer_la_requête_à_partir_de_Excel_Files102[''21''])</f>
        <v>0</v>
      </c>
      <c r="R35" s="3">
        <f>SUMIF(Tableau_Lancer_la_requête_à_partir_de_Excel_Files102[Avis Cofimac],"1-Favorable",Tableau_Lancer_la_requête_à_partir_de_Excel_Files102[''21''])</f>
        <v>0</v>
      </c>
      <c r="AO35" s="3">
        <f>SUMIF(Tableau_Lancer_la_requête_à_partir_de_Excel_Files102[Avis Cofimac],"2-Favorable sous réserve",Tableau_Lancer_la_requête_à_partir_de_Excel_Files102[''21''])</f>
        <v>0</v>
      </c>
    </row>
    <row r="36" spans="4:41" hidden="1" x14ac:dyDescent="0.25">
      <c r="D36" t="s">
        <v>29</v>
      </c>
      <c r="E36" s="3">
        <f t="shared" si="0"/>
        <v>0</v>
      </c>
      <c r="F36" s="3">
        <f t="shared" si="1"/>
        <v>0</v>
      </c>
      <c r="I36" s="3">
        <f>SUMIF(Tableau_Lancer_la_requête_à_partir_de_Excel_Files102[Avis Prog],"1-Favorable",Tableau_Lancer_la_requête_à_partir_de_Excel_Files102[''23''])</f>
        <v>0</v>
      </c>
      <c r="J36" s="3">
        <f>SUMIF(Tableau_Lancer_la_requête_à_partir_de_Excel_Files102[Avis Prog],"2-Favorable sous réserve",Tableau_Lancer_la_requête_à_partir_de_Excel_Files102[''23''])</f>
        <v>0</v>
      </c>
      <c r="R36" s="3">
        <f>SUMIF(Tableau_Lancer_la_requête_à_partir_de_Excel_Files102[Avis Cofimac],"1-Favorable",Tableau_Lancer_la_requête_à_partir_de_Excel_Files102[''23''])</f>
        <v>0</v>
      </c>
      <c r="AO36" s="3">
        <f>SUMIF(Tableau_Lancer_la_requête_à_partir_de_Excel_Files102[Avis Cofimac],"2-Favorable sous réserve",Tableau_Lancer_la_requête_à_partir_de_Excel_Files102[''23''])</f>
        <v>0</v>
      </c>
    </row>
    <row r="37" spans="4:41" hidden="1" x14ac:dyDescent="0.25">
      <c r="D37" t="s">
        <v>30</v>
      </c>
      <c r="E37" s="3">
        <f t="shared" si="0"/>
        <v>0</v>
      </c>
      <c r="F37" s="3">
        <f t="shared" si="1"/>
        <v>0</v>
      </c>
      <c r="I37" s="3">
        <f>SUMIF(Tableau_Lancer_la_requête_à_partir_de_Excel_Files102[Avis Prog],"1-Favorable",Tableau_Lancer_la_requête_à_partir_de_Excel_Files102[''30''])</f>
        <v>0</v>
      </c>
      <c r="J37" s="3">
        <f>SUMIF(Tableau_Lancer_la_requête_à_partir_de_Excel_Files102[Avis Prog],"2-Favorable sous réserve",Tableau_Lancer_la_requête_à_partir_de_Excel_Files102[''30''])</f>
        <v>0</v>
      </c>
      <c r="R37" s="3">
        <f>SUMIF(Tableau_Lancer_la_requête_à_partir_de_Excel_Files102[Avis Cofimac],"1-Favorable",Tableau_Lancer_la_requête_à_partir_de_Excel_Files102[''30''])</f>
        <v>0</v>
      </c>
      <c r="AO37" s="3">
        <f>SUMIF(Tableau_Lancer_la_requête_à_partir_de_Excel_Files102[Avis Cofimac],"2-Favorable sous réserve",Tableau_Lancer_la_requête_à_partir_de_Excel_Files102[''30''])</f>
        <v>0</v>
      </c>
    </row>
    <row r="38" spans="4:41" hidden="1" x14ac:dyDescent="0.25">
      <c r="D38" t="s">
        <v>31</v>
      </c>
      <c r="E38" s="3">
        <f t="shared" si="0"/>
        <v>0</v>
      </c>
      <c r="F38" s="3">
        <f t="shared" si="1"/>
        <v>0</v>
      </c>
      <c r="I38" s="3">
        <f>SUMIF(Tableau_Lancer_la_requête_à_partir_de_Excel_Files102[Avis Prog],"1-Favorable",Tableau_Lancer_la_requête_à_partir_de_Excel_Files102[''34''])</f>
        <v>0</v>
      </c>
      <c r="J38" s="3">
        <f>SUMIF(Tableau_Lancer_la_requête_à_partir_de_Excel_Files102[Avis Prog],"2-Favorable sous réserve",Tableau_Lancer_la_requête_à_partir_de_Excel_Files102[''34''])</f>
        <v>0</v>
      </c>
      <c r="R38" s="3">
        <f>SUMIF(Tableau_Lancer_la_requête_à_partir_de_Excel_Files102[Avis Cofimac],"1-Favorable",Tableau_Lancer_la_requête_à_partir_de_Excel_Files102[''34''])</f>
        <v>0</v>
      </c>
      <c r="AO38" s="3">
        <f>SUMIF(Tableau_Lancer_la_requête_à_partir_de_Excel_Files102[Avis Cofimac],"2-Favorable sous réserve",Tableau_Lancer_la_requête_à_partir_de_Excel_Files102[''34''])</f>
        <v>0</v>
      </c>
    </row>
    <row r="39" spans="4:41" hidden="1" x14ac:dyDescent="0.25">
      <c r="D39" t="s">
        <v>32</v>
      </c>
      <c r="E39" s="3">
        <f t="shared" si="0"/>
        <v>0</v>
      </c>
      <c r="F39" s="3">
        <f t="shared" si="1"/>
        <v>0</v>
      </c>
      <c r="I39" s="3">
        <f>SUMIF(Tableau_Lancer_la_requête_à_partir_de_Excel_Files102[Avis Prog],"1-Favorable",Tableau_Lancer_la_requête_à_partir_de_Excel_Files102[''42''])</f>
        <v>0</v>
      </c>
      <c r="J39" s="3">
        <f>SUMIF(Tableau_Lancer_la_requête_à_partir_de_Excel_Files102[Avis Prog],"2-Favorable sous réserve",Tableau_Lancer_la_requête_à_partir_de_Excel_Files102[''42''])</f>
        <v>0</v>
      </c>
      <c r="R39" s="3">
        <f>SUMIF(Tableau_Lancer_la_requête_à_partir_de_Excel_Files102[Avis Cofimac],"1-Favorable",Tableau_Lancer_la_requête_à_partir_de_Excel_Files102[''42''])</f>
        <v>0</v>
      </c>
      <c r="AO39" s="3">
        <f>SUMIF(Tableau_Lancer_la_requête_à_partir_de_Excel_Files102[Avis Cofimac],"2-Favorable sous réserve",Tableau_Lancer_la_requête_à_partir_de_Excel_Files102[''42''])</f>
        <v>0</v>
      </c>
    </row>
    <row r="40" spans="4:41" hidden="1" x14ac:dyDescent="0.25">
      <c r="D40" t="s">
        <v>33</v>
      </c>
      <c r="E40" s="3">
        <f t="shared" si="0"/>
        <v>0</v>
      </c>
      <c r="F40" s="3">
        <f t="shared" si="1"/>
        <v>0</v>
      </c>
      <c r="I40" s="3">
        <f>SUMIF(Tableau_Lancer_la_requête_à_partir_de_Excel_Files102[Avis Prog],"1-Favorable",Tableau_Lancer_la_requête_à_partir_de_Excel_Files102[''43''])</f>
        <v>0</v>
      </c>
      <c r="J40" s="3">
        <f>SUMIF(Tableau_Lancer_la_requête_à_partir_de_Excel_Files102[Avis Prog],"2-Favorable sous réserve",Tableau_Lancer_la_requête_à_partir_de_Excel_Files102[''43''])</f>
        <v>0</v>
      </c>
      <c r="R40" s="3">
        <f>SUMIF(Tableau_Lancer_la_requête_à_partir_de_Excel_Files102[Avis Cofimac],"1-Favorable",Tableau_Lancer_la_requête_à_partir_de_Excel_Files102[''43''])</f>
        <v>0</v>
      </c>
      <c r="AO40" s="3">
        <f>SUMIF(Tableau_Lancer_la_requête_à_partir_de_Excel_Files102[Avis Cofimac],"2-Favorable sous réserve",Tableau_Lancer_la_requête_à_partir_de_Excel_Files102[''43''])</f>
        <v>0</v>
      </c>
    </row>
    <row r="41" spans="4:41" hidden="1" x14ac:dyDescent="0.25">
      <c r="D41" t="s">
        <v>34</v>
      </c>
      <c r="E41" s="3">
        <f t="shared" si="0"/>
        <v>0</v>
      </c>
      <c r="F41" s="3">
        <f t="shared" si="1"/>
        <v>0</v>
      </c>
      <c r="I41" s="3">
        <f>SUMIF(Tableau_Lancer_la_requête_à_partir_de_Excel_Files102[Avis Prog],"1-Favorable",Tableau_Lancer_la_requête_à_partir_de_Excel_Files102[''46''])</f>
        <v>0</v>
      </c>
      <c r="J41" s="3">
        <f>SUMIF(Tableau_Lancer_la_requête_à_partir_de_Excel_Files102[Avis Prog],"2-Favorable sous réserve",Tableau_Lancer_la_requête_à_partir_de_Excel_Files102[''46''])</f>
        <v>0</v>
      </c>
      <c r="R41" s="3">
        <f>SUMIF(Tableau_Lancer_la_requête_à_partir_de_Excel_Files102[Avis Cofimac],"1-Favorable",Tableau_Lancer_la_requête_à_partir_de_Excel_Files102[''46''])</f>
        <v>0</v>
      </c>
      <c r="AO41" s="3">
        <f>SUMIF(Tableau_Lancer_la_requête_à_partir_de_Excel_Files102[Avis Cofimac],"2-Favorable sous réserve",Tableau_Lancer_la_requête_à_partir_de_Excel_Files102[''46''])</f>
        <v>0</v>
      </c>
    </row>
    <row r="42" spans="4:41" hidden="1" x14ac:dyDescent="0.25">
      <c r="D42" t="s">
        <v>35</v>
      </c>
      <c r="E42" s="3">
        <f t="shared" si="0"/>
        <v>0</v>
      </c>
      <c r="F42" s="3">
        <f t="shared" si="1"/>
        <v>0</v>
      </c>
      <c r="I42" s="3">
        <f>SUMIF(Tableau_Lancer_la_requête_à_partir_de_Excel_Files102[Avis Prog],"1-Favorable",Tableau_Lancer_la_requête_à_partir_de_Excel_Files102[''48''])</f>
        <v>0</v>
      </c>
      <c r="J42" s="3">
        <f>SUMIF(Tableau_Lancer_la_requête_à_partir_de_Excel_Files102[Avis Prog],"2-Favorable sous réserve",Tableau_Lancer_la_requête_à_partir_de_Excel_Files102[''48''])</f>
        <v>0</v>
      </c>
      <c r="R42" s="3">
        <f>SUMIF(Tableau_Lancer_la_requête_à_partir_de_Excel_Files102[Avis Cofimac],"1-Favorable",Tableau_Lancer_la_requête_à_partir_de_Excel_Files102[''48''])</f>
        <v>0</v>
      </c>
      <c r="AO42" s="3">
        <f>SUMIF(Tableau_Lancer_la_requête_à_partir_de_Excel_Files102[Avis Cofimac],"2-Favorable sous réserve",Tableau_Lancer_la_requête_à_partir_de_Excel_Files102[''48''])</f>
        <v>0</v>
      </c>
    </row>
    <row r="43" spans="4:41" hidden="1" x14ac:dyDescent="0.25">
      <c r="D43" t="s">
        <v>36</v>
      </c>
      <c r="E43" s="3">
        <f t="shared" si="0"/>
        <v>0</v>
      </c>
      <c r="F43" s="3">
        <f t="shared" si="1"/>
        <v>0</v>
      </c>
      <c r="I43" s="3">
        <f>SUMIF(Tableau_Lancer_la_requête_à_partir_de_Excel_Files102[Avis Prog],"1-Favorable",Tableau_Lancer_la_requête_à_partir_de_Excel_Files102[''58''])</f>
        <v>0</v>
      </c>
      <c r="J43" s="3">
        <f>SUMIF(Tableau_Lancer_la_requête_à_partir_de_Excel_Files102[Avis Prog],"2-Favorable sous réserve",Tableau_Lancer_la_requête_à_partir_de_Excel_Files102[''58''])</f>
        <v>0</v>
      </c>
      <c r="R43" s="3">
        <f>SUMIF(Tableau_Lancer_la_requête_à_partir_de_Excel_Files102[Avis Cofimac],"1-Favorable",Tableau_Lancer_la_requête_à_partir_de_Excel_Files102[''58''])</f>
        <v>0</v>
      </c>
      <c r="AO43" s="3">
        <f>SUMIF(Tableau_Lancer_la_requête_à_partir_de_Excel_Files102[Avis Cofimac],"2-Favorable sous réserve",Tableau_Lancer_la_requête_à_partir_de_Excel_Files102[''58''])</f>
        <v>0</v>
      </c>
    </row>
    <row r="44" spans="4:41" hidden="1" x14ac:dyDescent="0.25">
      <c r="D44" t="s">
        <v>37</v>
      </c>
      <c r="E44" s="3">
        <f t="shared" si="0"/>
        <v>0</v>
      </c>
      <c r="F44" s="3">
        <f t="shared" si="1"/>
        <v>0</v>
      </c>
      <c r="I44" s="3">
        <f>SUMIF(Tableau_Lancer_la_requête_à_partir_de_Excel_Files102[Avis Prog],"1-Favorable",Tableau_Lancer_la_requête_à_partir_de_Excel_Files102[''63''])</f>
        <v>0</v>
      </c>
      <c r="J44" s="3">
        <f>SUMIF(Tableau_Lancer_la_requête_à_partir_de_Excel_Files102[Avis Prog],"2-Favorable sous réserve",Tableau_Lancer_la_requête_à_partir_de_Excel_Files102[''63''])</f>
        <v>0</v>
      </c>
      <c r="R44" s="3">
        <f>SUMIF(Tableau_Lancer_la_requête_à_partir_de_Excel_Files102[Avis Cofimac],"1-Favorable",Tableau_Lancer_la_requête_à_partir_de_Excel_Files102[''63''])</f>
        <v>0</v>
      </c>
      <c r="AO44" s="3">
        <f>SUMIF(Tableau_Lancer_la_requête_à_partir_de_Excel_Files102[Avis Cofimac],"2-Favorable sous réserve",Tableau_Lancer_la_requête_à_partir_de_Excel_Files102[''63''])</f>
        <v>0</v>
      </c>
    </row>
    <row r="45" spans="4:41" hidden="1" x14ac:dyDescent="0.25">
      <c r="D45" t="s">
        <v>38</v>
      </c>
      <c r="E45" s="3">
        <f t="shared" si="0"/>
        <v>0</v>
      </c>
      <c r="F45" s="3">
        <f t="shared" si="1"/>
        <v>0</v>
      </c>
      <c r="I45" s="3">
        <f>SUMIF(Tableau_Lancer_la_requête_à_partir_de_Excel_Files102[Avis Prog],"1-Favorable",Tableau_Lancer_la_requête_à_partir_de_Excel_Files102[''69''])</f>
        <v>0</v>
      </c>
      <c r="J45" s="3">
        <f>SUMIF(Tableau_Lancer_la_requête_à_partir_de_Excel_Files102[Avis Prog],"2-Favorable sous réserve",Tableau_Lancer_la_requête_à_partir_de_Excel_Files102[''69''])</f>
        <v>0</v>
      </c>
      <c r="R45" s="3">
        <f>SUMIF(Tableau_Lancer_la_requête_à_partir_de_Excel_Files102[Avis Cofimac],"1-Favorable",Tableau_Lancer_la_requête_à_partir_de_Excel_Files102[''69''])</f>
        <v>0</v>
      </c>
      <c r="AO45" s="3">
        <f>SUMIF(Tableau_Lancer_la_requête_à_partir_de_Excel_Files102[Avis Cofimac],"2-Favorable sous réserve",Tableau_Lancer_la_requête_à_partir_de_Excel_Files102[''69''])</f>
        <v>0</v>
      </c>
    </row>
    <row r="46" spans="4:41" hidden="1" x14ac:dyDescent="0.25">
      <c r="D46" t="s">
        <v>39</v>
      </c>
      <c r="E46" s="3">
        <f t="shared" si="0"/>
        <v>0</v>
      </c>
      <c r="F46" s="3">
        <f t="shared" si="1"/>
        <v>0</v>
      </c>
      <c r="I46" s="3">
        <f>SUMIF(Tableau_Lancer_la_requête_à_partir_de_Excel_Files102[Avis Prog],"1-Favorable",Tableau_Lancer_la_requête_à_partir_de_Excel_Files102[''71''])</f>
        <v>0</v>
      </c>
      <c r="J46" s="3">
        <f>SUMIF(Tableau_Lancer_la_requête_à_partir_de_Excel_Files102[Avis Prog],"2-Favorable sous réserve",Tableau_Lancer_la_requête_à_partir_de_Excel_Files102[''71''])</f>
        <v>0</v>
      </c>
      <c r="R46" s="3">
        <f>SUMIF(Tableau_Lancer_la_requête_à_partir_de_Excel_Files102[Avis Cofimac],"1-Favorable",Tableau_Lancer_la_requête_à_partir_de_Excel_Files102[''71''])</f>
        <v>0</v>
      </c>
      <c r="AO46" s="3">
        <f>SUMIF(Tableau_Lancer_la_requête_à_partir_de_Excel_Files102[Avis Cofimac],"2-Favorable sous réserve",Tableau_Lancer_la_requête_à_partir_de_Excel_Files102[''71''])</f>
        <v>0</v>
      </c>
    </row>
    <row r="47" spans="4:41" hidden="1" x14ac:dyDescent="0.25">
      <c r="D47" t="s">
        <v>40</v>
      </c>
      <c r="E47" s="3">
        <f t="shared" si="0"/>
        <v>0</v>
      </c>
      <c r="F47" s="3">
        <f t="shared" si="1"/>
        <v>0</v>
      </c>
      <c r="I47" s="3">
        <f>SUMIF(Tableau_Lancer_la_requête_à_partir_de_Excel_Files102[Avis Prog],"1-Favorable",Tableau_Lancer_la_requête_à_partir_de_Excel_Files102[''81''])</f>
        <v>0</v>
      </c>
      <c r="J47" s="3">
        <f>SUMIF(Tableau_Lancer_la_requête_à_partir_de_Excel_Files102[Avis Prog],"2-Favorable sous réserve",Tableau_Lancer_la_requête_à_partir_de_Excel_Files102[''81''])</f>
        <v>0</v>
      </c>
      <c r="R47" s="3">
        <f>SUMIF(Tableau_Lancer_la_requête_à_partir_de_Excel_Files102[Avis Cofimac],"1-Favorable",Tableau_Lancer_la_requête_à_partir_de_Excel_Files102[''81''])</f>
        <v>0</v>
      </c>
      <c r="AO47" s="3">
        <f>SUMIF(Tableau_Lancer_la_requête_à_partir_de_Excel_Files102[Avis Cofimac],"2-Favorable sous réserve",Tableau_Lancer_la_requête_à_partir_de_Excel_Files102[''81''])</f>
        <v>0</v>
      </c>
    </row>
    <row r="48" spans="4:41" hidden="1" x14ac:dyDescent="0.25">
      <c r="D48" t="s">
        <v>41</v>
      </c>
      <c r="E48" s="3">
        <f t="shared" si="0"/>
        <v>0</v>
      </c>
      <c r="F48" s="3">
        <f t="shared" si="1"/>
        <v>0</v>
      </c>
      <c r="I48" s="3">
        <f>SUMIF(Tableau_Lancer_la_requête_à_partir_de_Excel_Files102[Avis Prog],"1-Favorable",Tableau_Lancer_la_requête_à_partir_de_Excel_Files102[''82''])</f>
        <v>0</v>
      </c>
      <c r="J48" s="3">
        <f>SUMIF(Tableau_Lancer_la_requête_à_partir_de_Excel_Files102[Avis Prog],"2-Favorable sous réserve",Tableau_Lancer_la_requête_à_partir_de_Excel_Files102[''82''])</f>
        <v>0</v>
      </c>
      <c r="R48" s="3">
        <f>SUMIF(Tableau_Lancer_la_requête_à_partir_de_Excel_Files102[Avis Cofimac],"1-Favorable",Tableau_Lancer_la_requête_à_partir_de_Excel_Files102[''82''])</f>
        <v>0</v>
      </c>
      <c r="AO48" s="3">
        <f>SUMIF(Tableau_Lancer_la_requête_à_partir_de_Excel_Files102[Avis Cofimac],"2-Favorable sous réserve",Tableau_Lancer_la_requête_à_partir_de_Excel_Files102[''82''])</f>
        <v>0</v>
      </c>
    </row>
    <row r="49" spans="4:41" hidden="1" x14ac:dyDescent="0.25">
      <c r="D49" t="s">
        <v>42</v>
      </c>
      <c r="E49" s="3">
        <f t="shared" si="0"/>
        <v>0</v>
      </c>
      <c r="F49" s="3">
        <f t="shared" si="1"/>
        <v>0</v>
      </c>
      <c r="I49" s="3">
        <f>SUMIF(Tableau_Lancer_la_requête_à_partir_de_Excel_Files102[Avis Prog],"1-Favorable",Tableau_Lancer_la_requête_à_partir_de_Excel_Files102[''87''])</f>
        <v>0</v>
      </c>
      <c r="J49" s="3">
        <f>SUMIF(Tableau_Lancer_la_requête_à_partir_de_Excel_Files102[Avis Prog],"2-Favorable sous réserve",Tableau_Lancer_la_requête_à_partir_de_Excel_Files102[''87''])</f>
        <v>0</v>
      </c>
      <c r="R49" s="3">
        <f>SUMIF(Tableau_Lancer_la_requête_à_partir_de_Excel_Files102[Avis Cofimac],"1-Favorable",Tableau_Lancer_la_requête_à_partir_de_Excel_Files102[''87''])</f>
        <v>0</v>
      </c>
      <c r="AO49" s="3">
        <f>SUMIF(Tableau_Lancer_la_requête_à_partir_de_Excel_Files102[Avis Cofimac],"2-Favorable sous réserve",Tableau_Lancer_la_requête_à_partir_de_Excel_Files102[''87''])</f>
        <v>0</v>
      </c>
    </row>
    <row r="50" spans="4:41" hidden="1" x14ac:dyDescent="0.25">
      <c r="D50" t="s">
        <v>43</v>
      </c>
      <c r="E50" s="3">
        <f t="shared" si="0"/>
        <v>0</v>
      </c>
      <c r="F50" s="3">
        <f t="shared" si="1"/>
        <v>0</v>
      </c>
      <c r="I50" s="3">
        <f>SUMIF(Tableau_Lancer_la_requête_à_partir_de_Excel_Files102[Avis Prog],"1-Favorable",Tableau_Lancer_la_requête_à_partir_de_Excel_Files102[''89''])</f>
        <v>0</v>
      </c>
      <c r="J50" s="3">
        <f>SUMIF(Tableau_Lancer_la_requête_à_partir_de_Excel_Files102[Avis Prog],"2-Favorable sous réserve",Tableau_Lancer_la_requête_à_partir_de_Excel_Files102[''89''])</f>
        <v>0</v>
      </c>
      <c r="R50" s="3">
        <f>SUMIF(Tableau_Lancer_la_requête_à_partir_de_Excel_Files102[Avis Cofimac],"1-Favorable",Tableau_Lancer_la_requête_à_partir_de_Excel_Files102[''89''])</f>
        <v>0</v>
      </c>
      <c r="AO50" s="3">
        <f>SUMIF(Tableau_Lancer_la_requête_à_partir_de_Excel_Files102[Avis Cofimac],"2-Favorable sous réserve",Tableau_Lancer_la_requête_à_partir_de_Excel_Files102[''89''])</f>
        <v>0</v>
      </c>
    </row>
    <row r="51" spans="4:41" hidden="1" x14ac:dyDescent="0.25">
      <c r="R51" s="6"/>
      <c r="AO51" s="6"/>
    </row>
    <row r="52" spans="4:41" hidden="1" x14ac:dyDescent="0.25"/>
    <row r="53" spans="4:41" hidden="1" x14ac:dyDescent="0.25"/>
    <row r="54" spans="4:41" hidden="1" x14ac:dyDescent="0.25"/>
    <row r="55" spans="4:41" hidden="1" x14ac:dyDescent="0.25"/>
    <row r="56" spans="4:41" hidden="1" x14ac:dyDescent="0.25"/>
    <row r="57" spans="4:41" hidden="1" x14ac:dyDescent="0.25"/>
    <row r="58" spans="4:41" hidden="1" x14ac:dyDescent="0.25"/>
    <row r="59" spans="4:41" hidden="1" x14ac:dyDescent="0.25"/>
    <row r="60" spans="4:41" hidden="1" x14ac:dyDescent="0.25"/>
    <row r="61" spans="4:41" hidden="1" x14ac:dyDescent="0.25"/>
    <row r="62" spans="4:41" hidden="1" x14ac:dyDescent="0.25"/>
    <row r="63" spans="4:41" hidden="1" x14ac:dyDescent="0.25"/>
  </sheetData>
  <conditionalFormatting sqref="AR7:AR9 AP7:AP9">
    <cfRule type="cellIs" dxfId="688" priority="11" operator="equal">
      <formula>"6-Retiré/Abandon"</formula>
    </cfRule>
    <cfRule type="cellIs" dxfId="687" priority="20" operator="equal">
      <formula>"5-Défavorable"</formula>
    </cfRule>
    <cfRule type="cellIs" dxfId="686" priority="21" operator="equal">
      <formula>"4-Ajournement"</formula>
    </cfRule>
    <cfRule type="cellIs" dxfId="685" priority="22" operator="equal">
      <formula>"2-Favorable sous réserve"</formula>
    </cfRule>
    <cfRule type="cellIs" dxfId="684" priority="23" operator="equal">
      <formula>"1-Favorable"</formula>
    </cfRule>
  </conditionalFormatting>
  <conditionalFormatting sqref="AT7:AT9">
    <cfRule type="cellIs" dxfId="683" priority="1" operator="equal">
      <formula>"6-Retiré/Abandon"</formula>
    </cfRule>
    <cfRule type="cellIs" dxfId="682" priority="2" operator="equal">
      <formula>"5-Défavorable"</formula>
    </cfRule>
    <cfRule type="cellIs" dxfId="681" priority="3" operator="equal">
      <formula>"4-Ajournement"</formula>
    </cfRule>
    <cfRule type="cellIs" dxfId="680" priority="4" operator="equal">
      <formula>"2-Favorable sous réserve"</formula>
    </cfRule>
    <cfRule type="cellIs" dxfId="679" priority="5" operator="equal">
      <formula>"1-Favorable"</formula>
    </cfRule>
  </conditionalFormatting>
  <dataValidations count="1">
    <dataValidation type="list" allowBlank="1" showInputMessage="1" showErrorMessage="1" sqref="AR7:AR9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54"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58"/>
  <sheetViews>
    <sheetView view="pageBreakPreview" topLeftCell="J1" zoomScale="80" zoomScaleNormal="60" zoomScaleSheetLayoutView="80" workbookViewId="0">
      <selection activeCell="AP7" sqref="AP7"/>
    </sheetView>
  </sheetViews>
  <sheetFormatPr baseColWidth="10" defaultRowHeight="15" outlineLevelCol="1" x14ac:dyDescent="0.25"/>
  <cols>
    <col min="1" max="1" width="13.85546875" style="3" customWidth="1"/>
    <col min="2" max="2" width="35" style="4" customWidth="1"/>
    <col min="3" max="3" width="48" style="5" customWidth="1"/>
    <col min="4" max="4" width="20.28515625" style="3" customWidth="1"/>
    <col min="5" max="5" width="19.7109375" style="3" bestFit="1" customWidth="1"/>
    <col min="6" max="6" width="12" style="6" customWidth="1"/>
    <col min="7" max="7" width="16" style="3" bestFit="1" customWidth="1"/>
    <col min="8" max="8" width="11.28515625" style="6" customWidth="1"/>
    <col min="9" max="9" width="13.85546875" style="3" bestFit="1" customWidth="1"/>
    <col min="10" max="10" width="15" style="3" bestFit="1" customWidth="1"/>
    <col min="11" max="11" width="11.5703125" style="3" hidden="1" customWidth="1" outlineLevel="1"/>
    <col min="12" max="12" width="16.5703125" style="3" hidden="1" customWidth="1" outlineLevel="1"/>
    <col min="13" max="13" width="13.7109375" style="3" bestFit="1" customWidth="1" collapsed="1"/>
    <col min="14" max="14" width="11.140625" style="3" hidden="1" customWidth="1" outlineLevel="1"/>
    <col min="15" max="15" width="11.85546875" style="3" hidden="1" customWidth="1" outlineLevel="1"/>
    <col min="16" max="16" width="10" style="3" hidden="1" customWidth="1" outlineLevel="1"/>
    <col min="17" max="17" width="11.7109375" style="3" hidden="1" customWidth="1" outlineLevel="1"/>
    <col min="18" max="18" width="16.140625" style="3" bestFit="1" customWidth="1" collapsed="1"/>
    <col min="19" max="40" width="8.7109375" style="3" hidden="1" customWidth="1" outlineLevel="1"/>
    <col min="41" max="41" width="11.5703125" style="3" bestFit="1" customWidth="1" collapsed="1"/>
    <col min="42" max="42" width="11.5703125" style="3" customWidth="1"/>
    <col min="43" max="43" width="15.42578125" style="3" bestFit="1" customWidth="1"/>
    <col min="44" max="44" width="15.42578125" style="3" hidden="1" customWidth="1"/>
    <col min="45" max="45" width="54.42578125" style="3" customWidth="1"/>
    <col min="46" max="46" width="15.42578125" style="3" bestFit="1" customWidth="1"/>
    <col min="47" max="47" width="17.28515625" style="3" bestFit="1" customWidth="1"/>
    <col min="48" max="48" width="9.42578125" style="3" customWidth="1"/>
    <col min="49" max="63" width="9.7109375" style="3" customWidth="1"/>
    <col min="64" max="64" width="15.140625" style="3" customWidth="1"/>
    <col min="65" max="65" width="14.5703125" style="3" customWidth="1"/>
    <col min="66" max="66" width="18.5703125" style="3" customWidth="1"/>
    <col min="67" max="67" width="12.5703125" style="3" customWidth="1"/>
    <col min="68" max="68" width="20.42578125" style="3" customWidth="1"/>
    <col min="69" max="69" width="12.7109375" style="3" customWidth="1"/>
    <col min="70" max="70" width="9.28515625" style="3" customWidth="1"/>
    <col min="71" max="71" width="14.28515625" style="3" customWidth="1"/>
    <col min="72" max="72" width="11.42578125" style="3" customWidth="1"/>
    <col min="73" max="73" width="9" style="3" customWidth="1"/>
    <col min="74" max="74" width="9.5703125" style="3" customWidth="1"/>
    <col min="75" max="75" width="11" style="3" customWidth="1"/>
    <col min="76" max="76" width="12.7109375" style="3" customWidth="1"/>
    <col min="77" max="79" width="9.7109375" style="3" customWidth="1"/>
    <col min="80" max="80" width="15.140625" style="3" customWidth="1"/>
    <col min="81" max="81" width="17.28515625" style="3" customWidth="1"/>
    <col min="82" max="82" width="49.28515625" style="4" customWidth="1"/>
    <col min="83" max="83" width="17.28515625" style="3" customWidth="1"/>
    <col min="84" max="16384" width="11.42578125" style="3"/>
  </cols>
  <sheetData>
    <row r="1" spans="1:82" ht="18.75" x14ac:dyDescent="0.3">
      <c r="B1" s="21" t="s">
        <v>75</v>
      </c>
      <c r="C1" s="22">
        <v>42663</v>
      </c>
    </row>
    <row r="5" spans="1:82" x14ac:dyDescent="0.25">
      <c r="A5" s="1" t="s">
        <v>68</v>
      </c>
      <c r="B5" s="2"/>
    </row>
    <row r="6" spans="1:82" s="7" customFormat="1" ht="30" x14ac:dyDescent="0.25">
      <c r="A6" s="7" t="s">
        <v>7</v>
      </c>
      <c r="B6" s="7" t="s">
        <v>1</v>
      </c>
      <c r="C6" s="7" t="s">
        <v>2</v>
      </c>
      <c r="D6" s="7" t="s">
        <v>52</v>
      </c>
      <c r="E6" s="7" t="s">
        <v>54</v>
      </c>
      <c r="F6" s="7" t="s">
        <v>53</v>
      </c>
      <c r="G6" s="7" t="s">
        <v>50</v>
      </c>
      <c r="H6" s="7" t="s">
        <v>55</v>
      </c>
      <c r="I6" s="7" t="s">
        <v>44</v>
      </c>
      <c r="J6" s="7" t="s">
        <v>65</v>
      </c>
      <c r="K6" s="7" t="s">
        <v>69</v>
      </c>
      <c r="L6" s="7" t="s">
        <v>17</v>
      </c>
      <c r="M6" s="7" t="s">
        <v>66</v>
      </c>
      <c r="N6" s="7" t="s">
        <v>20</v>
      </c>
      <c r="O6" s="7" t="s">
        <v>18</v>
      </c>
      <c r="P6" s="7" t="s">
        <v>19</v>
      </c>
      <c r="Q6" s="7" t="s">
        <v>21</v>
      </c>
      <c r="R6" s="7" t="s">
        <v>67</v>
      </c>
      <c r="S6" s="7" t="s">
        <v>22</v>
      </c>
      <c r="T6" s="7" t="s">
        <v>23</v>
      </c>
      <c r="U6" s="7" t="s">
        <v>24</v>
      </c>
      <c r="V6" s="7" t="s">
        <v>25</v>
      </c>
      <c r="W6" s="7" t="s">
        <v>26</v>
      </c>
      <c r="X6" s="7" t="s">
        <v>27</v>
      </c>
      <c r="Y6" s="7" t="s">
        <v>28</v>
      </c>
      <c r="Z6" s="7" t="s">
        <v>29</v>
      </c>
      <c r="AA6" s="7" t="s">
        <v>30</v>
      </c>
      <c r="AB6" s="7" t="s">
        <v>31</v>
      </c>
      <c r="AC6" s="7" t="s">
        <v>32</v>
      </c>
      <c r="AD6" s="7" t="s">
        <v>33</v>
      </c>
      <c r="AE6" s="7" t="s">
        <v>34</v>
      </c>
      <c r="AF6" s="7" t="s">
        <v>35</v>
      </c>
      <c r="AG6" s="7" t="s">
        <v>36</v>
      </c>
      <c r="AH6" s="7" t="s">
        <v>37</v>
      </c>
      <c r="AI6" s="7" t="s">
        <v>38</v>
      </c>
      <c r="AJ6" s="7" t="s">
        <v>39</v>
      </c>
      <c r="AK6" s="7" t="s">
        <v>40</v>
      </c>
      <c r="AL6" s="7" t="s">
        <v>41</v>
      </c>
      <c r="AM6" s="7" t="s">
        <v>42</v>
      </c>
      <c r="AN6" s="7" t="s">
        <v>43</v>
      </c>
      <c r="AO6" s="7" t="s">
        <v>45</v>
      </c>
      <c r="AP6" s="7" t="s">
        <v>49</v>
      </c>
      <c r="AQ6" s="17" t="s">
        <v>56</v>
      </c>
      <c r="AS6" s="29" t="s">
        <v>64</v>
      </c>
    </row>
    <row r="7" spans="1:82" s="10" customFormat="1" x14ac:dyDescent="0.25">
      <c r="A7" s="13"/>
      <c r="B7" s="12"/>
      <c r="C7" s="12"/>
      <c r="D7" s="15"/>
      <c r="E7" s="15"/>
      <c r="F7" s="16"/>
      <c r="G7" s="15"/>
      <c r="H7" s="16"/>
      <c r="I7" s="15"/>
      <c r="J7" s="15"/>
      <c r="K7" s="11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1"/>
      <c r="AQ7" s="11"/>
      <c r="AS7" s="23"/>
      <c r="AT7" s="10" t="s">
        <v>79</v>
      </c>
    </row>
    <row r="8" spans="1:82" s="10" customFormat="1" x14ac:dyDescent="0.25">
      <c r="A8" s="10" t="s">
        <v>8</v>
      </c>
      <c r="B8" s="5">
        <f>SUBTOTAL(103,Tableau_Lancer_la_requête_à_partir_de_Excel_Files1025[Nom_MO])</f>
        <v>0</v>
      </c>
      <c r="C8" s="5"/>
      <c r="D8" s="49">
        <f>SUBTOTAL(109,Tableau_Lancer_la_requête_à_partir_de_Excel_Files1025[''Coût total éligible''])</f>
        <v>0</v>
      </c>
      <c r="E8" s="49">
        <f>SUBTOTAL(109,Tableau_Lancer_la_requête_à_partir_de_Excel_Files1025[Aide 
publique])</f>
        <v>0</v>
      </c>
      <c r="F8" s="84"/>
      <c r="G8" s="49">
        <f>SUBTOTAL(109,Tableau_Lancer_la_requête_à_partir_de_Excel_Files1025[Aide Massif])</f>
        <v>0</v>
      </c>
      <c r="H8" s="84"/>
      <c r="I8" s="49">
        <f>SUBTOTAL(109,Tableau_Lancer_la_requête_à_partir_de_Excel_Files1025[''FEDER''])</f>
        <v>0</v>
      </c>
      <c r="J8" s="49">
        <f>SUBTOTAL(109,Tableau_Lancer_la_requête_à_partir_de_Excel_Files1025[Total Etat])</f>
        <v>0</v>
      </c>
      <c r="L8" s="49">
        <f>SUBTOTAL(109,Tableau_Lancer_la_requête_à_partir_de_Excel_Files1025[''Agriculture''])</f>
        <v>0</v>
      </c>
      <c r="M8" s="49">
        <f>SUBTOTAL(109,Tableau_Lancer_la_requête_à_partir_de_Excel_Files1025[Total Régions])</f>
        <v>0</v>
      </c>
      <c r="N8" s="49">
        <f>SUBTOTAL(109,Tableau_Lancer_la_requête_à_partir_de_Excel_Files1025[''ALPC''])</f>
        <v>0</v>
      </c>
      <c r="O8" s="49">
        <f>SUBTOTAL(109,Tableau_Lancer_la_requête_à_partir_de_Excel_Files1025[''AURA''])</f>
        <v>0</v>
      </c>
      <c r="P8" s="49">
        <f>SUBTOTAL(109,Tableau_Lancer_la_requête_à_partir_de_Excel_Files1025[''BFC''])</f>
        <v>0</v>
      </c>
      <c r="Q8" s="49">
        <f>SUBTOTAL(109,Tableau_Lancer_la_requête_à_partir_de_Excel_Files1025[''LRMP''])</f>
        <v>0</v>
      </c>
      <c r="R8" s="49">
        <f>SUBTOTAL(109,Tableau_Lancer_la_requête_à_partir_de_Excel_Files1025[Total Dpts])</f>
        <v>0</v>
      </c>
      <c r="S8" s="49">
        <f>SUBTOTAL(109,Tableau_Lancer_la_requête_à_partir_de_Excel_Files1025[''03''])</f>
        <v>0</v>
      </c>
      <c r="T8" s="49">
        <f>SUBTOTAL(109,Tableau_Lancer_la_requête_à_partir_de_Excel_Files1025[''07''])</f>
        <v>0</v>
      </c>
      <c r="U8" s="49">
        <f>SUBTOTAL(109,Tableau_Lancer_la_requête_à_partir_de_Excel_Files1025[''11''])</f>
        <v>0</v>
      </c>
      <c r="V8" s="49">
        <f>SUBTOTAL(109,Tableau_Lancer_la_requête_à_partir_de_Excel_Files1025[''12''])</f>
        <v>0</v>
      </c>
      <c r="W8" s="49">
        <f>SUBTOTAL(109,Tableau_Lancer_la_requête_à_partir_de_Excel_Files1025[''15''])</f>
        <v>0</v>
      </c>
      <c r="X8" s="49">
        <f>SUBTOTAL(109,Tableau_Lancer_la_requête_à_partir_de_Excel_Files1025[''19''])</f>
        <v>0</v>
      </c>
      <c r="Y8" s="49">
        <f>SUBTOTAL(109,Tableau_Lancer_la_requête_à_partir_de_Excel_Files1025[''21''])</f>
        <v>0</v>
      </c>
      <c r="Z8" s="49">
        <f>SUBTOTAL(109,Tableau_Lancer_la_requête_à_partir_de_Excel_Files1025[''23''])</f>
        <v>0</v>
      </c>
      <c r="AA8" s="49">
        <f>SUBTOTAL(109,Tableau_Lancer_la_requête_à_partir_de_Excel_Files1025[''30''])</f>
        <v>0</v>
      </c>
      <c r="AB8" s="49">
        <f>SUBTOTAL(109,Tableau_Lancer_la_requête_à_partir_de_Excel_Files1025[''34''])</f>
        <v>0</v>
      </c>
      <c r="AC8" s="49">
        <f>SUBTOTAL(109,Tableau_Lancer_la_requête_à_partir_de_Excel_Files1025[''42''])</f>
        <v>0</v>
      </c>
      <c r="AD8" s="49">
        <f>SUBTOTAL(109,Tableau_Lancer_la_requête_à_partir_de_Excel_Files1025[''43''])</f>
        <v>0</v>
      </c>
      <c r="AE8" s="49">
        <f>SUBTOTAL(109,Tableau_Lancer_la_requête_à_partir_de_Excel_Files1025[''46''])</f>
        <v>0</v>
      </c>
      <c r="AF8" s="49">
        <f>SUBTOTAL(109,Tableau_Lancer_la_requête_à_partir_de_Excel_Files1025[''48''])</f>
        <v>0</v>
      </c>
      <c r="AG8" s="49">
        <f>SUBTOTAL(109,Tableau_Lancer_la_requête_à_partir_de_Excel_Files1025[''58''])</f>
        <v>0</v>
      </c>
      <c r="AH8" s="49">
        <f>SUBTOTAL(109,Tableau_Lancer_la_requête_à_partir_de_Excel_Files1025[''63''])</f>
        <v>0</v>
      </c>
      <c r="AI8" s="49">
        <f>SUBTOTAL(109,Tableau_Lancer_la_requête_à_partir_de_Excel_Files1025[''69''])</f>
        <v>0</v>
      </c>
      <c r="AJ8" s="49">
        <f>SUBTOTAL(109,Tableau_Lancer_la_requête_à_partir_de_Excel_Files1025[''71''])</f>
        <v>0</v>
      </c>
      <c r="AK8" s="49">
        <f>SUBTOTAL(109,Tableau_Lancer_la_requête_à_partir_de_Excel_Files1025[''81''])</f>
        <v>0</v>
      </c>
      <c r="AL8" s="49">
        <f>SUBTOTAL(109,Tableau_Lancer_la_requête_à_partir_de_Excel_Files1025[''82''])</f>
        <v>0</v>
      </c>
      <c r="AM8" s="49">
        <f>SUBTOTAL(109,Tableau_Lancer_la_requête_à_partir_de_Excel_Files1025[''87''])</f>
        <v>0</v>
      </c>
      <c r="AN8" s="49">
        <f>SUBTOTAL(109,Tableau_Lancer_la_requête_à_partir_de_Excel_Files1025[''89''])</f>
        <v>0</v>
      </c>
      <c r="AO8" s="49">
        <f>SUBTOTAL(109,Tableau_Lancer_la_requête_à_partir_de_Excel_Files1025[''Autre Public''])</f>
        <v>0</v>
      </c>
      <c r="AQ8" s="3"/>
      <c r="AS8" s="24"/>
    </row>
    <row r="9" spans="1:82" s="10" customFormat="1" x14ac:dyDescent="0.25">
      <c r="A9" s="3"/>
      <c r="B9" s="4"/>
      <c r="C9" s="5"/>
      <c r="D9" s="3"/>
      <c r="E9" s="3"/>
      <c r="F9" s="6"/>
      <c r="G9" s="3"/>
      <c r="H9" s="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S9" s="23"/>
    </row>
    <row r="10" spans="1:82" s="10" customFormat="1" x14ac:dyDescent="0.25">
      <c r="A10" s="3"/>
      <c r="B10" s="4"/>
      <c r="C10" s="5"/>
      <c r="D10" s="3"/>
      <c r="E10" s="3"/>
      <c r="F10" s="6"/>
      <c r="G10" s="3"/>
      <c r="H10" s="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S10" s="24"/>
    </row>
    <row r="11" spans="1:82" s="10" customFormat="1" x14ac:dyDescent="0.25">
      <c r="A11" s="3"/>
      <c r="B11" s="4"/>
      <c r="C11" s="5"/>
      <c r="D11" s="3"/>
      <c r="E11" s="3"/>
      <c r="F11" s="6"/>
      <c r="G11" s="3"/>
      <c r="H11" s="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S11" s="23"/>
    </row>
    <row r="12" spans="1:82" x14ac:dyDescent="0.25">
      <c r="AS12" s="24"/>
      <c r="BZ12" s="4"/>
      <c r="CD12" s="3"/>
    </row>
    <row r="13" spans="1:82" x14ac:dyDescent="0.25">
      <c r="AS13" s="23"/>
      <c r="BZ13" s="4"/>
      <c r="CD13" s="3"/>
    </row>
    <row r="14" spans="1:82" x14ac:dyDescent="0.25">
      <c r="AS14" s="25"/>
      <c r="BZ14" s="4"/>
      <c r="CD14" s="3"/>
    </row>
    <row r="15" spans="1:82" x14ac:dyDescent="0.25">
      <c r="AS15" s="26"/>
      <c r="BZ15" s="4"/>
      <c r="CD15" s="3"/>
    </row>
    <row r="16" spans="1:82" x14ac:dyDescent="0.25">
      <c r="AS16" s="24"/>
      <c r="BZ16" s="4"/>
      <c r="CD16" s="3"/>
    </row>
    <row r="17" spans="1:82" s="7" customFormat="1" ht="15.75" thickBot="1" x14ac:dyDescent="0.3">
      <c r="A17" s="3"/>
      <c r="B17" s="4"/>
      <c r="C17" s="5"/>
      <c r="D17" s="3"/>
      <c r="E17" s="3"/>
      <c r="F17" s="6"/>
      <c r="G17" s="3"/>
      <c r="H17" s="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S17" s="23"/>
    </row>
    <row r="18" spans="1:82" s="10" customFormat="1" ht="15.75" thickTop="1" x14ac:dyDescent="0.25">
      <c r="A18" s="3"/>
      <c r="B18" s="4"/>
      <c r="C18" s="5"/>
      <c r="D18" s="3"/>
      <c r="E18" s="3" t="s">
        <v>82</v>
      </c>
      <c r="F18" s="6" t="s">
        <v>81</v>
      </c>
      <c r="G18" s="3"/>
      <c r="H18" s="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S18" s="27"/>
    </row>
    <row r="19" spans="1:82" x14ac:dyDescent="0.25">
      <c r="D19" t="s">
        <v>57</v>
      </c>
      <c r="E19" s="3">
        <f>SUMIF(Tableau_Lancer_la_requête_à_partir_de_Excel_Files1025[Avis Prog],"1-Favorable",Tableau_Lancer_la_requête_à_partir_de_Excel_Files1025[''FEDER''])</f>
        <v>0</v>
      </c>
      <c r="F19" s="3">
        <f>SUMIF(Tableau_Lancer_la_requête_à_partir_de_Excel_Files1025[Avis Cofimac],"1-Favorable",Tableau_Lancer_la_requête_à_partir_de_Excel_Files1025[''FEDER''])</f>
        <v>0</v>
      </c>
      <c r="CC19" s="4"/>
      <c r="CD19" s="3"/>
    </row>
    <row r="20" spans="1:82" x14ac:dyDescent="0.25">
      <c r="D20" t="s">
        <v>46</v>
      </c>
      <c r="E20" s="3">
        <f>SUMIF(Tableau_Lancer_la_requête_à_partir_de_Excel_Files1025[Avis Prog],"1-Favorable",Tableau_Lancer_la_requête_à_partir_de_Excel_Files1025[Total Etat])</f>
        <v>0</v>
      </c>
      <c r="F20" s="3">
        <f>SUMIF(Tableau_Lancer_la_requête_à_partir_de_Excel_Files1025[Avis Cofimac],"1-Favorable",Tableau_Lancer_la_requête_à_partir_de_Excel_Files1025[Total Etat])</f>
        <v>0</v>
      </c>
    </row>
    <row r="21" spans="1:82" x14ac:dyDescent="0.25">
      <c r="D21" t="s">
        <v>47</v>
      </c>
      <c r="E21" s="3">
        <f>SUMIF(Tableau_Lancer_la_requête_à_partir_de_Excel_Files1025[Avis Prog],"1-Favorable",Tableau_Lancer_la_requête_à_partir_de_Excel_Files1025[Total Régions])</f>
        <v>0</v>
      </c>
      <c r="F21" s="3">
        <f>SUMIF(Tableau_Lancer_la_requête_à_partir_de_Excel_Files1025[Avis Cofimac],"1-Favorable",Tableau_Lancer_la_requête_à_partir_de_Excel_Files1025[Total Régions])</f>
        <v>0</v>
      </c>
    </row>
    <row r="22" spans="1:82" x14ac:dyDescent="0.25">
      <c r="D22" s="3" t="s">
        <v>58</v>
      </c>
      <c r="E22" s="3">
        <f>SUMIF(Tableau_Lancer_la_requête_à_partir_de_Excel_Files1025[Avis Prog],"1-Favorable",Tableau_Lancer_la_requête_à_partir_de_Excel_Files1025[''ALPC''])</f>
        <v>0</v>
      </c>
      <c r="F22" s="3">
        <f>SUMIF(Tableau_Lancer_la_requête_à_partir_de_Excel_Files1025[Avis Cofimac],"1-Favorable",Tableau_Lancer_la_requête_à_partir_de_Excel_Files1025[''ALPC''])</f>
        <v>0</v>
      </c>
    </row>
    <row r="23" spans="1:82" x14ac:dyDescent="0.25">
      <c r="D23" s="3" t="s">
        <v>59</v>
      </c>
      <c r="E23" s="3">
        <f>SUMIF(Tableau_Lancer_la_requête_à_partir_de_Excel_Files1025[Avis Prog],"1-Favorable",Tableau_Lancer_la_requête_à_partir_de_Excel_Files1025[''AURA''])</f>
        <v>0</v>
      </c>
      <c r="F23" s="3">
        <f>SUMIF(Tableau_Lancer_la_requête_à_partir_de_Excel_Files1025[Avis Cofimac],"1-Favorable",Tableau_Lancer_la_requête_à_partir_de_Excel_Files1025[''AURA''])</f>
        <v>0</v>
      </c>
    </row>
    <row r="24" spans="1:82" x14ac:dyDescent="0.25">
      <c r="D24" s="3" t="s">
        <v>60</v>
      </c>
      <c r="E24" s="3">
        <f>SUMIF(Tableau_Lancer_la_requête_à_partir_de_Excel_Files1025[Avis Prog],"1-Favorable",Tableau_Lancer_la_requête_à_partir_de_Excel_Files1025[''BFC''])</f>
        <v>0</v>
      </c>
      <c r="F24" s="3">
        <f>SUMIF(Tableau_Lancer_la_requête_à_partir_de_Excel_Files1025[Avis Cofimac],"1-Favorable",Tableau_Lancer_la_requête_à_partir_de_Excel_Files1025[''BFC''])</f>
        <v>0</v>
      </c>
    </row>
    <row r="25" spans="1:82" x14ac:dyDescent="0.25">
      <c r="D25" s="3" t="s">
        <v>61</v>
      </c>
      <c r="E25" s="3">
        <f>SUMIF(Tableau_Lancer_la_requête_à_partir_de_Excel_Files1025[Avis Prog],"1-Favorable",Tableau_Lancer_la_requête_à_partir_de_Excel_Files1025[''LRMP''])</f>
        <v>0</v>
      </c>
      <c r="F25" s="3">
        <f>SUMIF(Tableau_Lancer_la_requête_à_partir_de_Excel_Files1025[Avis Cofimac],"1-Favorable",Tableau_Lancer_la_requête_à_partir_de_Excel_Files1025[''LRMP''])</f>
        <v>0</v>
      </c>
    </row>
    <row r="26" spans="1:82" x14ac:dyDescent="0.25">
      <c r="D26" t="s">
        <v>48</v>
      </c>
      <c r="E26" s="3">
        <f>SUMIF(Tableau_Lancer_la_requête_à_partir_de_Excel_Files1025[Avis Prog],"1-Favorable",Tableau_Lancer_la_requête_à_partir_de_Excel_Files1025[Total Dpts])</f>
        <v>0</v>
      </c>
      <c r="F26" s="3">
        <f>SUMIF(Tableau_Lancer_la_requête_à_partir_de_Excel_Files1025[Avis Cofimac],"1-Favorable",Tableau_Lancer_la_requête_à_partir_de_Excel_Files1025[Total Dpts])</f>
        <v>0</v>
      </c>
    </row>
    <row r="27" spans="1:82" x14ac:dyDescent="0.25">
      <c r="D27" t="s">
        <v>22</v>
      </c>
      <c r="E27" s="3">
        <f>SUMIF(Tableau_Lancer_la_requête_à_partir_de_Excel_Files1025[Avis Prog],"1-Favorable",Tableau_Lancer_la_requête_à_partir_de_Excel_Files1025[''03''])</f>
        <v>0</v>
      </c>
      <c r="F27" s="3">
        <f>SUMIF(Tableau_Lancer_la_requête_à_partir_de_Excel_Files1025[Avis Cofimac],"1-Favorable",Tableau_Lancer_la_requête_à_partir_de_Excel_Files1025[''03''])</f>
        <v>0</v>
      </c>
    </row>
    <row r="28" spans="1:82" hidden="1" x14ac:dyDescent="0.25">
      <c r="D28" t="s">
        <v>23</v>
      </c>
      <c r="E28" s="3">
        <f>SUMIF(Tableau_Lancer_la_requête_à_partir_de_Excel_Files1025[Avis Prog],"1-Favorable",Tableau_Lancer_la_requête_à_partir_de_Excel_Files1025[''07''])</f>
        <v>0</v>
      </c>
      <c r="F28" s="3">
        <f>SUMIF(Tableau_Lancer_la_requête_à_partir_de_Excel_Files1025[Avis Cofimac],"1-Favorable",Tableau_Lancer_la_requête_à_partir_de_Excel_Files1025[''07''])</f>
        <v>0</v>
      </c>
    </row>
    <row r="29" spans="1:82" hidden="1" x14ac:dyDescent="0.25">
      <c r="D29" t="s">
        <v>24</v>
      </c>
      <c r="E29" s="3">
        <f>SUMIF(Tableau_Lancer_la_requête_à_partir_de_Excel_Files1025[Avis Prog],"1-Favorable",Tableau_Lancer_la_requête_à_partir_de_Excel_Files1025[''11''])</f>
        <v>0</v>
      </c>
      <c r="F29" s="3">
        <f>SUMIF(Tableau_Lancer_la_requête_à_partir_de_Excel_Files1025[Avis Cofimac],"1-Favorable",Tableau_Lancer_la_requête_à_partir_de_Excel_Files1025[''11''])</f>
        <v>0</v>
      </c>
    </row>
    <row r="30" spans="1:82" hidden="1" x14ac:dyDescent="0.25">
      <c r="D30" t="s">
        <v>25</v>
      </c>
      <c r="E30" s="3">
        <f>SUMIF(Tableau_Lancer_la_requête_à_partir_de_Excel_Files1025[Avis Prog],"1-Favorable",Tableau_Lancer_la_requête_à_partir_de_Excel_Files1025[''12''])</f>
        <v>0</v>
      </c>
      <c r="F30" s="3">
        <f>SUMIF(Tableau_Lancer_la_requête_à_partir_de_Excel_Files1025[Avis Cofimac],"1-Favorable",Tableau_Lancer_la_requête_à_partir_de_Excel_Files1025[''12''])</f>
        <v>0</v>
      </c>
    </row>
    <row r="31" spans="1:82" hidden="1" x14ac:dyDescent="0.25">
      <c r="D31" t="s">
        <v>26</v>
      </c>
      <c r="E31" s="3">
        <f>SUMIF(Tableau_Lancer_la_requête_à_partir_de_Excel_Files1025[Avis Prog],"1-Favorable",Tableau_Lancer_la_requête_à_partir_de_Excel_Files1025[''15''])</f>
        <v>0</v>
      </c>
      <c r="F31" s="3">
        <f>SUMIF(Tableau_Lancer_la_requête_à_partir_de_Excel_Files1025[Avis Cofimac],"1-Favorable",Tableau_Lancer_la_requête_à_partir_de_Excel_Files1025[''15''])</f>
        <v>0</v>
      </c>
    </row>
    <row r="32" spans="1:82" hidden="1" x14ac:dyDescent="0.25">
      <c r="D32" t="s">
        <v>27</v>
      </c>
      <c r="E32" s="3">
        <f>SUMIF(Tableau_Lancer_la_requête_à_partir_de_Excel_Files1025[Avis Prog],"1-Favorable",Tableau_Lancer_la_requête_à_partir_de_Excel_Files1025[''19''])</f>
        <v>0</v>
      </c>
      <c r="F32" s="3">
        <f>SUMIF(Tableau_Lancer_la_requête_à_partir_de_Excel_Files1025[Avis Cofimac],"1-Favorable",Tableau_Lancer_la_requête_à_partir_de_Excel_Files1025[''19''])</f>
        <v>0</v>
      </c>
    </row>
    <row r="33" spans="4:6" hidden="1" x14ac:dyDescent="0.25">
      <c r="D33" t="s">
        <v>28</v>
      </c>
      <c r="E33" s="3">
        <f>SUMIF(Tableau_Lancer_la_requête_à_partir_de_Excel_Files1025[Avis Prog],"1-Favorable",Tableau_Lancer_la_requête_à_partir_de_Excel_Files1025[''21''])</f>
        <v>0</v>
      </c>
      <c r="F33" s="3">
        <f>SUMIF(Tableau_Lancer_la_requête_à_partir_de_Excel_Files1025[Avis Cofimac],"1-Favorable",Tableau_Lancer_la_requête_à_partir_de_Excel_Files1025[''21''])</f>
        <v>0</v>
      </c>
    </row>
    <row r="34" spans="4:6" hidden="1" x14ac:dyDescent="0.25">
      <c r="D34" t="s">
        <v>29</v>
      </c>
      <c r="E34" s="3">
        <f>SUMIF(Tableau_Lancer_la_requête_à_partir_de_Excel_Files1025[Avis Prog],"1-Favorable",Tableau_Lancer_la_requête_à_partir_de_Excel_Files1025[''23''])</f>
        <v>0</v>
      </c>
      <c r="F34" s="3">
        <f>SUMIF(Tableau_Lancer_la_requête_à_partir_de_Excel_Files1025[Avis Cofimac],"1-Favorable",Tableau_Lancer_la_requête_à_partir_de_Excel_Files1025[''23''])</f>
        <v>0</v>
      </c>
    </row>
    <row r="35" spans="4:6" hidden="1" x14ac:dyDescent="0.25">
      <c r="D35" t="s">
        <v>30</v>
      </c>
      <c r="E35" s="3">
        <f>SUMIF(Tableau_Lancer_la_requête_à_partir_de_Excel_Files1025[Avis Prog],"1-Favorable",Tableau_Lancer_la_requête_à_partir_de_Excel_Files1025[''30''])</f>
        <v>0</v>
      </c>
      <c r="F35" s="3">
        <f>SUMIF(Tableau_Lancer_la_requête_à_partir_de_Excel_Files1025[Avis Cofimac],"1-Favorable",Tableau_Lancer_la_requête_à_partir_de_Excel_Files1025[''30''])</f>
        <v>0</v>
      </c>
    </row>
    <row r="36" spans="4:6" hidden="1" x14ac:dyDescent="0.25">
      <c r="D36" t="s">
        <v>31</v>
      </c>
      <c r="E36" s="3">
        <f>SUMIF(Tableau_Lancer_la_requête_à_partir_de_Excel_Files1025[Avis Prog],"1-Favorable",Tableau_Lancer_la_requête_à_partir_de_Excel_Files1025[''34''])</f>
        <v>0</v>
      </c>
      <c r="F36" s="3">
        <f>SUMIF(Tableau_Lancer_la_requête_à_partir_de_Excel_Files1025[Avis Cofimac],"1-Favorable",Tableau_Lancer_la_requête_à_partir_de_Excel_Files1025[''34''])</f>
        <v>0</v>
      </c>
    </row>
    <row r="37" spans="4:6" hidden="1" x14ac:dyDescent="0.25">
      <c r="D37" t="s">
        <v>32</v>
      </c>
      <c r="E37" s="3">
        <f>SUMIF(Tableau_Lancer_la_requête_à_partir_de_Excel_Files1025[Avis Prog],"1-Favorable",Tableau_Lancer_la_requête_à_partir_de_Excel_Files1025[''42''])</f>
        <v>0</v>
      </c>
      <c r="F37" s="3">
        <f>SUMIF(Tableau_Lancer_la_requête_à_partir_de_Excel_Files1025[Avis Cofimac],"1-Favorable",Tableau_Lancer_la_requête_à_partir_de_Excel_Files1025[''42''])</f>
        <v>0</v>
      </c>
    </row>
    <row r="38" spans="4:6" hidden="1" x14ac:dyDescent="0.25">
      <c r="D38" t="s">
        <v>33</v>
      </c>
      <c r="E38" s="3">
        <f>SUMIF(Tableau_Lancer_la_requête_à_partir_de_Excel_Files1025[Avis Prog],"1-Favorable",Tableau_Lancer_la_requête_à_partir_de_Excel_Files1025[''43''])</f>
        <v>0</v>
      </c>
      <c r="F38" s="3">
        <f>SUMIF(Tableau_Lancer_la_requête_à_partir_de_Excel_Files1025[Avis Cofimac],"1-Favorable",Tableau_Lancer_la_requête_à_partir_de_Excel_Files1025[''43''])</f>
        <v>0</v>
      </c>
    </row>
    <row r="39" spans="4:6" hidden="1" x14ac:dyDescent="0.25">
      <c r="D39" t="s">
        <v>34</v>
      </c>
      <c r="E39" s="3">
        <f>SUMIF(Tableau_Lancer_la_requête_à_partir_de_Excel_Files1025[Avis Prog],"1-Favorable",Tableau_Lancer_la_requête_à_partir_de_Excel_Files1025[''46''])</f>
        <v>0</v>
      </c>
      <c r="F39" s="3">
        <f>SUMIF(Tableau_Lancer_la_requête_à_partir_de_Excel_Files1025[Avis Cofimac],"1-Favorable",Tableau_Lancer_la_requête_à_partir_de_Excel_Files1025[''46''])</f>
        <v>0</v>
      </c>
    </row>
    <row r="40" spans="4:6" hidden="1" x14ac:dyDescent="0.25">
      <c r="D40" t="s">
        <v>35</v>
      </c>
      <c r="E40" s="3">
        <f>SUMIF(Tableau_Lancer_la_requête_à_partir_de_Excel_Files1025[Avis Prog],"1-Favorable",Tableau_Lancer_la_requête_à_partir_de_Excel_Files1025[''48''])</f>
        <v>0</v>
      </c>
      <c r="F40" s="3">
        <f>SUMIF(Tableau_Lancer_la_requête_à_partir_de_Excel_Files1025[Avis Cofimac],"1-Favorable",Tableau_Lancer_la_requête_à_partir_de_Excel_Files1025[''48''])</f>
        <v>0</v>
      </c>
    </row>
    <row r="41" spans="4:6" hidden="1" x14ac:dyDescent="0.25">
      <c r="D41" t="s">
        <v>36</v>
      </c>
      <c r="E41" s="3">
        <f>SUMIF(Tableau_Lancer_la_requête_à_partir_de_Excel_Files1025[Avis Prog],"1-Favorable",Tableau_Lancer_la_requête_à_partir_de_Excel_Files1025[''58''])</f>
        <v>0</v>
      </c>
      <c r="F41" s="3">
        <f>SUMIF(Tableau_Lancer_la_requête_à_partir_de_Excel_Files1025[Avis Cofimac],"1-Favorable",Tableau_Lancer_la_requête_à_partir_de_Excel_Files1025[''58''])</f>
        <v>0</v>
      </c>
    </row>
    <row r="42" spans="4:6" hidden="1" x14ac:dyDescent="0.25">
      <c r="D42" t="s">
        <v>37</v>
      </c>
      <c r="E42" s="3">
        <f>SUMIF(Tableau_Lancer_la_requête_à_partir_de_Excel_Files1025[Avis Prog],"1-Favorable",Tableau_Lancer_la_requête_à_partir_de_Excel_Files1025[''63''])</f>
        <v>0</v>
      </c>
      <c r="F42" s="3">
        <f>SUMIF(Tableau_Lancer_la_requête_à_partir_de_Excel_Files1025[Avis Cofimac],"1-Favorable",Tableau_Lancer_la_requête_à_partir_de_Excel_Files1025[''63''])</f>
        <v>0</v>
      </c>
    </row>
    <row r="43" spans="4:6" hidden="1" x14ac:dyDescent="0.25">
      <c r="D43" t="s">
        <v>38</v>
      </c>
      <c r="E43" s="3">
        <f>SUMIF(Tableau_Lancer_la_requête_à_partir_de_Excel_Files1025[Avis Prog],"1-Favorable",Tableau_Lancer_la_requête_à_partir_de_Excel_Files1025[''69''])</f>
        <v>0</v>
      </c>
      <c r="F43" s="3">
        <f>SUMIF(Tableau_Lancer_la_requête_à_partir_de_Excel_Files1025[Avis Cofimac],"1-Favorable",Tableau_Lancer_la_requête_à_partir_de_Excel_Files1025[''69''])</f>
        <v>0</v>
      </c>
    </row>
    <row r="44" spans="4:6" hidden="1" x14ac:dyDescent="0.25">
      <c r="D44" t="s">
        <v>39</v>
      </c>
      <c r="E44" s="3">
        <f>SUMIF(Tableau_Lancer_la_requête_à_partir_de_Excel_Files1025[Avis Prog],"1-Favorable",Tableau_Lancer_la_requête_à_partir_de_Excel_Files1025[''71''])</f>
        <v>0</v>
      </c>
      <c r="F44" s="3">
        <f>SUMIF(Tableau_Lancer_la_requête_à_partir_de_Excel_Files1025[Avis Cofimac],"1-Favorable",Tableau_Lancer_la_requête_à_partir_de_Excel_Files1025[''71''])</f>
        <v>0</v>
      </c>
    </row>
    <row r="45" spans="4:6" hidden="1" x14ac:dyDescent="0.25">
      <c r="D45" t="s">
        <v>40</v>
      </c>
      <c r="E45" s="3">
        <f>SUMIF(Tableau_Lancer_la_requête_à_partir_de_Excel_Files1025[Avis Prog],"1-Favorable",Tableau_Lancer_la_requête_à_partir_de_Excel_Files1025[''81''])</f>
        <v>0</v>
      </c>
      <c r="F45" s="3">
        <f>SUMIF(Tableau_Lancer_la_requête_à_partir_de_Excel_Files1025[Avis Cofimac],"1-Favorable",Tableau_Lancer_la_requête_à_partir_de_Excel_Files1025[''81''])</f>
        <v>0</v>
      </c>
    </row>
    <row r="46" spans="4:6" hidden="1" x14ac:dyDescent="0.25">
      <c r="D46" t="s">
        <v>41</v>
      </c>
      <c r="E46" s="3">
        <f>SUMIF(Tableau_Lancer_la_requête_à_partir_de_Excel_Files1025[Avis Prog],"1-Favorable",Tableau_Lancer_la_requête_à_partir_de_Excel_Files1025[''82''])</f>
        <v>0</v>
      </c>
      <c r="F46" s="3">
        <f>SUMIF(Tableau_Lancer_la_requête_à_partir_de_Excel_Files1025[Avis Cofimac],"1-Favorable",Tableau_Lancer_la_requête_à_partir_de_Excel_Files1025[''82''])</f>
        <v>0</v>
      </c>
    </row>
    <row r="47" spans="4:6" hidden="1" x14ac:dyDescent="0.25">
      <c r="D47" t="s">
        <v>42</v>
      </c>
      <c r="E47" s="3">
        <f>SUMIF(Tableau_Lancer_la_requête_à_partir_de_Excel_Files1025[Avis Prog],"1-Favorable",Tableau_Lancer_la_requête_à_partir_de_Excel_Files1025[''87''])</f>
        <v>0</v>
      </c>
      <c r="F47" s="3">
        <f>SUMIF(Tableau_Lancer_la_requête_à_partir_de_Excel_Files1025[Avis Cofimac],"1-Favorable",Tableau_Lancer_la_requête_à_partir_de_Excel_Files1025[''87''])</f>
        <v>0</v>
      </c>
    </row>
    <row r="48" spans="4:6" hidden="1" x14ac:dyDescent="0.25">
      <c r="D48" t="s">
        <v>43</v>
      </c>
      <c r="E48" s="3">
        <f>SUMIF(Tableau_Lancer_la_requête_à_partir_de_Excel_Files1025[Avis Prog],"1-Favorable",Tableau_Lancer_la_requête_à_partir_de_Excel_Files1025[''89''])</f>
        <v>0</v>
      </c>
      <c r="F48" s="3">
        <f>SUMIF(Tableau_Lancer_la_requête_à_partir_de_Excel_Files1025[Avis Cofimac],"1-Favorable",Tableau_Lancer_la_requête_à_partir_de_Excel_Files1025[''89''])</f>
        <v>0</v>
      </c>
    </row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</sheetData>
  <conditionalFormatting sqref="K7 AP7:AQ7">
    <cfRule type="cellIs" dxfId="587" priority="17" operator="equal">
      <formula>"6-Retiré/Abandon"</formula>
    </cfRule>
    <cfRule type="cellIs" dxfId="586" priority="18" operator="equal">
      <formula>"5-Défavorable"</formula>
    </cfRule>
    <cfRule type="cellIs" dxfId="585" priority="19" operator="equal">
      <formula>"4-Ajournement"</formula>
    </cfRule>
    <cfRule type="cellIs" dxfId="584" priority="20" operator="equal">
      <formula>"1-Favorable"</formula>
    </cfRule>
  </conditionalFormatting>
  <conditionalFormatting sqref="AS7:AS13 AS16">
    <cfRule type="cellIs" dxfId="583" priority="5" operator="equal">
      <formula>"6-Retiré/Abandon"</formula>
    </cfRule>
    <cfRule type="cellIs" dxfId="582" priority="6" operator="equal">
      <formula>"5-Défavorable"</formula>
    </cfRule>
    <cfRule type="cellIs" dxfId="581" priority="7" operator="equal">
      <formula>"4-Ajournement"</formula>
    </cfRule>
    <cfRule type="cellIs" dxfId="580" priority="8" operator="equal">
      <formula>"1-Favorable"</formula>
    </cfRule>
  </conditionalFormatting>
  <conditionalFormatting sqref="AS17">
    <cfRule type="cellIs" dxfId="579" priority="1" operator="equal">
      <formula>"6-Retiré/Abandon"</formula>
    </cfRule>
    <cfRule type="cellIs" dxfId="578" priority="2" operator="equal">
      <formula>"5-Défavorable"</formula>
    </cfRule>
    <cfRule type="cellIs" dxfId="577" priority="3" operator="equal">
      <formula>"4-Ajournement"</formula>
    </cfRule>
    <cfRule type="cellIs" dxfId="576" priority="4" operator="equal">
      <formula>"1-Favorable"</formula>
    </cfRule>
  </conditionalFormatting>
  <dataValidations count="1">
    <dataValidation type="list" allowBlank="1" showInputMessage="1" showErrorMessage="1" sqref="AQ7">
      <formula1>"1-Favorable,4-Ajournement,5-Défavorable,6-Retiré/Abandon"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62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3"/>
  <sheetViews>
    <sheetView zoomScale="60" zoomScaleNormal="60" zoomScaleSheetLayoutView="80" workbookViewId="0">
      <selection activeCell="AR11" sqref="AR11"/>
    </sheetView>
  </sheetViews>
  <sheetFormatPr baseColWidth="10" defaultRowHeight="15" outlineLevelCol="1" x14ac:dyDescent="0.25"/>
  <cols>
    <col min="1" max="1" width="13.85546875" style="3" customWidth="1"/>
    <col min="2" max="2" width="35" style="4" customWidth="1"/>
    <col min="3" max="3" width="48" style="5" customWidth="1"/>
    <col min="4" max="4" width="15.5703125" style="3" customWidth="1"/>
    <col min="5" max="5" width="15.28515625" style="3" customWidth="1"/>
    <col min="6" max="6" width="12" style="6" customWidth="1"/>
    <col min="7" max="7" width="16" style="3" bestFit="1" customWidth="1"/>
    <col min="8" max="8" width="11.28515625" style="6" customWidth="1"/>
    <col min="9" max="9" width="17" style="3" customWidth="1"/>
    <col min="10" max="10" width="15" style="3" bestFit="1" customWidth="1"/>
    <col min="11" max="11" width="11.5703125" style="3" hidden="1" customWidth="1" outlineLevel="1"/>
    <col min="12" max="12" width="16.5703125" style="3" hidden="1" customWidth="1" outlineLevel="1"/>
    <col min="13" max="13" width="13.7109375" style="3" bestFit="1" customWidth="1" collapsed="1"/>
    <col min="14" max="14" width="11.140625" style="3" hidden="1" customWidth="1" outlineLevel="1"/>
    <col min="15" max="15" width="11.85546875" style="3" hidden="1" customWidth="1" outlineLevel="1"/>
    <col min="16" max="16" width="10" style="3" hidden="1" customWidth="1" outlineLevel="1"/>
    <col min="17" max="17" width="11.7109375" style="3" hidden="1" customWidth="1" outlineLevel="1"/>
    <col min="18" max="18" width="16.140625" style="3" bestFit="1" customWidth="1" collapsed="1"/>
    <col min="19" max="40" width="8.7109375" style="3" hidden="1" customWidth="1" outlineLevel="1"/>
    <col min="41" max="41" width="13.140625" style="3" customWidth="1" collapsed="1"/>
    <col min="42" max="42" width="11.5703125" style="3" customWidth="1"/>
    <col min="43" max="43" width="13.7109375" style="3" customWidth="1"/>
    <col min="44" max="44" width="15.42578125" style="3" bestFit="1" customWidth="1"/>
    <col min="45" max="45" width="15.42578125" style="3" hidden="1" customWidth="1"/>
    <col min="46" max="46" width="64" style="10" customWidth="1"/>
    <col min="47" max="47" width="15.42578125" style="3" bestFit="1" customWidth="1"/>
    <col min="48" max="48" width="17.28515625" style="3" bestFit="1" customWidth="1"/>
    <col min="49" max="49" width="9.42578125" style="3" customWidth="1"/>
    <col min="50" max="64" width="9.7109375" style="3" customWidth="1"/>
    <col min="65" max="65" width="15.140625" style="3" customWidth="1"/>
    <col min="66" max="66" width="14.5703125" style="3" customWidth="1"/>
    <col min="67" max="67" width="18.5703125" style="3" customWidth="1"/>
    <col min="68" max="68" width="12.5703125" style="3" customWidth="1"/>
    <col min="69" max="69" width="20.42578125" style="3" customWidth="1"/>
    <col min="70" max="70" width="12.7109375" style="3" customWidth="1"/>
    <col min="71" max="71" width="9.28515625" style="3" customWidth="1"/>
    <col min="72" max="72" width="14.28515625" style="3" customWidth="1"/>
    <col min="73" max="73" width="11.42578125" style="3" customWidth="1"/>
    <col min="74" max="74" width="9" style="3" customWidth="1"/>
    <col min="75" max="75" width="9.5703125" style="3" customWidth="1"/>
    <col min="76" max="76" width="11" style="3" customWidth="1"/>
    <col min="77" max="77" width="12.7109375" style="3" customWidth="1"/>
    <col min="78" max="80" width="9.7109375" style="3" customWidth="1"/>
    <col min="81" max="81" width="15.140625" style="3" customWidth="1"/>
    <col min="82" max="82" width="17.28515625" style="3" customWidth="1"/>
    <col min="83" max="83" width="49.28515625" style="4" customWidth="1"/>
    <col min="84" max="84" width="17.28515625" style="3" customWidth="1"/>
    <col min="85" max="16384" width="11.42578125" style="3"/>
  </cols>
  <sheetData>
    <row r="1" spans="1:83" ht="18.75" x14ac:dyDescent="0.3">
      <c r="B1" s="21" t="s">
        <v>75</v>
      </c>
      <c r="C1" s="22">
        <f>Itinérance!C1</f>
        <v>42696</v>
      </c>
    </row>
    <row r="5" spans="1:83" x14ac:dyDescent="0.25">
      <c r="A5" s="1" t="s">
        <v>70</v>
      </c>
      <c r="B5" s="2"/>
    </row>
    <row r="6" spans="1:83" s="7" customFormat="1" ht="45" x14ac:dyDescent="0.25">
      <c r="A6" s="89" t="s">
        <v>7</v>
      </c>
      <c r="B6" s="90" t="s">
        <v>1</v>
      </c>
      <c r="C6" s="90" t="s">
        <v>2</v>
      </c>
      <c r="D6" s="90" t="s">
        <v>52</v>
      </c>
      <c r="E6" s="90" t="s">
        <v>54</v>
      </c>
      <c r="F6" s="90" t="s">
        <v>53</v>
      </c>
      <c r="G6" s="90" t="s">
        <v>50</v>
      </c>
      <c r="H6" s="90" t="s">
        <v>55</v>
      </c>
      <c r="I6" s="90" t="s">
        <v>44</v>
      </c>
      <c r="J6" s="90" t="s">
        <v>65</v>
      </c>
      <c r="K6" s="90" t="s">
        <v>69</v>
      </c>
      <c r="L6" s="90" t="s">
        <v>17</v>
      </c>
      <c r="M6" s="90" t="s">
        <v>66</v>
      </c>
      <c r="N6" s="90" t="s">
        <v>20</v>
      </c>
      <c r="O6" s="90" t="s">
        <v>18</v>
      </c>
      <c r="P6" s="90" t="s">
        <v>19</v>
      </c>
      <c r="Q6" s="90" t="s">
        <v>21</v>
      </c>
      <c r="R6" s="90" t="s">
        <v>67</v>
      </c>
      <c r="S6" s="90" t="s">
        <v>22</v>
      </c>
      <c r="T6" s="90" t="s">
        <v>23</v>
      </c>
      <c r="U6" s="90" t="s">
        <v>24</v>
      </c>
      <c r="V6" s="90" t="s">
        <v>25</v>
      </c>
      <c r="W6" s="90" t="s">
        <v>26</v>
      </c>
      <c r="X6" s="90" t="s">
        <v>27</v>
      </c>
      <c r="Y6" s="90" t="s">
        <v>28</v>
      </c>
      <c r="Z6" s="90" t="s">
        <v>29</v>
      </c>
      <c r="AA6" s="90" t="s">
        <v>30</v>
      </c>
      <c r="AB6" s="90" t="s">
        <v>31</v>
      </c>
      <c r="AC6" s="90" t="s">
        <v>32</v>
      </c>
      <c r="AD6" s="90" t="s">
        <v>33</v>
      </c>
      <c r="AE6" s="90" t="s">
        <v>34</v>
      </c>
      <c r="AF6" s="90" t="s">
        <v>35</v>
      </c>
      <c r="AG6" s="90" t="s">
        <v>36</v>
      </c>
      <c r="AH6" s="90" t="s">
        <v>37</v>
      </c>
      <c r="AI6" s="90" t="s">
        <v>38</v>
      </c>
      <c r="AJ6" s="90" t="s">
        <v>39</v>
      </c>
      <c r="AK6" s="90" t="s">
        <v>40</v>
      </c>
      <c r="AL6" s="90" t="s">
        <v>41</v>
      </c>
      <c r="AM6" s="90" t="s">
        <v>42</v>
      </c>
      <c r="AN6" s="90" t="s">
        <v>43</v>
      </c>
      <c r="AO6" s="90" t="s">
        <v>45</v>
      </c>
      <c r="AP6" s="90" t="s">
        <v>49</v>
      </c>
      <c r="AQ6" s="90" t="s">
        <v>131</v>
      </c>
      <c r="AR6" s="91" t="s">
        <v>56</v>
      </c>
      <c r="AT6" s="55" t="s">
        <v>64</v>
      </c>
    </row>
    <row r="7" spans="1:83" s="10" customFormat="1" x14ac:dyDescent="0.25">
      <c r="A7" s="92" t="s">
        <v>223</v>
      </c>
      <c r="B7" s="93" t="s">
        <v>224</v>
      </c>
      <c r="C7" s="93" t="s">
        <v>225</v>
      </c>
      <c r="D7" s="94">
        <v>69772.929999999993</v>
      </c>
      <c r="E7" s="94">
        <f>Attractivité!$G7+Attractivité!$AO7</f>
        <v>53000</v>
      </c>
      <c r="F7" s="95">
        <f>Attractivité!$E7/Attractivité!$D7</f>
        <v>0.75960691345483133</v>
      </c>
      <c r="G7" s="94">
        <f>Attractivité!$I7+Attractivité!$J7+Attractivité!$M7+Attractivité!$R7</f>
        <v>45000</v>
      </c>
      <c r="H7" s="95">
        <f>Attractivité!$G7/Attractivité!$D7</f>
        <v>0.64494926614089454</v>
      </c>
      <c r="I7" s="94">
        <v>0</v>
      </c>
      <c r="J7" s="94">
        <f>Attractivité!$K7+Attractivité!$L7</f>
        <v>40000</v>
      </c>
      <c r="K7" s="94">
        <v>40000</v>
      </c>
      <c r="L7" s="94"/>
      <c r="M7" s="94">
        <f>Attractivité!$N7+Attractivité!$O7+Attractivité!$P7+Attractivité!$Q7</f>
        <v>5000</v>
      </c>
      <c r="N7" s="94"/>
      <c r="O7" s="94"/>
      <c r="P7" s="94"/>
      <c r="Q7" s="94">
        <v>5000</v>
      </c>
      <c r="R7" s="94">
        <f>Attractivité!$S7+Attractivité!$T7+Attractivité!$U7+Attractivité!$V7+Attractivité!$W7+Attractivité!$X7+Attractivité!$Y7+Attractivité!$Z7+Attractivité!$AA7+Attractivité!$AB7+Attractivité!$AC7+Attractivité!$AD7+Attractivité!$AE7+Attractivité!$AF7+Attractivité!$AG7+Attractivité!$AH7+Attractivité!$AI7+Attractivité!$AJ7+Attractivité!$AK7+Attractivité!$AL7+Attractivité!$AM7+Attractivité!$AN7</f>
        <v>0</v>
      </c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>
        <v>8000</v>
      </c>
      <c r="AP7" s="96" t="s">
        <v>150</v>
      </c>
      <c r="AQ7" s="97"/>
      <c r="AR7" s="98" t="s">
        <v>149</v>
      </c>
      <c r="AT7" s="47"/>
    </row>
    <row r="8" spans="1:83" s="10" customFormat="1" ht="15.75" thickBot="1" x14ac:dyDescent="0.3">
      <c r="A8" s="99" t="s">
        <v>226</v>
      </c>
      <c r="B8" s="100" t="s">
        <v>227</v>
      </c>
      <c r="C8" s="100" t="s">
        <v>225</v>
      </c>
      <c r="D8" s="101">
        <v>63498.42</v>
      </c>
      <c r="E8" s="101">
        <f>Attractivité!$G8+Attractivité!$AO8</f>
        <v>43498.42</v>
      </c>
      <c r="F8" s="102">
        <f>Attractivité!$E8/Attractivité!$D8</f>
        <v>0.68503153306806686</v>
      </c>
      <c r="G8" s="101">
        <f>Attractivité!$I8+Attractivité!$J8+Attractivité!$M8+Attractivité!$R8</f>
        <v>43498.42</v>
      </c>
      <c r="H8" s="102">
        <f>Attractivité!$G8/Attractivité!$D8</f>
        <v>0.68503153306806686</v>
      </c>
      <c r="I8" s="101">
        <v>0</v>
      </c>
      <c r="J8" s="101">
        <f>Attractivité!$K8+Attractivité!$L8</f>
        <v>41308.42</v>
      </c>
      <c r="K8" s="101">
        <v>41308.42</v>
      </c>
      <c r="L8" s="101"/>
      <c r="M8" s="101">
        <f>Attractivité!$N8+Attractivité!$O8+Attractivité!$P8+Attractivité!$Q8</f>
        <v>0</v>
      </c>
      <c r="N8" s="101"/>
      <c r="O8" s="101"/>
      <c r="P8" s="101">
        <v>0</v>
      </c>
      <c r="Q8" s="101"/>
      <c r="R8" s="101">
        <f>Attractivité!$S8+Attractivité!$T8+Attractivité!$U8+Attractivité!$V8+Attractivité!$W8+Attractivité!$X8+Attractivité!$Y8+Attractivité!$Z8+Attractivité!$AA8+Attractivité!$AB8+Attractivité!$AC8+Attractivité!$AD8+Attractivité!$AE8+Attractivité!$AF8+Attractivité!$AG8+Attractivité!$AH8+Attractivité!$AI8+Attractivité!$AJ8+Attractivité!$AK8+Attractivité!$AL8+Attractivité!$AM8+Attractivité!$AN8</f>
        <v>2190</v>
      </c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>
        <v>2190</v>
      </c>
      <c r="AH8" s="101"/>
      <c r="AI8" s="101"/>
      <c r="AJ8" s="101"/>
      <c r="AK8" s="101"/>
      <c r="AL8" s="101"/>
      <c r="AM8" s="101"/>
      <c r="AN8" s="101"/>
      <c r="AO8" s="101">
        <v>0</v>
      </c>
      <c r="AP8" s="103" t="s">
        <v>150</v>
      </c>
      <c r="AQ8" s="104"/>
      <c r="AR8" s="105" t="s">
        <v>149</v>
      </c>
      <c r="AT8" s="80"/>
    </row>
    <row r="9" spans="1:83" s="10" customFormat="1" ht="15.75" thickTop="1" x14ac:dyDescent="0.25">
      <c r="A9" s="87" t="s">
        <v>8</v>
      </c>
      <c r="B9" s="88">
        <f>SUBTOTAL(103,Attractivité!$B$7,B8)</f>
        <v>2</v>
      </c>
      <c r="C9" s="88"/>
      <c r="D9" s="86">
        <f>SUBTOTAL(109,Attractivité!D7:D8)</f>
        <v>133271.34999999998</v>
      </c>
      <c r="E9" s="86">
        <f>SUBTOTAL(109,Attractivité!E7:E8)</f>
        <v>96498.42</v>
      </c>
      <c r="F9" s="86"/>
      <c r="G9" s="86">
        <f>SUBTOTAL(109,Attractivité!G7:G8)</f>
        <v>88498.42</v>
      </c>
      <c r="H9" s="86"/>
      <c r="I9" s="86">
        <f>SUBTOTAL(109,Attractivité!I7:I8)</f>
        <v>0</v>
      </c>
      <c r="J9" s="86">
        <f>SUBTOTAL(109,Attractivité!J7:J8)</f>
        <v>81308.42</v>
      </c>
      <c r="K9" s="86">
        <f>SUBTOTAL(109,Attractivité!K7:K8)</f>
        <v>81308.42</v>
      </c>
      <c r="L9" s="86">
        <f>SUBTOTAL(109,Attractivité!L7:L8)</f>
        <v>0</v>
      </c>
      <c r="M9" s="86">
        <f>SUBTOTAL(109,Attractivité!M7:M8)</f>
        <v>5000</v>
      </c>
      <c r="N9" s="86">
        <f>SUBTOTAL(109,Attractivité!N7:N8)</f>
        <v>0</v>
      </c>
      <c r="O9" s="86">
        <f>SUBTOTAL(109,Attractivité!O7:O8)</f>
        <v>0</v>
      </c>
      <c r="P9" s="86">
        <f>SUBTOTAL(109,Attractivité!P7:P8)</f>
        <v>0</v>
      </c>
      <c r="Q9" s="86">
        <f>SUBTOTAL(109,Attractivité!Q7:Q8)</f>
        <v>5000</v>
      </c>
      <c r="R9" s="86">
        <f>SUBTOTAL(109,Attractivité!R7:R8)</f>
        <v>2190</v>
      </c>
      <c r="S9" s="86">
        <f>SUBTOTAL(109,Attractivité!S7:S8)</f>
        <v>0</v>
      </c>
      <c r="T9" s="86">
        <f>SUBTOTAL(109,Attractivité!T7:T8)</f>
        <v>0</v>
      </c>
      <c r="U9" s="86">
        <f>SUBTOTAL(109,Attractivité!U7:U8)</f>
        <v>0</v>
      </c>
      <c r="V9" s="86">
        <f>SUBTOTAL(109,Attractivité!V7:V8)</f>
        <v>0</v>
      </c>
      <c r="W9" s="86">
        <f>SUBTOTAL(109,Attractivité!W7:W8)</f>
        <v>0</v>
      </c>
      <c r="X9" s="86">
        <f>SUBTOTAL(109,Attractivité!X7:X8)</f>
        <v>0</v>
      </c>
      <c r="Y9" s="86">
        <f>SUBTOTAL(109,Attractivité!Y7:Y8)</f>
        <v>0</v>
      </c>
      <c r="Z9" s="86">
        <f>SUBTOTAL(109,Attractivité!Z7:Z8)</f>
        <v>0</v>
      </c>
      <c r="AA9" s="86">
        <f>SUBTOTAL(109,Attractivité!AA7:AA8)</f>
        <v>0</v>
      </c>
      <c r="AB9" s="86">
        <f>SUBTOTAL(109,Attractivité!AB7:AB8)</f>
        <v>0</v>
      </c>
      <c r="AC9" s="86">
        <f>SUBTOTAL(109,Attractivité!AC7:AC8)</f>
        <v>0</v>
      </c>
      <c r="AD9" s="86">
        <f>SUBTOTAL(109,Attractivité!AD7:AD8)</f>
        <v>0</v>
      </c>
      <c r="AE9" s="86">
        <f>SUBTOTAL(109,Attractivité!AE7:AE8)</f>
        <v>0</v>
      </c>
      <c r="AF9" s="86">
        <f>SUBTOTAL(109,Attractivité!AF7:AF8)</f>
        <v>0</v>
      </c>
      <c r="AG9" s="86">
        <f>SUBTOTAL(109,Attractivité!AG7:AG8)</f>
        <v>2190</v>
      </c>
      <c r="AH9" s="86">
        <f>SUBTOTAL(109,Attractivité!AH7:AH8)</f>
        <v>0</v>
      </c>
      <c r="AI9" s="86">
        <f>SUBTOTAL(109,Attractivité!AI7:AI8)</f>
        <v>0</v>
      </c>
      <c r="AJ9" s="86">
        <f>SUBTOTAL(109,Attractivité!AJ7:AJ8)</f>
        <v>0</v>
      </c>
      <c r="AK9" s="86">
        <f>SUBTOTAL(109,Attractivité!AK7:AK8)</f>
        <v>0</v>
      </c>
      <c r="AL9" s="86">
        <f>SUBTOTAL(109,Attractivité!AL7:AL8)</f>
        <v>0</v>
      </c>
      <c r="AM9" s="86">
        <f>SUBTOTAL(109,Attractivité!AM7:AM8)</f>
        <v>0</v>
      </c>
      <c r="AN9" s="86">
        <f>SUBTOTAL(109,Attractivité!AN7:AN8)</f>
        <v>0</v>
      </c>
      <c r="AO9" s="86">
        <f>SUBTOTAL(109,Attractivité!AO7:AO8)</f>
        <v>8000</v>
      </c>
      <c r="AP9" s="27"/>
      <c r="AQ9" s="27"/>
      <c r="AR9" s="28"/>
      <c r="AT9" s="28"/>
    </row>
    <row r="10" spans="1:83" s="10" customFormat="1" x14ac:dyDescent="0.25">
      <c r="A10" s="99"/>
      <c r="B10" s="100"/>
      <c r="C10" s="100"/>
      <c r="D10" s="101"/>
      <c r="E10" s="101"/>
      <c r="F10" s="102"/>
      <c r="G10" s="101"/>
      <c r="H10" s="102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3"/>
      <c r="AQ10" s="104"/>
      <c r="AR10" s="105"/>
      <c r="AT10" s="80"/>
    </row>
    <row r="11" spans="1:83" s="10" customFormat="1" ht="45.75" thickBot="1" x14ac:dyDescent="0.3">
      <c r="A11" s="92" t="s">
        <v>203</v>
      </c>
      <c r="B11" s="93" t="s">
        <v>87</v>
      </c>
      <c r="C11" s="93" t="s">
        <v>204</v>
      </c>
      <c r="D11" s="94">
        <v>34389.32</v>
      </c>
      <c r="E11" s="94">
        <f>Attractivité!$G11+Attractivité!$AO11</f>
        <v>24072.66</v>
      </c>
      <c r="F11" s="95">
        <f>Attractivité!$E11/Attractivité!$D11</f>
        <v>0.70000395471617349</v>
      </c>
      <c r="G11" s="94">
        <f>Attractivité!$I11+Attractivité!$J11+Attractivité!$M11+Attractivité!$R11</f>
        <v>24072.66</v>
      </c>
      <c r="H11" s="95">
        <f>Attractivité!$G11/Attractivité!$D11</f>
        <v>0.70000395471617349</v>
      </c>
      <c r="I11" s="94">
        <v>0</v>
      </c>
      <c r="J11" s="94">
        <f>Attractivité!$K11+Attractivité!$L11</f>
        <v>17194.66</v>
      </c>
      <c r="K11" s="94">
        <v>17194.66</v>
      </c>
      <c r="L11" s="94"/>
      <c r="M11" s="94">
        <f>Attractivité!$N11+Attractivité!$O11+Attractivité!$P11+Attractivité!$Q11</f>
        <v>0</v>
      </c>
      <c r="N11" s="94"/>
      <c r="O11" s="94"/>
      <c r="P11" s="94"/>
      <c r="Q11" s="94"/>
      <c r="R11" s="94">
        <f>Attractivité!$S11+Attractivité!$T11+Attractivité!$U11+Attractivité!$V11+Attractivité!$W11+Attractivité!$X11+Attractivité!$Y11+Attractivité!$Z11+Attractivité!$AA11+Attractivité!$AB11+Attractivité!$AC11+Attractivité!$AD11+Attractivité!$AE11+Attractivité!$AF11+Attractivité!$AG11+Attractivité!$AH11+Attractivité!$AI11+Attractivité!$AJ11+Attractivité!$AK11+Attractivité!$AL11+Attractivité!$AM11+Attractivité!$AN11</f>
        <v>6878</v>
      </c>
      <c r="S11" s="94"/>
      <c r="T11" s="94"/>
      <c r="U11" s="94"/>
      <c r="V11" s="94"/>
      <c r="W11" s="94"/>
      <c r="X11" s="94"/>
      <c r="Y11" s="94"/>
      <c r="Z11" s="94">
        <v>6878</v>
      </c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>
        <v>0</v>
      </c>
      <c r="AP11" s="96" t="s">
        <v>150</v>
      </c>
      <c r="AQ11" s="97"/>
      <c r="AR11" s="98" t="s">
        <v>149</v>
      </c>
      <c r="AT11" s="47"/>
    </row>
    <row r="12" spans="1:83" s="10" customFormat="1" ht="15.75" thickTop="1" x14ac:dyDescent="0.25">
      <c r="A12" s="87" t="s">
        <v>8</v>
      </c>
      <c r="B12" s="88">
        <f>SUBTOTAL(103,Attractivité!$B$11)</f>
        <v>1</v>
      </c>
      <c r="C12" s="88"/>
      <c r="D12" s="86">
        <f>SUBTOTAL(109,Attractivité!D$11)</f>
        <v>34389.32</v>
      </c>
      <c r="E12" s="86">
        <f>SUBTOTAL(109,Attractivité!E$11)</f>
        <v>24072.66</v>
      </c>
      <c r="F12" s="86"/>
      <c r="G12" s="86">
        <f>SUBTOTAL(109,Attractivité!G$11)</f>
        <v>24072.66</v>
      </c>
      <c r="H12" s="86"/>
      <c r="I12" s="86">
        <f>SUBTOTAL(109,Attractivité!I$11)</f>
        <v>0</v>
      </c>
      <c r="J12" s="86">
        <f>SUBTOTAL(109,Attractivité!J$11)</f>
        <v>17194.66</v>
      </c>
      <c r="K12" s="86">
        <f>SUBTOTAL(109,Attractivité!K$11)</f>
        <v>17194.66</v>
      </c>
      <c r="L12" s="86">
        <f>SUBTOTAL(109,Attractivité!L$11)</f>
        <v>0</v>
      </c>
      <c r="M12" s="86">
        <f>SUBTOTAL(109,Attractivité!M$11)</f>
        <v>0</v>
      </c>
      <c r="N12" s="86">
        <f>SUBTOTAL(109,Attractivité!N$11)</f>
        <v>0</v>
      </c>
      <c r="O12" s="86">
        <f>SUBTOTAL(109,Attractivité!O$11)</f>
        <v>0</v>
      </c>
      <c r="P12" s="86">
        <f>SUBTOTAL(109,Attractivité!P$11)</f>
        <v>0</v>
      </c>
      <c r="Q12" s="86">
        <f>SUBTOTAL(109,Attractivité!Q$11)</f>
        <v>0</v>
      </c>
      <c r="R12" s="86">
        <f>SUBTOTAL(109,Attractivité!R$11)</f>
        <v>6878</v>
      </c>
      <c r="S12" s="86">
        <f>SUBTOTAL(109,Attractivité!S$11)</f>
        <v>0</v>
      </c>
      <c r="T12" s="86">
        <f>SUBTOTAL(109,Attractivité!T$11)</f>
        <v>0</v>
      </c>
      <c r="U12" s="86">
        <f>SUBTOTAL(109,Attractivité!U$11)</f>
        <v>0</v>
      </c>
      <c r="V12" s="86">
        <f>SUBTOTAL(109,Attractivité!V$11)</f>
        <v>0</v>
      </c>
      <c r="W12" s="86">
        <f>SUBTOTAL(109,Attractivité!W$11)</f>
        <v>0</v>
      </c>
      <c r="X12" s="86">
        <f>SUBTOTAL(109,Attractivité!X$11)</f>
        <v>0</v>
      </c>
      <c r="Y12" s="86">
        <f>SUBTOTAL(109,Attractivité!Y$11)</f>
        <v>0</v>
      </c>
      <c r="Z12" s="86">
        <f>SUBTOTAL(109,Attractivité!Z$11)</f>
        <v>6878</v>
      </c>
      <c r="AA12" s="86">
        <f>SUBTOTAL(109,Attractivité!AA$11)</f>
        <v>0</v>
      </c>
      <c r="AB12" s="86">
        <f>SUBTOTAL(109,Attractivité!AB$11)</f>
        <v>0</v>
      </c>
      <c r="AC12" s="86">
        <f>SUBTOTAL(109,Attractivité!AC$11)</f>
        <v>0</v>
      </c>
      <c r="AD12" s="86">
        <f>SUBTOTAL(109,Attractivité!AD$11)</f>
        <v>0</v>
      </c>
      <c r="AE12" s="86">
        <f>SUBTOTAL(109,Attractivité!AE$11)</f>
        <v>0</v>
      </c>
      <c r="AF12" s="86">
        <f>SUBTOTAL(109,Attractivité!AF$11)</f>
        <v>0</v>
      </c>
      <c r="AG12" s="86">
        <f>SUBTOTAL(109,Attractivité!AG$11)</f>
        <v>0</v>
      </c>
      <c r="AH12" s="86">
        <f>SUBTOTAL(109,Attractivité!AH$11)</f>
        <v>0</v>
      </c>
      <c r="AI12" s="86">
        <f>SUBTOTAL(109,Attractivité!AI$11)</f>
        <v>0</v>
      </c>
      <c r="AJ12" s="86">
        <f>SUBTOTAL(109,Attractivité!AJ$11)</f>
        <v>0</v>
      </c>
      <c r="AK12" s="86">
        <f>SUBTOTAL(109,Attractivité!AK$11)</f>
        <v>0</v>
      </c>
      <c r="AL12" s="86">
        <f>SUBTOTAL(109,Attractivité!AL$11)</f>
        <v>0</v>
      </c>
      <c r="AM12" s="86">
        <f>SUBTOTAL(109,Attractivité!AM$11)</f>
        <v>0</v>
      </c>
      <c r="AN12" s="86">
        <f>SUBTOTAL(109,Attractivité!AN$11)</f>
        <v>0</v>
      </c>
      <c r="AO12" s="86">
        <f>SUBTOTAL(109,Attractivité!AO$11)</f>
        <v>0</v>
      </c>
      <c r="AP12" s="27"/>
      <c r="AQ12" s="27"/>
      <c r="AR12" s="28"/>
      <c r="AT12" s="28"/>
    </row>
    <row r="13" spans="1:83" s="10" customFormat="1" x14ac:dyDescent="0.25">
      <c r="A13" s="3"/>
      <c r="B13" s="4"/>
      <c r="C13" s="5"/>
      <c r="D13" s="3"/>
      <c r="E13" s="3"/>
      <c r="F13" s="6"/>
      <c r="G13" s="3"/>
      <c r="H13" s="6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83" x14ac:dyDescent="0.25">
      <c r="CA14" s="4"/>
      <c r="CE14" s="3"/>
    </row>
    <row r="15" spans="1:83" x14ac:dyDescent="0.25">
      <c r="CA15" s="4"/>
      <c r="CE15" s="3"/>
    </row>
    <row r="16" spans="1:83" x14ac:dyDescent="0.25">
      <c r="CA16" s="4"/>
      <c r="CE16" s="3"/>
    </row>
    <row r="17" spans="1:83" x14ac:dyDescent="0.25">
      <c r="CA17" s="4"/>
      <c r="CE17" s="3"/>
    </row>
    <row r="18" spans="1:83" x14ac:dyDescent="0.25">
      <c r="CA18" s="4"/>
      <c r="CE18" s="3"/>
    </row>
    <row r="19" spans="1:83" s="7" customFormat="1" x14ac:dyDescent="0.25">
      <c r="A19" s="3"/>
      <c r="B19" s="4"/>
      <c r="C19" s="5"/>
      <c r="D19" s="3"/>
      <c r="E19" s="3"/>
      <c r="F19" s="6"/>
      <c r="G19" s="3"/>
      <c r="H19" s="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T19" s="10"/>
    </row>
    <row r="20" spans="1:83" s="10" customFormat="1" x14ac:dyDescent="0.25">
      <c r="A20" s="3"/>
      <c r="B20" s="4"/>
      <c r="C20" s="5"/>
      <c r="D20" s="3"/>
      <c r="E20" s="3"/>
      <c r="F20" s="6"/>
      <c r="G20" s="3"/>
      <c r="H20" s="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83" x14ac:dyDescent="0.25">
      <c r="CD21" s="4"/>
      <c r="CE21" s="3"/>
    </row>
    <row r="22" spans="1:83" hidden="1" x14ac:dyDescent="0.25">
      <c r="E22" s="3" t="s">
        <v>83</v>
      </c>
      <c r="F22" s="6" t="s">
        <v>81</v>
      </c>
    </row>
    <row r="23" spans="1:83" hidden="1" x14ac:dyDescent="0.25">
      <c r="D23" t="s">
        <v>57</v>
      </c>
      <c r="E23" s="3">
        <f>H23+I23</f>
        <v>0</v>
      </c>
      <c r="F23" s="3">
        <f>M23+R23</f>
        <v>0</v>
      </c>
      <c r="H23" s="3">
        <f>SUMIF(Attractivité!$AR$7:$AR$11,"1-Favorable",Attractivité!$I$7:$I$11)</f>
        <v>0</v>
      </c>
      <c r="I23" s="3">
        <f>SUMIF(Attractivité!$AR$7:$AR$11,"2-Favorable sous réserve",Attractivité!$I$7:$I$11)</f>
        <v>0</v>
      </c>
      <c r="M23" s="3">
        <f>SUMIF(Attractivité!$AP$7:$AP$11,"1-Favorable",Attractivité!$I$7:$I$11)</f>
        <v>0</v>
      </c>
      <c r="R23" s="3">
        <f>SUMIF(Attractivité!$AP$7:$AP$11,"2-Favorable sous réserve",Attractivité!$I$7:$I$11)</f>
        <v>0</v>
      </c>
    </row>
    <row r="24" spans="1:83" hidden="1" x14ac:dyDescent="0.25">
      <c r="D24" t="s">
        <v>46</v>
      </c>
      <c r="E24" s="3">
        <f t="shared" ref="E24:E51" si="0">H24+I24</f>
        <v>98503.08</v>
      </c>
      <c r="F24" s="3">
        <f t="shared" ref="F24:F52" si="1">M24+R24</f>
        <v>98503.08</v>
      </c>
      <c r="H24" s="3">
        <f>SUMIF(Attractivité!$AR$7:$AR$11,"1-Favorable",Attractivité!$J$7:$J$11)</f>
        <v>98503.08</v>
      </c>
      <c r="I24" s="3">
        <f>SUMIF(Attractivité!$AR$7:$AR$11,"2-Favorable sous réserve",Attractivité!$J$7:$J$11)</f>
        <v>0</v>
      </c>
      <c r="M24" s="3">
        <f>SUMIF(Attractivité!$AP$7:$AP$11,"1-Favorable",Attractivité!$J$7:$J$11)</f>
        <v>0</v>
      </c>
      <c r="R24" s="3">
        <f>SUMIF(Attractivité!$AP$7:$AP$11,"2-Favorable sous réserve",Attractivité!$J$7:$J$11)</f>
        <v>98503.08</v>
      </c>
    </row>
    <row r="25" spans="1:83" hidden="1" x14ac:dyDescent="0.25">
      <c r="D25" t="s">
        <v>47</v>
      </c>
      <c r="E25" s="3">
        <f t="shared" si="0"/>
        <v>5000</v>
      </c>
      <c r="F25" s="3">
        <f t="shared" si="1"/>
        <v>5000</v>
      </c>
      <c r="H25" s="3">
        <f>SUMIF(Attractivité!$AR$7:$AR$11,"1-Favorable",Attractivité!$M$7:$M$11)</f>
        <v>5000</v>
      </c>
      <c r="I25" s="3">
        <f>SUMIF(Attractivité!$AR$7:$AR$11,"2-Favorable sous réserve",Attractivité!$M$7:$M$11)</f>
        <v>0</v>
      </c>
      <c r="M25" s="3">
        <f>SUMIF(Attractivité!$AP$7:$AP$11,"1-Favorable",Attractivité!$M$7:$M$11)</f>
        <v>0</v>
      </c>
      <c r="R25" s="3">
        <f>SUMIF(Attractivité!$AP$7:$AP$11,"2-Favorable sous réserve",Attractivité!$M$7:$M$11)</f>
        <v>5000</v>
      </c>
    </row>
    <row r="26" spans="1:83" hidden="1" x14ac:dyDescent="0.25">
      <c r="D26" s="3" t="s">
        <v>58</v>
      </c>
      <c r="E26" s="3">
        <f t="shared" si="0"/>
        <v>0</v>
      </c>
      <c r="F26" s="3">
        <f t="shared" si="1"/>
        <v>0</v>
      </c>
      <c r="H26" s="3">
        <f>SUMIF(Attractivité!$AR$7:$AR$11,"1-Favorable",Attractivité!$N$7:$N$11)</f>
        <v>0</v>
      </c>
      <c r="I26" s="3">
        <f>SUMIF(Attractivité!$AR$7:$AR$11,"2-Favorable sous réserve",Attractivité!$N$7:$N$11)</f>
        <v>0</v>
      </c>
      <c r="M26" s="3">
        <f>SUMIF(Attractivité!$AP$7:$AP$11,"1-Favorable",Attractivité!$N$7:$N$11)</f>
        <v>0</v>
      </c>
      <c r="R26" s="3">
        <f>SUMIF(Attractivité!$AP$7:$AP$11,"2-Favorable sous réserve",Attractivité!$N$7:$N$11)</f>
        <v>0</v>
      </c>
    </row>
    <row r="27" spans="1:83" hidden="1" x14ac:dyDescent="0.25">
      <c r="D27" s="3" t="s">
        <v>59</v>
      </c>
      <c r="E27" s="3">
        <f t="shared" si="0"/>
        <v>0</v>
      </c>
      <c r="F27" s="3">
        <f t="shared" si="1"/>
        <v>0</v>
      </c>
      <c r="H27" s="3">
        <f>SUMIF(Attractivité!$AR$7:$AR$11,"1-Favorable",Attractivité!$O$7:$O$11)</f>
        <v>0</v>
      </c>
      <c r="I27" s="3">
        <f>SUMIF(Attractivité!$AR$7:$AR$11,"2-Favorable sous réserve",Attractivité!$O$7:$O$11)</f>
        <v>0</v>
      </c>
      <c r="M27" s="3">
        <f>SUMIF(Attractivité!$AP$7:$AP$11,"1-Favorable",Attractivité!$O$7:$O$11)</f>
        <v>0</v>
      </c>
      <c r="R27" s="3">
        <f>SUMIF(Attractivité!$AP$7:$AP$11,"2-Favorable sous réserve",Attractivité!$O$7:$O$11)</f>
        <v>0</v>
      </c>
    </row>
    <row r="28" spans="1:83" hidden="1" x14ac:dyDescent="0.25">
      <c r="D28" s="3" t="s">
        <v>60</v>
      </c>
      <c r="E28" s="3">
        <f t="shared" si="0"/>
        <v>0</v>
      </c>
      <c r="F28" s="3">
        <f t="shared" si="1"/>
        <v>0</v>
      </c>
      <c r="H28" s="3">
        <f>SUMIF(Attractivité!$AR$7:$AR$11,"1-Favorable",Attractivité!$P$7:$P$11)</f>
        <v>0</v>
      </c>
      <c r="I28" s="3">
        <f>SUMIF(Attractivité!$AR$7:$AR$11,"2-Favorable sous réserve",Attractivité!$P$7:$P$11)</f>
        <v>0</v>
      </c>
      <c r="M28" s="3">
        <f>SUMIF(Attractivité!$AP$7:$AP$11,"1-Favorable",Attractivité!$P$7:$P$11)</f>
        <v>0</v>
      </c>
      <c r="R28" s="3">
        <f>SUMIF(Attractivité!$AP$7:$AP$11,"2-Favorable sous réserve",Attractivité!$P$7:$P$11)</f>
        <v>0</v>
      </c>
    </row>
    <row r="29" spans="1:83" hidden="1" x14ac:dyDescent="0.25">
      <c r="D29" s="3" t="s">
        <v>61</v>
      </c>
      <c r="E29" s="3">
        <f t="shared" si="0"/>
        <v>5000</v>
      </c>
      <c r="F29" s="3">
        <f t="shared" si="1"/>
        <v>5000</v>
      </c>
      <c r="H29" s="3">
        <f>SUMIF(Attractivité!$AR$7:$AR$11,"1-Favorable",Attractivité!$Q$7:$Q$11)</f>
        <v>5000</v>
      </c>
      <c r="I29" s="3">
        <f>SUMIF(Attractivité!$AR$7:$AR$11,"2-Favorable sous réserve",Attractivité!$Q$7:$Q$11)</f>
        <v>0</v>
      </c>
      <c r="M29" s="3">
        <f>SUMIF(Attractivité!$AP$7:$AP$11,"1-Favorable",Attractivité!$Q$7:$Q$11)</f>
        <v>0</v>
      </c>
      <c r="R29" s="3">
        <f>SUMIF(Attractivité!$AP$7:$AP$11,"2-Favorable sous réserve",Attractivité!$Q$7:$Q$11)</f>
        <v>5000</v>
      </c>
    </row>
    <row r="30" spans="1:83" hidden="1" x14ac:dyDescent="0.25">
      <c r="D30" t="s">
        <v>48</v>
      </c>
      <c r="E30" s="3">
        <f t="shared" si="0"/>
        <v>9068</v>
      </c>
      <c r="F30" s="3">
        <f t="shared" si="1"/>
        <v>9068</v>
      </c>
      <c r="H30" s="3">
        <f>SUMIF(Attractivité!$AR$7:$AR$11,"1-Favorable",Attractivité!$R$7:$R$11)</f>
        <v>9068</v>
      </c>
      <c r="I30" s="3">
        <f>SUMIF(Attractivité!$AR$7:$AR$11,"2-Favorable sous réserve",Attractivité!$R$7:$R$11)</f>
        <v>0</v>
      </c>
      <c r="M30" s="3">
        <f>SUMIF(Attractivité!$AP$7:$AP$11,"1-Favorable",Attractivité!$R$7:$R$11)</f>
        <v>0</v>
      </c>
      <c r="R30" s="3">
        <f>SUMIF(Attractivité!$AP$7:$AP$11,"2-Favorable sous réserve",Attractivité!$R$7:$R$11)</f>
        <v>9068</v>
      </c>
    </row>
    <row r="31" spans="1:83" hidden="1" x14ac:dyDescent="0.25">
      <c r="D31" t="s">
        <v>22</v>
      </c>
      <c r="E31" s="3">
        <f t="shared" si="0"/>
        <v>0</v>
      </c>
      <c r="F31" s="3">
        <f t="shared" si="1"/>
        <v>0</v>
      </c>
      <c r="H31" s="3">
        <f>SUMIF(Attractivité!$AR$7:$AR$11,"1-Favorable",Attractivité!$S$7:$S$11)</f>
        <v>0</v>
      </c>
      <c r="I31" s="3">
        <f>SUMIF(Attractivité!$AR$7:$AR$11,"2-Favorable sous réserve",Attractivité!$S$7:$S$11)</f>
        <v>0</v>
      </c>
      <c r="M31" s="3">
        <f>SUMIF(Attractivité!$AP$7:$AP$11,"1-Favorable",Attractivité!$S$7:$S$11)</f>
        <v>0</v>
      </c>
      <c r="R31" s="3">
        <f>SUMIF(Attractivité!$AP$7:$AP$11,"2-Favorable sous réserve",Attractivité!$S$7:$S$11)</f>
        <v>0</v>
      </c>
    </row>
    <row r="32" spans="1:83" hidden="1" x14ac:dyDescent="0.25">
      <c r="D32" t="s">
        <v>23</v>
      </c>
      <c r="E32" s="3">
        <f t="shared" si="0"/>
        <v>0</v>
      </c>
      <c r="F32" s="3">
        <f t="shared" si="1"/>
        <v>0</v>
      </c>
      <c r="H32" s="3">
        <f>SUMIF(Attractivité!$AR$7:$AR$11,"1-Favorable",Attractivité!$T$7:$T$11)</f>
        <v>0</v>
      </c>
      <c r="I32" s="3">
        <f>SUMIF(Attractivité!$AR$7:$AR$11,"2-Favorable sous réserve",Attractivité!$T$7:$T$11)</f>
        <v>0</v>
      </c>
      <c r="M32" s="3">
        <f>SUMIF(Attractivité!$AP$7:$AP$11,"1-Favorable",Attractivité!$T$7:$T$11)</f>
        <v>0</v>
      </c>
      <c r="R32" s="3">
        <f>SUMIF(Attractivité!$AP$7:$AP$11,"2-Favorable sous réserve",Attractivité!$T$7:$T$11)</f>
        <v>0</v>
      </c>
    </row>
    <row r="33" spans="4:18" hidden="1" x14ac:dyDescent="0.25">
      <c r="D33" t="s">
        <v>24</v>
      </c>
      <c r="E33" s="3">
        <f t="shared" si="0"/>
        <v>0</v>
      </c>
      <c r="F33" s="3">
        <f t="shared" si="1"/>
        <v>0</v>
      </c>
      <c r="H33" s="3">
        <f>SUMIF(Attractivité!$AR$7:$AR$11,"1-Favorable",Attractivité!$U$7:$U$11)</f>
        <v>0</v>
      </c>
      <c r="I33" s="3">
        <f>SUMIF(Attractivité!$AR$7:$AR$11,"2-Favorable sous réserve",Attractivité!$U$7:$U$11)</f>
        <v>0</v>
      </c>
      <c r="M33" s="3">
        <f>SUMIF(Attractivité!$AP$7:$AP$11,"1-Favorable",Attractivité!$U$7:$U$11)</f>
        <v>0</v>
      </c>
      <c r="R33" s="3">
        <f>SUMIF(Attractivité!$AP$7:$AP$11,"2-Favorable sous réserve",Attractivité!$U$7:$U$11)</f>
        <v>0</v>
      </c>
    </row>
    <row r="34" spans="4:18" hidden="1" x14ac:dyDescent="0.25">
      <c r="D34" t="s">
        <v>25</v>
      </c>
      <c r="E34" s="3">
        <f t="shared" si="0"/>
        <v>0</v>
      </c>
      <c r="F34" s="3">
        <f t="shared" si="1"/>
        <v>0</v>
      </c>
      <c r="H34" s="3">
        <f>SUMIF(Attractivité!$AR$7:$AR$11,"1-Favorable",Attractivité!$V$7:$V$11)</f>
        <v>0</v>
      </c>
      <c r="I34" s="3">
        <f>SUMIF(Attractivité!$AR$7:$AR$11,"2-Favorable sous réserve",Attractivité!$V$7:$V$11)</f>
        <v>0</v>
      </c>
      <c r="M34" s="3">
        <f>SUMIF(Attractivité!$AP$7:$AP$11,"1-Favorable",Attractivité!$V$7:$V$11)</f>
        <v>0</v>
      </c>
      <c r="R34" s="3">
        <f>SUMIF(Attractivité!$AP$7:$AP$11,"2-Favorable sous réserve",Attractivité!$V$7:$V$11)</f>
        <v>0</v>
      </c>
    </row>
    <row r="35" spans="4:18" hidden="1" x14ac:dyDescent="0.25">
      <c r="D35" t="s">
        <v>26</v>
      </c>
      <c r="E35" s="3">
        <f t="shared" si="0"/>
        <v>0</v>
      </c>
      <c r="F35" s="3">
        <f t="shared" si="1"/>
        <v>0</v>
      </c>
      <c r="H35" s="3">
        <f>SUMIF(Attractivité!$AR$7:$AR$11,"1-Favorable",Attractivité!$W$7:$W$11)</f>
        <v>0</v>
      </c>
      <c r="I35" s="3">
        <f>SUMIF(Attractivité!$AR$7:$AR$11,"2-Favorable sous réserve",Attractivité!$W$7:$W$11)</f>
        <v>0</v>
      </c>
      <c r="M35" s="3">
        <f>SUMIF(Attractivité!$AP$7:$AP$11,"1-Favorable",Attractivité!$W$7:$W$11)</f>
        <v>0</v>
      </c>
      <c r="R35" s="3">
        <f>SUMIF(Attractivité!$AP$7:$AP$11,"2-Favorable sous réserve",Attractivité!$W$7:$W$11)</f>
        <v>0</v>
      </c>
    </row>
    <row r="36" spans="4:18" hidden="1" x14ac:dyDescent="0.25">
      <c r="D36" t="s">
        <v>27</v>
      </c>
      <c r="E36" s="3">
        <f t="shared" si="0"/>
        <v>0</v>
      </c>
      <c r="F36" s="3">
        <f t="shared" si="1"/>
        <v>0</v>
      </c>
      <c r="H36" s="3">
        <f>SUMIF(Attractivité!$AR$7:$AR$11,"1-Favorable",Attractivité!$X$7:$X$11)</f>
        <v>0</v>
      </c>
      <c r="I36" s="3">
        <f>SUMIF(Attractivité!$AR$7:$AR$11,"2-Favorable sous réserve",Attractivité!$X$7:$X$11)</f>
        <v>0</v>
      </c>
      <c r="M36" s="3">
        <f>SUMIF(Attractivité!$AP$7:$AP$11,"1-Favorable",Attractivité!$X$7:$X$11)</f>
        <v>0</v>
      </c>
      <c r="R36" s="3">
        <f>SUMIF(Attractivité!$AP$7:$AP$11,"2-Favorable sous réserve",Attractivité!$X$7:$X$11)</f>
        <v>0</v>
      </c>
    </row>
    <row r="37" spans="4:18" hidden="1" x14ac:dyDescent="0.25">
      <c r="D37" t="s">
        <v>28</v>
      </c>
      <c r="E37" s="3">
        <f t="shared" si="0"/>
        <v>0</v>
      </c>
      <c r="F37" s="3">
        <f t="shared" si="1"/>
        <v>0</v>
      </c>
      <c r="H37" s="3">
        <f>SUMIF(Attractivité!$AR$7:$AR$11,"1-Favorable",Attractivité!$Y$7:$Y$11)</f>
        <v>0</v>
      </c>
      <c r="I37" s="3">
        <f>SUMIF(Attractivité!$AR$7:$AR$11,"2-Favorable sous réserve",Attractivité!$Y$7:$Y$11)</f>
        <v>0</v>
      </c>
      <c r="M37" s="3">
        <f>SUMIF(Attractivité!$AP$7:$AP$11,"1-Favorable",Attractivité!$Y$7:$Y$11)</f>
        <v>0</v>
      </c>
      <c r="R37" s="3">
        <f>SUMIF(Attractivité!$AP$7:$AP$11,"2-Favorable sous réserve",Attractivité!$Y$7:$Y$11)</f>
        <v>0</v>
      </c>
    </row>
    <row r="38" spans="4:18" hidden="1" x14ac:dyDescent="0.25">
      <c r="D38" t="s">
        <v>29</v>
      </c>
      <c r="E38" s="3">
        <f t="shared" si="0"/>
        <v>6878</v>
      </c>
      <c r="F38" s="3">
        <f t="shared" si="1"/>
        <v>6878</v>
      </c>
      <c r="H38" s="3">
        <f>SUMIF(Attractivité!$AR$7:$AR$11,"1-Favorable",Attractivité!$Z$7:$Z$11)</f>
        <v>6878</v>
      </c>
      <c r="I38" s="3">
        <f>SUMIF(Attractivité!$AR$7:$AR$11,"2-Favorable sous réserve",Attractivité!$Z$7:$Z$11)</f>
        <v>0</v>
      </c>
      <c r="M38" s="3">
        <f>SUMIF(Attractivité!$AP$7:$AP$11,"1-Favorable",Attractivité!$Z$7:$Z$11)</f>
        <v>0</v>
      </c>
      <c r="R38" s="3">
        <f>SUMIF(Attractivité!$AP$7:$AP$11,"2-Favorable sous réserve",Attractivité!$Z$7:$Z$11)</f>
        <v>6878</v>
      </c>
    </row>
    <row r="39" spans="4:18" hidden="1" x14ac:dyDescent="0.25">
      <c r="D39" t="s">
        <v>30</v>
      </c>
      <c r="E39" s="3">
        <f t="shared" si="0"/>
        <v>0</v>
      </c>
      <c r="F39" s="3">
        <f t="shared" si="1"/>
        <v>0</v>
      </c>
      <c r="H39" s="3">
        <f>SUMIF(Attractivité!$AR$7:$AR$11,"1-Favorable",Attractivité!$AA$7:$AA$11)</f>
        <v>0</v>
      </c>
      <c r="I39" s="3">
        <f>SUMIF(Attractivité!$AR$7:$AR$11,"2-Favorable sous réserve",Attractivité!$AA$7:$AA$11)</f>
        <v>0</v>
      </c>
      <c r="M39" s="3">
        <f>SUMIF(Attractivité!$AP$7:$AP$11,"1-Favorable",Attractivité!$AA$7:$AA$11)</f>
        <v>0</v>
      </c>
      <c r="R39" s="3">
        <f>SUMIF(Attractivité!$AP$7:$AP$11,"2-Favorable sous réserve",Attractivité!$AA$7:$AA$11)</f>
        <v>0</v>
      </c>
    </row>
    <row r="40" spans="4:18" hidden="1" x14ac:dyDescent="0.25">
      <c r="D40" t="s">
        <v>31</v>
      </c>
      <c r="E40" s="3">
        <f t="shared" si="0"/>
        <v>0</v>
      </c>
      <c r="F40" s="3">
        <f t="shared" si="1"/>
        <v>0</v>
      </c>
      <c r="H40" s="3">
        <f>SUMIF(Attractivité!$AR$7:$AR$11,"1-Favorable",Attractivité!$AB$7:$AB$11)</f>
        <v>0</v>
      </c>
      <c r="I40" s="3">
        <f>SUMIF(Attractivité!$AR$7:$AR$11,"2-Favorable sous réserve",Attractivité!$AB$7:$AB$11)</f>
        <v>0</v>
      </c>
      <c r="M40" s="3">
        <f>SUMIF(Attractivité!$AP$7:$AP$11,"1-Favorable",Attractivité!$AB$7:$AB$11)</f>
        <v>0</v>
      </c>
      <c r="R40" s="3">
        <f>SUMIF(Attractivité!$AP$7:$AP$11,"2-Favorable sous réserve",Attractivité!$AB$7:$AB$11)</f>
        <v>0</v>
      </c>
    </row>
    <row r="41" spans="4:18" hidden="1" x14ac:dyDescent="0.25">
      <c r="D41" t="s">
        <v>32</v>
      </c>
      <c r="E41" s="3">
        <f t="shared" si="0"/>
        <v>0</v>
      </c>
      <c r="F41" s="3">
        <f t="shared" si="1"/>
        <v>0</v>
      </c>
      <c r="H41" s="3">
        <f>SUMIF(Attractivité!$AR$7:$AR$11,"1-Favorable",Attractivité!$AC$7:$AC$11)</f>
        <v>0</v>
      </c>
      <c r="I41" s="3">
        <f>SUMIF(Attractivité!$AR$7:$AR$11,"2-Favorable sous réserve",Attractivité!$AC$7:$AC$11)</f>
        <v>0</v>
      </c>
      <c r="M41" s="3">
        <f>SUMIF(Attractivité!$AP$7:$AP$11,"1-Favorable",Attractivité!$AC$7:$AC$11)</f>
        <v>0</v>
      </c>
      <c r="R41" s="3">
        <f>SUMIF(Attractivité!$AP$7:$AP$11,"2-Favorable sous réserve",Attractivité!$AC$7:$AC$11)</f>
        <v>0</v>
      </c>
    </row>
    <row r="42" spans="4:18" hidden="1" x14ac:dyDescent="0.25">
      <c r="D42" t="s">
        <v>33</v>
      </c>
      <c r="E42" s="3">
        <f t="shared" si="0"/>
        <v>0</v>
      </c>
      <c r="F42" s="3">
        <f t="shared" si="1"/>
        <v>0</v>
      </c>
      <c r="H42" s="3">
        <f>SUMIF(Attractivité!$AR$7:$AR$11,"1-Favorable",Attractivité!$AD$7:$AD$11)</f>
        <v>0</v>
      </c>
      <c r="I42" s="3">
        <f>SUMIF(Attractivité!$AR$7:$AR$11,"2-Favorable sous réserve",Attractivité!$AD$7:$AD$11)</f>
        <v>0</v>
      </c>
      <c r="M42" s="3">
        <f>SUMIF(Attractivité!$AP$7:$AP$11,"1-Favorable",Attractivité!$AD$7:$AD$11)</f>
        <v>0</v>
      </c>
      <c r="R42" s="3">
        <f>SUMIF(Attractivité!$AP$7:$AP$11,"2-Favorable sous réserve",Attractivité!$AD$7:$AD$11)</f>
        <v>0</v>
      </c>
    </row>
    <row r="43" spans="4:18" hidden="1" x14ac:dyDescent="0.25">
      <c r="D43" t="s">
        <v>34</v>
      </c>
      <c r="E43" s="3">
        <f t="shared" si="0"/>
        <v>0</v>
      </c>
      <c r="F43" s="3">
        <f t="shared" si="1"/>
        <v>0</v>
      </c>
      <c r="H43" s="3">
        <f>SUMIF(Attractivité!$AR$7:$AR$11,"1-Favorable",Attractivité!$AE$7:$AE$11)</f>
        <v>0</v>
      </c>
      <c r="I43" s="3">
        <f>SUMIF(Attractivité!$AR$7:$AR$11,"2-Favorable sous réserve",Attractivité!$AE$7:$AE$11)</f>
        <v>0</v>
      </c>
      <c r="M43" s="3">
        <f>SUMIF(Attractivité!$AP$7:$AP$11,"1-Favorable",Attractivité!$AE$7:$AE$11)</f>
        <v>0</v>
      </c>
      <c r="R43" s="3">
        <f>SUMIF(Attractivité!$AP$7:$AP$11,"2-Favorable sous réserve",Attractivité!$AE$7:$AE$11)</f>
        <v>0</v>
      </c>
    </row>
    <row r="44" spans="4:18" hidden="1" x14ac:dyDescent="0.25">
      <c r="D44" t="s">
        <v>35</v>
      </c>
      <c r="E44" s="3">
        <f t="shared" si="0"/>
        <v>0</v>
      </c>
      <c r="F44" s="3">
        <f t="shared" si="1"/>
        <v>0</v>
      </c>
      <c r="H44" s="3">
        <f>SUMIF(Attractivité!$AR$7:$AR$11,"1-Favorable",Attractivité!$AF$7:$AF$11)</f>
        <v>0</v>
      </c>
      <c r="I44" s="3">
        <f>SUMIF(Attractivité!$AR$7:$AR$11,"2-Favorable sous réserve",Attractivité!$AF$7:$AF$11)</f>
        <v>0</v>
      </c>
      <c r="M44" s="3">
        <f>SUMIF(Attractivité!$AP$7:$AP$11,"1-Favorable",Attractivité!$AF$7:$AF$11)</f>
        <v>0</v>
      </c>
      <c r="R44" s="3">
        <f>SUMIF(Attractivité!$AP$7:$AP$11,"2-Favorable sous réserve",Attractivité!$AF$7:$AF$11)</f>
        <v>0</v>
      </c>
    </row>
    <row r="45" spans="4:18" hidden="1" x14ac:dyDescent="0.25">
      <c r="D45" t="s">
        <v>36</v>
      </c>
      <c r="E45" s="3">
        <f t="shared" si="0"/>
        <v>2190</v>
      </c>
      <c r="F45" s="3">
        <f t="shared" si="1"/>
        <v>2190</v>
      </c>
      <c r="H45" s="3">
        <f>SUMIF(Attractivité!$AR$7:$AR$11,"1-Favorable",Attractivité!$AG$7:$AG$11)</f>
        <v>2190</v>
      </c>
      <c r="I45" s="3">
        <f>SUMIF(Attractivité!$AR$7:$AR$11,"2-Favorable sous réserve",Attractivité!$AG$7:$AG$11)</f>
        <v>0</v>
      </c>
      <c r="M45" s="3">
        <f>SUMIF(Attractivité!$AP$7:$AP$11,"1-Favorable",Attractivité!$AG$7:$AG$11)</f>
        <v>0</v>
      </c>
      <c r="R45" s="3">
        <f>SUMIF(Attractivité!$AP$7:$AP$11,"2-Favorable sous réserve",Attractivité!$AG$7:$AG$11)</f>
        <v>2190</v>
      </c>
    </row>
    <row r="46" spans="4:18" hidden="1" x14ac:dyDescent="0.25">
      <c r="D46" t="s">
        <v>37</v>
      </c>
      <c r="E46" s="3">
        <f t="shared" si="0"/>
        <v>0</v>
      </c>
      <c r="F46" s="3">
        <f t="shared" si="1"/>
        <v>0</v>
      </c>
      <c r="H46" s="3">
        <f>SUMIF(Attractivité!$AR$7:$AR$11,"1-Favorable",Attractivité!$AH$7:$AH$11)</f>
        <v>0</v>
      </c>
      <c r="I46" s="3">
        <f>SUMIF(Attractivité!$AR$7:$AR$11,"2-Favorable sous réserve",Attractivité!$AH$7:$AH$11)</f>
        <v>0</v>
      </c>
      <c r="M46" s="3">
        <f>SUMIF(Attractivité!$AP$7:$AP$11,"1-Favorable",Attractivité!$AH$7:$AH$11)</f>
        <v>0</v>
      </c>
      <c r="R46" s="3">
        <f>SUMIF(Attractivité!$AP$7:$AP$11,"2-Favorable sous réserve",Attractivité!$AH$7:$AH$11)</f>
        <v>0</v>
      </c>
    </row>
    <row r="47" spans="4:18" hidden="1" x14ac:dyDescent="0.25">
      <c r="D47" t="s">
        <v>38</v>
      </c>
      <c r="E47" s="3">
        <f t="shared" si="0"/>
        <v>0</v>
      </c>
      <c r="F47" s="3">
        <f t="shared" si="1"/>
        <v>0</v>
      </c>
      <c r="H47" s="3">
        <f>SUMIF(Attractivité!$AR$7:$AR$11,"1-Favorable",Attractivité!$AI$7:$AI$11)</f>
        <v>0</v>
      </c>
      <c r="I47" s="3">
        <f>SUMIF(Attractivité!$AR$7:$AR$11,"2-Favorable sous réserve",Attractivité!$AI$7:$AI$11)</f>
        <v>0</v>
      </c>
      <c r="M47" s="3">
        <f>SUMIF(Attractivité!$AP$7:$AP$11,"1-Favorable",Attractivité!$AI$7:$AI$11)</f>
        <v>0</v>
      </c>
      <c r="R47" s="3">
        <f>SUMIF(Attractivité!$AP$7:$AP$11,"2-Favorable sous réserve",Attractivité!$AI$7:$AI$11)</f>
        <v>0</v>
      </c>
    </row>
    <row r="48" spans="4:18" hidden="1" x14ac:dyDescent="0.25">
      <c r="D48" t="s">
        <v>39</v>
      </c>
      <c r="E48" s="3">
        <f t="shared" si="0"/>
        <v>0</v>
      </c>
      <c r="F48" s="3">
        <f t="shared" si="1"/>
        <v>0</v>
      </c>
      <c r="H48" s="3">
        <f>SUMIF(Attractivité!$AR$7:$AR$11,"1-Favorable",Attractivité!$AJ$7:$AJ$11)</f>
        <v>0</v>
      </c>
      <c r="I48" s="3">
        <f>SUMIF(Attractivité!$AR$7:$AR$11,"2-Favorable sous réserve",Attractivité!$AJ$7:$AJ$11)</f>
        <v>0</v>
      </c>
      <c r="M48" s="3">
        <f>SUMIF(Attractivité!$AP$7:$AP$11,"1-Favorable",Attractivité!$AJ$7:$AJ$11)</f>
        <v>0</v>
      </c>
      <c r="R48" s="3">
        <f>SUMIF(Attractivité!$AP$7:$AP$11,"2-Favorable sous réserve",Attractivité!$AJ$7:$AJ$11)</f>
        <v>0</v>
      </c>
    </row>
    <row r="49" spans="4:18" hidden="1" x14ac:dyDescent="0.25">
      <c r="D49" t="s">
        <v>40</v>
      </c>
      <c r="E49" s="3">
        <f t="shared" si="0"/>
        <v>0</v>
      </c>
      <c r="F49" s="3">
        <f t="shared" si="1"/>
        <v>0</v>
      </c>
      <c r="H49" s="3">
        <f>SUMIF(Attractivité!$AR$7:$AR$11,"1-Favorable",Attractivité!$AK$7:$AK$11)</f>
        <v>0</v>
      </c>
      <c r="I49" s="3">
        <f>SUMIF(Attractivité!$AR$7:$AR$11,"2-Favorable sous réserve",Attractivité!$AK$7:$AK$11)</f>
        <v>0</v>
      </c>
      <c r="M49" s="3">
        <f>SUMIF(Attractivité!$AP$7:$AP$11,"1-Favorable",Attractivité!$AK$7:$AK$11)</f>
        <v>0</v>
      </c>
      <c r="R49" s="3">
        <f>SUMIF(Attractivité!$AP$7:$AP$11,"2-Favorable sous réserve",Attractivité!$AK$7:$AK$11)</f>
        <v>0</v>
      </c>
    </row>
    <row r="50" spans="4:18" hidden="1" x14ac:dyDescent="0.25">
      <c r="D50" t="s">
        <v>41</v>
      </c>
      <c r="E50" s="3">
        <f t="shared" si="0"/>
        <v>0</v>
      </c>
      <c r="F50" s="3">
        <f t="shared" si="1"/>
        <v>0</v>
      </c>
      <c r="H50" s="3">
        <f>SUMIF(Attractivité!$AR$7:$AR$11,"1-Favorable",Attractivité!$AL$7:$AL$11)</f>
        <v>0</v>
      </c>
      <c r="I50" s="3">
        <f>SUMIF(Attractivité!$AR$7:$AR$11,"2-Favorable sous réserve",Attractivité!$AL$7:$AL$11)</f>
        <v>0</v>
      </c>
      <c r="M50" s="3">
        <f>SUMIF(Attractivité!$AP$7:$AP$11,"1-Favorable",Attractivité!$AL$7:$AL$11)</f>
        <v>0</v>
      </c>
      <c r="R50" s="3">
        <f>SUMIF(Attractivité!$AP$7:$AP$11,"2-Favorable sous réserve",Attractivité!$AL$7:$AL$11)</f>
        <v>0</v>
      </c>
    </row>
    <row r="51" spans="4:18" hidden="1" x14ac:dyDescent="0.25">
      <c r="D51" t="s">
        <v>42</v>
      </c>
      <c r="E51" s="3">
        <f t="shared" si="0"/>
        <v>0</v>
      </c>
      <c r="F51" s="3">
        <f t="shared" si="1"/>
        <v>0</v>
      </c>
      <c r="H51" s="3">
        <f>SUMIF(Attractivité!$AR$7:$AR$11,"1-Favorable",Attractivité!$AM$7:$AM$11)</f>
        <v>0</v>
      </c>
      <c r="I51" s="3">
        <f>SUMIF(Attractivité!$AR$7:$AR$11,"2-Favorable sous réserve",Attractivité!$AM$7:$AM$11)</f>
        <v>0</v>
      </c>
      <c r="M51" s="3">
        <f>SUMIF(Attractivité!$AP$7:$AP$11,"1-Favorable",Attractivité!$AM$7:$AM$11)</f>
        <v>0</v>
      </c>
      <c r="R51" s="3">
        <f>SUMIF(Attractivité!$AP$7:$AP$11,"2-Favorable sous réserve",Attractivité!$AM$7:$AM$11)</f>
        <v>0</v>
      </c>
    </row>
    <row r="52" spans="4:18" hidden="1" x14ac:dyDescent="0.25">
      <c r="D52" t="s">
        <v>43</v>
      </c>
      <c r="E52" s="3">
        <f>H52+I52</f>
        <v>0</v>
      </c>
      <c r="F52" s="3">
        <f t="shared" si="1"/>
        <v>0</v>
      </c>
      <c r="H52" s="3">
        <f>SUMIF(Attractivité!$AR$7:$AR$11,"1-Favorable",Attractivité!$AN$7:$AN$11)</f>
        <v>0</v>
      </c>
      <c r="I52" s="3">
        <f>SUMIF(Attractivité!$AR$7:$AR$11,"2-Favorable sous réserve",Attractivité!$AN$7:$AN$11)</f>
        <v>0</v>
      </c>
      <c r="M52" s="3">
        <f>SUMIF(Attractivité!$AP$7:$AP$11,"1-Favorable",Attractivité!$AN$7:$AN$11)</f>
        <v>0</v>
      </c>
      <c r="R52" s="3">
        <f>SUMIF(Attractivité!$AP$7:$AP$11,"2-Favorable sous réserve",Attractivité!$AN$7:$AN$11)</f>
        <v>0</v>
      </c>
    </row>
    <row r="53" spans="4:18" hidden="1" x14ac:dyDescent="0.25"/>
    <row r="54" spans="4:18" hidden="1" x14ac:dyDescent="0.25"/>
    <row r="55" spans="4:18" hidden="1" x14ac:dyDescent="0.25"/>
    <row r="56" spans="4:18" hidden="1" x14ac:dyDescent="0.25"/>
    <row r="57" spans="4:18" hidden="1" x14ac:dyDescent="0.25"/>
    <row r="58" spans="4:18" hidden="1" x14ac:dyDescent="0.25"/>
    <row r="59" spans="4:18" hidden="1" x14ac:dyDescent="0.25"/>
    <row r="60" spans="4:18" hidden="1" x14ac:dyDescent="0.25"/>
    <row r="61" spans="4:18" hidden="1" x14ac:dyDescent="0.25"/>
    <row r="62" spans="4:18" hidden="1" x14ac:dyDescent="0.25"/>
    <row r="63" spans="4:18" hidden="1" x14ac:dyDescent="0.25"/>
  </sheetData>
  <conditionalFormatting sqref="AP6:AP8 AR7:AR8 AR10:AR11 AP10:AP12">
    <cfRule type="cellIs" dxfId="486" priority="11" operator="equal">
      <formula>"6-Retiré/Abandon"</formula>
    </cfRule>
    <cfRule type="cellIs" dxfId="485" priority="12" operator="equal">
      <formula>"5-Défavorable"</formula>
    </cfRule>
    <cfRule type="cellIs" dxfId="484" priority="13" operator="equal">
      <formula>"4-Ajournement"</formula>
    </cfRule>
    <cfRule type="cellIs" dxfId="483" priority="14" operator="equal">
      <formula>"1-Favorable"</formula>
    </cfRule>
  </conditionalFormatting>
  <conditionalFormatting sqref="AP7:AP8 AR7:AR8 AR10:AR11 AP10:AP11">
    <cfRule type="cellIs" dxfId="482" priority="10" operator="equal">
      <formula>"2-Favorable sous réserve"</formula>
    </cfRule>
  </conditionalFormatting>
  <conditionalFormatting sqref="AT7:AT8 AT10:AT11">
    <cfRule type="cellIs" dxfId="481" priority="5" operator="equal">
      <formula>"2-Favorable sous réserve"</formula>
    </cfRule>
  </conditionalFormatting>
  <conditionalFormatting sqref="AT7:AT8 AT10:AT11">
    <cfRule type="cellIs" dxfId="480" priority="6" operator="equal">
      <formula>"6-Retiré/Abandon"</formula>
    </cfRule>
    <cfRule type="cellIs" dxfId="479" priority="7" operator="equal">
      <formula>"5-Défavorable"</formula>
    </cfRule>
    <cfRule type="cellIs" dxfId="478" priority="8" operator="equal">
      <formula>"4-Ajournement"</formula>
    </cfRule>
    <cfRule type="cellIs" dxfId="477" priority="9" operator="equal">
      <formula>"1-Favorable"</formula>
    </cfRule>
  </conditionalFormatting>
  <conditionalFormatting sqref="AP9">
    <cfRule type="cellIs" dxfId="476" priority="1" operator="equal">
      <formula>"6-Retiré/Abandon"</formula>
    </cfRule>
    <cfRule type="cellIs" dxfId="475" priority="2" operator="equal">
      <formula>"5-Défavorable"</formula>
    </cfRule>
    <cfRule type="cellIs" dxfId="474" priority="3" operator="equal">
      <formula>"4-Ajournement"</formula>
    </cfRule>
    <cfRule type="cellIs" dxfId="473" priority="4" operator="equal">
      <formula>"1-Favorable"</formula>
    </cfRule>
  </conditionalFormatting>
  <dataValidations count="1">
    <dataValidation type="list" allowBlank="1" showInputMessage="1" showErrorMessage="1" sqref="AR7:AR8 AR10:AR11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5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76"/>
  <sheetViews>
    <sheetView zoomScale="60" zoomScaleNormal="60" zoomScaleSheetLayoutView="70" workbookViewId="0">
      <selection activeCell="D78" sqref="D78"/>
    </sheetView>
  </sheetViews>
  <sheetFormatPr baseColWidth="10" defaultRowHeight="15" outlineLevelCol="1" x14ac:dyDescent="0.25"/>
  <cols>
    <col min="1" max="1" width="17" style="68" customWidth="1"/>
    <col min="2" max="2" width="15.85546875" style="70" customWidth="1"/>
    <col min="3" max="3" width="37.140625" style="73" customWidth="1"/>
    <col min="4" max="4" width="54.42578125" style="68" customWidth="1"/>
    <col min="5" max="5" width="19.85546875" style="68" customWidth="1"/>
    <col min="6" max="6" width="19.7109375" style="69" bestFit="1" customWidth="1"/>
    <col min="7" max="7" width="13.5703125" style="68" customWidth="1"/>
    <col min="8" max="8" width="18.42578125" style="69" customWidth="1"/>
    <col min="9" max="9" width="14.5703125" style="68" customWidth="1"/>
    <col min="10" max="10" width="15" style="68" bestFit="1" customWidth="1"/>
    <col min="11" max="11" width="21.85546875" style="68" bestFit="1" customWidth="1"/>
    <col min="12" max="12" width="16.5703125" style="68" hidden="1" customWidth="1" outlineLevel="1"/>
    <col min="13" max="13" width="13.7109375" style="68" hidden="1" customWidth="1" outlineLevel="1"/>
    <col min="14" max="14" width="19.42578125" style="68" bestFit="1" customWidth="1" collapsed="1"/>
    <col min="15" max="15" width="18.28515625" style="68" hidden="1" customWidth="1" outlineLevel="1"/>
    <col min="16" max="16" width="18.42578125" style="68" hidden="1" customWidth="1" outlineLevel="1"/>
    <col min="17" max="17" width="11.7109375" style="68" hidden="1" customWidth="1" outlineLevel="1"/>
    <col min="18" max="18" width="16.140625" style="68" hidden="1" customWidth="1" outlineLevel="1"/>
    <col min="19" max="19" width="16.140625" style="68" bestFit="1" customWidth="1" collapsed="1"/>
    <col min="20" max="40" width="8.7109375" style="68" hidden="1" customWidth="1" outlineLevel="1"/>
    <col min="41" max="41" width="14.7109375" style="68" hidden="1" customWidth="1" outlineLevel="1"/>
    <col min="42" max="42" width="15.85546875" style="68" customWidth="1" collapsed="1"/>
    <col min="43" max="44" width="16.42578125" style="68" customWidth="1"/>
    <col min="45" max="45" width="11.5703125" style="68" customWidth="1"/>
    <col min="46" max="46" width="4.7109375" style="68" hidden="1" customWidth="1"/>
    <col min="47" max="47" width="70.42578125" style="70" customWidth="1"/>
    <col min="48" max="48" width="15.42578125" style="68" bestFit="1" customWidth="1"/>
    <col min="49" max="49" width="17.28515625" style="68" bestFit="1" customWidth="1"/>
    <col min="50" max="50" width="9.42578125" style="68" customWidth="1"/>
    <col min="51" max="65" width="9.7109375" style="68" customWidth="1"/>
    <col min="66" max="66" width="15.140625" style="68" customWidth="1"/>
    <col min="67" max="67" width="14.5703125" style="68" customWidth="1"/>
    <col min="68" max="68" width="18.5703125" style="68" customWidth="1"/>
    <col min="69" max="69" width="12.5703125" style="68" customWidth="1"/>
    <col min="70" max="70" width="20.42578125" style="68" customWidth="1"/>
    <col min="71" max="71" width="12.7109375" style="68" customWidth="1"/>
    <col min="72" max="72" width="9.28515625" style="68" customWidth="1"/>
    <col min="73" max="73" width="14.28515625" style="68" customWidth="1"/>
    <col min="74" max="74" width="11.42578125" style="68" customWidth="1"/>
    <col min="75" max="75" width="9" style="68" customWidth="1"/>
    <col min="76" max="76" width="9.5703125" style="68" customWidth="1"/>
    <col min="77" max="77" width="11" style="68" customWidth="1"/>
    <col min="78" max="78" width="12.7109375" style="68" customWidth="1"/>
    <col min="79" max="81" width="9.7109375" style="68" customWidth="1"/>
    <col min="82" max="82" width="15.140625" style="68" customWidth="1"/>
    <col min="83" max="83" width="17.28515625" style="68" customWidth="1"/>
    <col min="84" max="84" width="49.28515625" style="70" customWidth="1"/>
    <col min="85" max="85" width="17.28515625" style="68" customWidth="1"/>
    <col min="86" max="16384" width="11.42578125" style="68"/>
  </cols>
  <sheetData>
    <row r="1" spans="1:84" ht="18.75" x14ac:dyDescent="0.3">
      <c r="A1" s="180" t="s">
        <v>75</v>
      </c>
      <c r="B1" s="180"/>
      <c r="C1" s="67">
        <f>Itinérance!C1</f>
        <v>42696</v>
      </c>
    </row>
    <row r="5" spans="1:84" x14ac:dyDescent="0.25">
      <c r="A5" s="71" t="s">
        <v>130</v>
      </c>
      <c r="B5" s="72"/>
    </row>
    <row r="6" spans="1:84" s="79" customFormat="1" ht="30" x14ac:dyDescent="0.25">
      <c r="A6" s="89" t="s">
        <v>78</v>
      </c>
      <c r="B6" s="90" t="s">
        <v>7</v>
      </c>
      <c r="C6" s="90" t="s">
        <v>1</v>
      </c>
      <c r="D6" s="90" t="s">
        <v>2</v>
      </c>
      <c r="E6" s="90" t="s">
        <v>52</v>
      </c>
      <c r="F6" s="90" t="s">
        <v>54</v>
      </c>
      <c r="G6" s="90" t="s">
        <v>53</v>
      </c>
      <c r="H6" s="90" t="s">
        <v>50</v>
      </c>
      <c r="I6" s="90" t="s">
        <v>55</v>
      </c>
      <c r="J6" s="90" t="s">
        <v>44</v>
      </c>
      <c r="K6" s="90" t="s">
        <v>65</v>
      </c>
      <c r="L6" s="90" t="s">
        <v>69</v>
      </c>
      <c r="M6" s="90" t="s">
        <v>17</v>
      </c>
      <c r="N6" s="90" t="s">
        <v>66</v>
      </c>
      <c r="O6" s="90" t="s">
        <v>20</v>
      </c>
      <c r="P6" s="90" t="s">
        <v>18</v>
      </c>
      <c r="Q6" s="90" t="s">
        <v>19</v>
      </c>
      <c r="R6" s="90" t="s">
        <v>21</v>
      </c>
      <c r="S6" s="90" t="s">
        <v>67</v>
      </c>
      <c r="T6" s="90" t="s">
        <v>22</v>
      </c>
      <c r="U6" s="90" t="s">
        <v>23</v>
      </c>
      <c r="V6" s="90" t="s">
        <v>24</v>
      </c>
      <c r="W6" s="90" t="s">
        <v>25</v>
      </c>
      <c r="X6" s="90" t="s">
        <v>26</v>
      </c>
      <c r="Y6" s="90" t="s">
        <v>27</v>
      </c>
      <c r="Z6" s="90" t="s">
        <v>28</v>
      </c>
      <c r="AA6" s="90" t="s">
        <v>29</v>
      </c>
      <c r="AB6" s="90" t="s">
        <v>30</v>
      </c>
      <c r="AC6" s="90" t="s">
        <v>31</v>
      </c>
      <c r="AD6" s="90" t="s">
        <v>32</v>
      </c>
      <c r="AE6" s="90" t="s">
        <v>33</v>
      </c>
      <c r="AF6" s="90" t="s">
        <v>34</v>
      </c>
      <c r="AG6" s="90" t="s">
        <v>35</v>
      </c>
      <c r="AH6" s="90" t="s">
        <v>36</v>
      </c>
      <c r="AI6" s="90" t="s">
        <v>37</v>
      </c>
      <c r="AJ6" s="90" t="s">
        <v>38</v>
      </c>
      <c r="AK6" s="90" t="s">
        <v>39</v>
      </c>
      <c r="AL6" s="90" t="s">
        <v>40</v>
      </c>
      <c r="AM6" s="90" t="s">
        <v>41</v>
      </c>
      <c r="AN6" s="90" t="s">
        <v>42</v>
      </c>
      <c r="AO6" s="90" t="s">
        <v>43</v>
      </c>
      <c r="AP6" s="90" t="s">
        <v>45</v>
      </c>
      <c r="AQ6" s="90" t="s">
        <v>49</v>
      </c>
      <c r="AR6" s="90" t="s">
        <v>131</v>
      </c>
      <c r="AS6" s="91" t="s">
        <v>56</v>
      </c>
      <c r="AU6" s="55" t="s">
        <v>64</v>
      </c>
    </row>
    <row r="7" spans="1:84" s="75" customFormat="1" ht="30.75" thickBot="1" x14ac:dyDescent="0.3">
      <c r="A7" s="118" t="s">
        <v>183</v>
      </c>
      <c r="B7" s="119" t="s">
        <v>162</v>
      </c>
      <c r="C7" s="120" t="s">
        <v>89</v>
      </c>
      <c r="D7" s="120" t="s">
        <v>90</v>
      </c>
      <c r="E7" s="121">
        <v>143042.89000000001</v>
      </c>
      <c r="F7" s="121">
        <f>Biodiversité!$H7+Biodiversité!$AP7</f>
        <v>128638.64</v>
      </c>
      <c r="G7" s="122">
        <f>Biodiversité!$F7/Biodiversité!$E7</f>
        <v>0.89930118162461614</v>
      </c>
      <c r="H7" s="121">
        <f>Biodiversité!$J7+Biodiversité!$K7+Biodiversité!$N7+Biodiversité!$S7</f>
        <v>63050.2</v>
      </c>
      <c r="I7" s="122">
        <f>Biodiversité!$H7/Biodiversité!$E7</f>
        <v>0.44077828684809145</v>
      </c>
      <c r="J7" s="121">
        <v>63050.2</v>
      </c>
      <c r="K7" s="121">
        <f>Biodiversité!$L7+Biodiversité!$M7</f>
        <v>0</v>
      </c>
      <c r="L7" s="121"/>
      <c r="M7" s="121"/>
      <c r="N7" s="121">
        <f>Biodiversité!$O7+Biodiversité!$P7+Biodiversité!$Q7+Biodiversité!$R7</f>
        <v>0</v>
      </c>
      <c r="O7" s="121"/>
      <c r="P7" s="121"/>
      <c r="Q7" s="121"/>
      <c r="R7" s="121"/>
      <c r="S7" s="121">
        <f>Biodiversité!$T7+Biodiversité!$U7+Biodiversité!$V7+Biodiversité!$W7+Biodiversité!$X7+Biodiversité!$Y7+Biodiversité!$Z7+Biodiversité!$AA7+Biodiversité!$AB7+Biodiversité!$AC7+Biodiversité!$AD7+Biodiversité!$AE7+Biodiversité!$AF7+Biodiversité!$AG7+Biodiversité!$AH7+Biodiversité!$AI7+Biodiversité!$AJ7+Biodiversité!$AK7+Biodiversité!$AL7+Biodiversité!$AM7+Biodiversité!$AN7+Biodiversité!$AO7</f>
        <v>0</v>
      </c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>
        <v>65588.44</v>
      </c>
      <c r="AQ7" s="123" t="s">
        <v>150</v>
      </c>
      <c r="AR7" s="124">
        <v>42644</v>
      </c>
      <c r="AS7" s="125" t="s">
        <v>149</v>
      </c>
      <c r="AU7" s="76" t="s">
        <v>230</v>
      </c>
    </row>
    <row r="8" spans="1:84" ht="15.75" thickTop="1" x14ac:dyDescent="0.25">
      <c r="A8" s="114"/>
      <c r="B8" s="115" t="s">
        <v>8</v>
      </c>
      <c r="C8" s="116">
        <f>SUBTOTAL(103,C7)</f>
        <v>1</v>
      </c>
      <c r="D8" s="116"/>
      <c r="E8" s="117">
        <f>SUBTOTAL(109,E7)</f>
        <v>143042.89000000001</v>
      </c>
      <c r="F8" s="117">
        <f t="shared" ref="F8:AP8" si="0">SUBTOTAL(109,F7)</f>
        <v>128638.64</v>
      </c>
      <c r="G8" s="117"/>
      <c r="H8" s="117">
        <f t="shared" si="0"/>
        <v>63050.2</v>
      </c>
      <c r="I8" s="117"/>
      <c r="J8" s="117">
        <f t="shared" si="0"/>
        <v>63050.2</v>
      </c>
      <c r="K8" s="117">
        <f t="shared" si="0"/>
        <v>0</v>
      </c>
      <c r="L8" s="117">
        <f t="shared" si="0"/>
        <v>0</v>
      </c>
      <c r="M8" s="117">
        <f t="shared" si="0"/>
        <v>0</v>
      </c>
      <c r="N8" s="117">
        <f t="shared" si="0"/>
        <v>0</v>
      </c>
      <c r="O8" s="117">
        <f t="shared" si="0"/>
        <v>0</v>
      </c>
      <c r="P8" s="117">
        <f t="shared" si="0"/>
        <v>0</v>
      </c>
      <c r="Q8" s="117">
        <f t="shared" si="0"/>
        <v>0</v>
      </c>
      <c r="R8" s="117">
        <f t="shared" si="0"/>
        <v>0</v>
      </c>
      <c r="S8" s="117">
        <f t="shared" si="0"/>
        <v>0</v>
      </c>
      <c r="T8" s="117">
        <f t="shared" si="0"/>
        <v>0</v>
      </c>
      <c r="U8" s="117">
        <f t="shared" si="0"/>
        <v>0</v>
      </c>
      <c r="V8" s="117">
        <f t="shared" si="0"/>
        <v>0</v>
      </c>
      <c r="W8" s="117">
        <f t="shared" si="0"/>
        <v>0</v>
      </c>
      <c r="X8" s="117">
        <f t="shared" si="0"/>
        <v>0</v>
      </c>
      <c r="Y8" s="117">
        <f t="shared" si="0"/>
        <v>0</v>
      </c>
      <c r="Z8" s="117">
        <f t="shared" si="0"/>
        <v>0</v>
      </c>
      <c r="AA8" s="117">
        <f t="shared" si="0"/>
        <v>0</v>
      </c>
      <c r="AB8" s="117">
        <f t="shared" si="0"/>
        <v>0</v>
      </c>
      <c r="AC8" s="117">
        <f t="shared" si="0"/>
        <v>0</v>
      </c>
      <c r="AD8" s="117">
        <f t="shared" si="0"/>
        <v>0</v>
      </c>
      <c r="AE8" s="117">
        <f t="shared" si="0"/>
        <v>0</v>
      </c>
      <c r="AF8" s="117">
        <f t="shared" si="0"/>
        <v>0</v>
      </c>
      <c r="AG8" s="117">
        <f t="shared" si="0"/>
        <v>0</v>
      </c>
      <c r="AH8" s="117">
        <f t="shared" si="0"/>
        <v>0</v>
      </c>
      <c r="AI8" s="117">
        <f t="shared" si="0"/>
        <v>0</v>
      </c>
      <c r="AJ8" s="117">
        <f t="shared" si="0"/>
        <v>0</v>
      </c>
      <c r="AK8" s="117">
        <f t="shared" si="0"/>
        <v>0</v>
      </c>
      <c r="AL8" s="117">
        <f t="shared" si="0"/>
        <v>0</v>
      </c>
      <c r="AM8" s="117">
        <f t="shared" si="0"/>
        <v>0</v>
      </c>
      <c r="AN8" s="117">
        <f t="shared" si="0"/>
        <v>0</v>
      </c>
      <c r="AO8" s="117">
        <f t="shared" si="0"/>
        <v>0</v>
      </c>
      <c r="AP8" s="117">
        <f t="shared" si="0"/>
        <v>65588.44</v>
      </c>
      <c r="AQ8" s="115"/>
      <c r="AR8" s="115"/>
      <c r="AS8" s="78"/>
      <c r="AU8" s="78"/>
      <c r="CA8" s="70"/>
      <c r="CF8" s="68"/>
    </row>
    <row r="9" spans="1:84" s="149" customFormat="1" ht="15.75" thickBot="1" x14ac:dyDescent="0.3">
      <c r="A9" s="141"/>
      <c r="B9" s="142"/>
      <c r="C9" s="143"/>
      <c r="D9" s="143"/>
      <c r="E9" s="144"/>
      <c r="F9" s="144"/>
      <c r="G9" s="145"/>
      <c r="H9" s="144"/>
      <c r="I9" s="145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6"/>
      <c r="AR9" s="147"/>
      <c r="AS9" s="148"/>
      <c r="AU9" s="148"/>
    </row>
    <row r="10" spans="1:84" s="75" customFormat="1" ht="31.5" thickTop="1" thickBot="1" x14ac:dyDescent="0.3">
      <c r="A10" s="150" t="s">
        <v>77</v>
      </c>
      <c r="B10" s="151" t="s">
        <v>221</v>
      </c>
      <c r="C10" s="152" t="s">
        <v>9</v>
      </c>
      <c r="D10" s="152" t="s">
        <v>222</v>
      </c>
      <c r="E10" s="153">
        <v>132600.93</v>
      </c>
      <c r="F10" s="153">
        <f>Biodiversité!$H10+Biodiversité!$AP10</f>
        <v>79000</v>
      </c>
      <c r="G10" s="154">
        <f>Biodiversité!$F10/Biodiversité!$E10</f>
        <v>0.59577259375179348</v>
      </c>
      <c r="H10" s="153">
        <f>Biodiversité!$J10+Biodiversité!$K10+Biodiversité!$N10+Biodiversité!$S10</f>
        <v>79000</v>
      </c>
      <c r="I10" s="154">
        <f>Biodiversité!$H10/Biodiversité!$E10</f>
        <v>0.59577259375179348</v>
      </c>
      <c r="J10" s="153">
        <v>0</v>
      </c>
      <c r="K10" s="153">
        <f>Biodiversité!$L10+Biodiversité!$M10</f>
        <v>79000</v>
      </c>
      <c r="L10" s="153">
        <v>79000</v>
      </c>
      <c r="M10" s="153"/>
      <c r="N10" s="153">
        <f>Biodiversité!$O10+Biodiversité!$P10+Biodiversité!$Q10+Biodiversité!$R10</f>
        <v>0</v>
      </c>
      <c r="O10" s="153"/>
      <c r="P10" s="153"/>
      <c r="Q10" s="153"/>
      <c r="R10" s="153"/>
      <c r="S10" s="153">
        <f>Biodiversité!$T10+Biodiversité!$U10+Biodiversité!$V10+Biodiversité!$W10+Biodiversité!$X10+Biodiversité!$Y10+Biodiversité!$Z10+Biodiversité!$AA10+Biodiversité!$AB10+Biodiversité!$AC10+Biodiversité!$AD10+Biodiversité!$AE10+Biodiversité!$AF10+Biodiversité!$AG10+Biodiversité!$AH10+Biodiversité!$AI10+Biodiversité!$AJ10+Biodiversité!$AK10+Biodiversité!$AL10+Biodiversité!$AM10+Biodiversité!$AN10+Biodiversité!$AO10</f>
        <v>0</v>
      </c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>
        <v>0</v>
      </c>
      <c r="AQ10" s="155"/>
      <c r="AR10" s="156"/>
      <c r="AS10" s="157"/>
      <c r="AT10" s="155"/>
      <c r="AU10" s="158" t="s">
        <v>231</v>
      </c>
    </row>
    <row r="11" spans="1:84" ht="15.75" thickTop="1" x14ac:dyDescent="0.25">
      <c r="A11" s="114"/>
      <c r="B11" s="115" t="s">
        <v>8</v>
      </c>
      <c r="C11" s="116">
        <f>SUBTOTAL(103,C10)</f>
        <v>1</v>
      </c>
      <c r="D11" s="116"/>
      <c r="E11" s="117">
        <f>SUBTOTAL(109,E10)</f>
        <v>132600.93</v>
      </c>
      <c r="F11" s="117">
        <f t="shared" ref="F11:AP11" si="1">SUBTOTAL(109,F10)</f>
        <v>79000</v>
      </c>
      <c r="G11" s="117"/>
      <c r="H11" s="117">
        <f t="shared" si="1"/>
        <v>79000</v>
      </c>
      <c r="I11" s="117"/>
      <c r="J11" s="117">
        <f t="shared" si="1"/>
        <v>0</v>
      </c>
      <c r="K11" s="117">
        <f t="shared" si="1"/>
        <v>79000</v>
      </c>
      <c r="L11" s="117">
        <f t="shared" si="1"/>
        <v>79000</v>
      </c>
      <c r="M11" s="117">
        <f t="shared" si="1"/>
        <v>0</v>
      </c>
      <c r="N11" s="117">
        <f t="shared" si="1"/>
        <v>0</v>
      </c>
      <c r="O11" s="117">
        <f t="shared" si="1"/>
        <v>0</v>
      </c>
      <c r="P11" s="117">
        <f t="shared" si="1"/>
        <v>0</v>
      </c>
      <c r="Q11" s="117">
        <f t="shared" si="1"/>
        <v>0</v>
      </c>
      <c r="R11" s="117">
        <f t="shared" si="1"/>
        <v>0</v>
      </c>
      <c r="S11" s="117">
        <f t="shared" si="1"/>
        <v>0</v>
      </c>
      <c r="T11" s="117">
        <f t="shared" si="1"/>
        <v>0</v>
      </c>
      <c r="U11" s="117">
        <f t="shared" si="1"/>
        <v>0</v>
      </c>
      <c r="V11" s="117">
        <f t="shared" si="1"/>
        <v>0</v>
      </c>
      <c r="W11" s="117">
        <f t="shared" si="1"/>
        <v>0</v>
      </c>
      <c r="X11" s="117">
        <f t="shared" si="1"/>
        <v>0</v>
      </c>
      <c r="Y11" s="117">
        <f t="shared" si="1"/>
        <v>0</v>
      </c>
      <c r="Z11" s="117">
        <f t="shared" si="1"/>
        <v>0</v>
      </c>
      <c r="AA11" s="117">
        <f t="shared" si="1"/>
        <v>0</v>
      </c>
      <c r="AB11" s="117">
        <f t="shared" si="1"/>
        <v>0</v>
      </c>
      <c r="AC11" s="117">
        <f t="shared" si="1"/>
        <v>0</v>
      </c>
      <c r="AD11" s="117">
        <f t="shared" si="1"/>
        <v>0</v>
      </c>
      <c r="AE11" s="117">
        <f t="shared" si="1"/>
        <v>0</v>
      </c>
      <c r="AF11" s="117">
        <f t="shared" si="1"/>
        <v>0</v>
      </c>
      <c r="AG11" s="117">
        <f t="shared" si="1"/>
        <v>0</v>
      </c>
      <c r="AH11" s="117">
        <f t="shared" si="1"/>
        <v>0</v>
      </c>
      <c r="AI11" s="117">
        <f t="shared" si="1"/>
        <v>0</v>
      </c>
      <c r="AJ11" s="117">
        <f t="shared" si="1"/>
        <v>0</v>
      </c>
      <c r="AK11" s="117">
        <f t="shared" si="1"/>
        <v>0</v>
      </c>
      <c r="AL11" s="117">
        <f t="shared" si="1"/>
        <v>0</v>
      </c>
      <c r="AM11" s="117">
        <f t="shared" si="1"/>
        <v>0</v>
      </c>
      <c r="AN11" s="117">
        <f t="shared" si="1"/>
        <v>0</v>
      </c>
      <c r="AO11" s="117">
        <f t="shared" si="1"/>
        <v>0</v>
      </c>
      <c r="AP11" s="117">
        <f t="shared" si="1"/>
        <v>0</v>
      </c>
      <c r="AQ11" s="115"/>
      <c r="AR11" s="115"/>
      <c r="AS11" s="78"/>
      <c r="AU11" s="78"/>
      <c r="CA11" s="70"/>
      <c r="CF11" s="68"/>
    </row>
    <row r="12" spans="1:84" s="75" customFormat="1" x14ac:dyDescent="0.25">
      <c r="A12" s="126"/>
      <c r="B12" s="127"/>
      <c r="C12" s="128"/>
      <c r="D12" s="128"/>
      <c r="E12" s="129"/>
      <c r="F12" s="129"/>
      <c r="G12" s="130"/>
      <c r="H12" s="129"/>
      <c r="I12" s="130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31"/>
      <c r="AR12" s="132"/>
      <c r="AS12" s="133"/>
      <c r="AU12" s="82"/>
    </row>
    <row r="13" spans="1:84" s="75" customFormat="1" ht="45" x14ac:dyDescent="0.25">
      <c r="A13" s="118" t="s">
        <v>184</v>
      </c>
      <c r="B13" s="119" t="s">
        <v>205</v>
      </c>
      <c r="C13" s="120" t="s">
        <v>206</v>
      </c>
      <c r="D13" s="120" t="s">
        <v>207</v>
      </c>
      <c r="E13" s="121">
        <v>315150.93</v>
      </c>
      <c r="F13" s="121">
        <f>Biodiversité!$H13+Biodiversité!$AP13</f>
        <v>198564</v>
      </c>
      <c r="G13" s="122">
        <f>Biodiversité!$F13/Biodiversité!$E13</f>
        <v>0.6300600160056643</v>
      </c>
      <c r="H13" s="121">
        <f>Biodiversité!$J13+Biodiversité!$K13+Biodiversité!$N13+Biodiversité!$S13</f>
        <v>198564</v>
      </c>
      <c r="I13" s="122">
        <f>Biodiversité!$H13/Biodiversité!$E13</f>
        <v>0.6300600160056643</v>
      </c>
      <c r="J13" s="121">
        <v>198564</v>
      </c>
      <c r="K13" s="121">
        <f>Biodiversité!$L13+Biodiversité!$M13</f>
        <v>0</v>
      </c>
      <c r="L13" s="121"/>
      <c r="M13" s="121"/>
      <c r="N13" s="121">
        <f>Biodiversité!$O13+Biodiversité!$P13+Biodiversité!$Q13+Biodiversité!$R13</f>
        <v>0</v>
      </c>
      <c r="O13" s="121"/>
      <c r="P13" s="121"/>
      <c r="Q13" s="121"/>
      <c r="R13" s="121"/>
      <c r="S13" s="121">
        <f>Biodiversité!$T13+Biodiversité!$U13+Biodiversité!$V13+Biodiversité!$W13+Biodiversité!$X13+Biodiversité!$Y13+Biodiversité!$Z13+Biodiversité!$AA13+Biodiversité!$AB13+Biodiversité!$AC13+Biodiversité!$AD13+Biodiversité!$AE13+Biodiversité!$AF13+Biodiversité!$AG13+Biodiversité!$AH13+Biodiversité!$AI13+Biodiversité!$AJ13+Biodiversité!$AK13+Biodiversité!$AL13+Biodiversité!$AM13+Biodiversité!$AN13+Biodiversité!$AO13</f>
        <v>0</v>
      </c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>
        <v>0</v>
      </c>
      <c r="AQ13" s="123" t="s">
        <v>163</v>
      </c>
      <c r="AR13" s="124">
        <v>42614</v>
      </c>
      <c r="AS13" s="125" t="s">
        <v>163</v>
      </c>
      <c r="AU13" s="76"/>
    </row>
    <row r="14" spans="1:84" s="75" customFormat="1" ht="45.75" thickBot="1" x14ac:dyDescent="0.3">
      <c r="A14" s="126" t="s">
        <v>184</v>
      </c>
      <c r="B14" s="127" t="s">
        <v>208</v>
      </c>
      <c r="C14" s="128" t="s">
        <v>209</v>
      </c>
      <c r="D14" s="128" t="s">
        <v>207</v>
      </c>
      <c r="E14" s="129">
        <v>54195.28</v>
      </c>
      <c r="F14" s="129">
        <f>Biodiversité!$H14+Biodiversité!$AP14</f>
        <v>0</v>
      </c>
      <c r="G14" s="130">
        <f>Biodiversité!$F14/Biodiversité!$E14</f>
        <v>0</v>
      </c>
      <c r="H14" s="129">
        <f>Biodiversité!$J14+Biodiversité!$K14+Biodiversité!$N14+Biodiversité!$S14</f>
        <v>0</v>
      </c>
      <c r="I14" s="130">
        <f>Biodiversité!$H14/Biodiversité!$E14</f>
        <v>0</v>
      </c>
      <c r="J14" s="129">
        <v>0</v>
      </c>
      <c r="K14" s="129">
        <f>Biodiversité!$L14+Biodiversité!$M14</f>
        <v>0</v>
      </c>
      <c r="L14" s="129"/>
      <c r="M14" s="129"/>
      <c r="N14" s="129">
        <f>Biodiversité!$O14+Biodiversité!$P14+Biodiversité!$Q14+Biodiversité!$R14</f>
        <v>0</v>
      </c>
      <c r="O14" s="129"/>
      <c r="P14" s="129"/>
      <c r="Q14" s="129"/>
      <c r="R14" s="129"/>
      <c r="S14" s="129">
        <f>Biodiversité!$T14+Biodiversité!$U14+Biodiversité!$V14+Biodiversité!$W14+Biodiversité!$X14+Biodiversité!$Y14+Biodiversité!$Z14+Biodiversité!$AA14+Biodiversité!$AB14+Biodiversité!$AC14+Biodiversité!$AD14+Biodiversité!$AE14+Biodiversité!$AF14+Biodiversité!$AG14+Biodiversité!$AH14+Biodiversité!$AI14+Biodiversité!$AJ14+Biodiversité!$AK14+Biodiversité!$AL14+Biodiversité!$AM14+Biodiversité!$AN14+Biodiversité!$AO14</f>
        <v>0</v>
      </c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>
        <v>0</v>
      </c>
      <c r="AQ14" s="131" t="s">
        <v>163</v>
      </c>
      <c r="AR14" s="132">
        <v>42614</v>
      </c>
      <c r="AS14" s="133" t="s">
        <v>163</v>
      </c>
      <c r="AU14" s="77"/>
    </row>
    <row r="15" spans="1:84" ht="15.75" thickTop="1" x14ac:dyDescent="0.25">
      <c r="A15" s="114"/>
      <c r="B15" s="115" t="s">
        <v>8</v>
      </c>
      <c r="C15" s="116">
        <f>SUBTOTAL(103,C13:C14)</f>
        <v>2</v>
      </c>
      <c r="D15" s="116"/>
      <c r="E15" s="117">
        <f>SUBTOTAL(109,E13:E14)</f>
        <v>369346.20999999996</v>
      </c>
      <c r="F15" s="117">
        <f t="shared" ref="F15:AP15" si="2">SUBTOTAL(109,F13:F14)</f>
        <v>198564</v>
      </c>
      <c r="G15" s="117"/>
      <c r="H15" s="117">
        <f t="shared" si="2"/>
        <v>198564</v>
      </c>
      <c r="I15" s="117"/>
      <c r="J15" s="117">
        <f t="shared" si="2"/>
        <v>198564</v>
      </c>
      <c r="K15" s="117">
        <f t="shared" si="2"/>
        <v>0</v>
      </c>
      <c r="L15" s="117">
        <f t="shared" si="2"/>
        <v>0</v>
      </c>
      <c r="M15" s="117">
        <f t="shared" si="2"/>
        <v>0</v>
      </c>
      <c r="N15" s="117">
        <f t="shared" si="2"/>
        <v>0</v>
      </c>
      <c r="O15" s="117">
        <f t="shared" si="2"/>
        <v>0</v>
      </c>
      <c r="P15" s="117">
        <f t="shared" si="2"/>
        <v>0</v>
      </c>
      <c r="Q15" s="117">
        <f t="shared" si="2"/>
        <v>0</v>
      </c>
      <c r="R15" s="117">
        <f t="shared" si="2"/>
        <v>0</v>
      </c>
      <c r="S15" s="117">
        <f t="shared" si="2"/>
        <v>0</v>
      </c>
      <c r="T15" s="117">
        <f t="shared" si="2"/>
        <v>0</v>
      </c>
      <c r="U15" s="117">
        <f t="shared" si="2"/>
        <v>0</v>
      </c>
      <c r="V15" s="117">
        <f t="shared" si="2"/>
        <v>0</v>
      </c>
      <c r="W15" s="117">
        <f t="shared" si="2"/>
        <v>0</v>
      </c>
      <c r="X15" s="117">
        <f t="shared" si="2"/>
        <v>0</v>
      </c>
      <c r="Y15" s="117">
        <f t="shared" si="2"/>
        <v>0</v>
      </c>
      <c r="Z15" s="117">
        <f t="shared" si="2"/>
        <v>0</v>
      </c>
      <c r="AA15" s="117">
        <f t="shared" si="2"/>
        <v>0</v>
      </c>
      <c r="AB15" s="117">
        <f t="shared" si="2"/>
        <v>0</v>
      </c>
      <c r="AC15" s="117">
        <f t="shared" si="2"/>
        <v>0</v>
      </c>
      <c r="AD15" s="117">
        <f t="shared" si="2"/>
        <v>0</v>
      </c>
      <c r="AE15" s="117">
        <f t="shared" si="2"/>
        <v>0</v>
      </c>
      <c r="AF15" s="117">
        <f t="shared" si="2"/>
        <v>0</v>
      </c>
      <c r="AG15" s="117">
        <f t="shared" si="2"/>
        <v>0</v>
      </c>
      <c r="AH15" s="117">
        <f t="shared" si="2"/>
        <v>0</v>
      </c>
      <c r="AI15" s="117">
        <f t="shared" si="2"/>
        <v>0</v>
      </c>
      <c r="AJ15" s="117">
        <f t="shared" si="2"/>
        <v>0</v>
      </c>
      <c r="AK15" s="117">
        <f t="shared" si="2"/>
        <v>0</v>
      </c>
      <c r="AL15" s="117">
        <f t="shared" si="2"/>
        <v>0</v>
      </c>
      <c r="AM15" s="117">
        <f t="shared" si="2"/>
        <v>0</v>
      </c>
      <c r="AN15" s="117">
        <f t="shared" si="2"/>
        <v>0</v>
      </c>
      <c r="AO15" s="117">
        <f t="shared" si="2"/>
        <v>0</v>
      </c>
      <c r="AP15" s="117">
        <f t="shared" si="2"/>
        <v>0</v>
      </c>
      <c r="AQ15" s="115"/>
      <c r="AR15" s="115"/>
      <c r="AS15" s="78"/>
      <c r="AU15" s="78"/>
      <c r="CA15" s="70"/>
      <c r="CF15" s="68"/>
    </row>
    <row r="16" spans="1:84" x14ac:dyDescent="0.25">
      <c r="A16" s="134"/>
      <c r="B16" s="135"/>
      <c r="C16" s="136"/>
      <c r="D16" s="136"/>
      <c r="E16" s="137"/>
      <c r="F16" s="137"/>
      <c r="G16" s="138"/>
      <c r="H16" s="137"/>
      <c r="I16" s="138"/>
      <c r="J16" s="137"/>
      <c r="K16" s="137"/>
      <c r="L16" s="135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5"/>
      <c r="AR16" s="135"/>
      <c r="AS16" s="139"/>
      <c r="AU16" s="140"/>
      <c r="CA16" s="70"/>
      <c r="CF16" s="68"/>
    </row>
    <row r="17" spans="1:84" s="75" customFormat="1" ht="45.75" thickBot="1" x14ac:dyDescent="0.3">
      <c r="A17" s="118" t="s">
        <v>184</v>
      </c>
      <c r="B17" s="119" t="s">
        <v>181</v>
      </c>
      <c r="C17" s="120" t="s">
        <v>73</v>
      </c>
      <c r="D17" s="120" t="s">
        <v>182</v>
      </c>
      <c r="E17" s="121">
        <v>392776.01</v>
      </c>
      <c r="F17" s="121">
        <f>Biodiversité!$H17+Biodiversité!$AP17</f>
        <v>72512.490000000005</v>
      </c>
      <c r="G17" s="122">
        <f>Biodiversité!$F17/Biodiversité!$E17</f>
        <v>0.18461537403977399</v>
      </c>
      <c r="H17" s="121">
        <f>Biodiversité!$J17+Biodiversité!$K17+Biodiversité!$N17+Biodiversité!$S17</f>
        <v>72512.490000000005</v>
      </c>
      <c r="I17" s="122">
        <f>Biodiversité!$H17/Biodiversité!$E17</f>
        <v>0.18461537403977399</v>
      </c>
      <c r="J17" s="121">
        <v>0</v>
      </c>
      <c r="K17" s="121">
        <f>Biodiversité!$L17+Biodiversité!$M17</f>
        <v>72512.490000000005</v>
      </c>
      <c r="L17" s="121"/>
      <c r="M17" s="121">
        <v>72512.490000000005</v>
      </c>
      <c r="N17" s="121">
        <f>Biodiversité!$O17+Biodiversité!$P17+Biodiversité!$Q17+Biodiversité!$R17</f>
        <v>0</v>
      </c>
      <c r="O17" s="121"/>
      <c r="P17" s="121"/>
      <c r="Q17" s="121"/>
      <c r="R17" s="121"/>
      <c r="S17" s="121">
        <f>Biodiversité!$T17+Biodiversité!$U17+Biodiversité!$V17+Biodiversité!$W17+Biodiversité!$X17+Biodiversité!$Y17+Biodiversité!$Z17+Biodiversité!$AA17+Biodiversité!$AB17+Biodiversité!$AC17+Biodiversité!$AD17+Biodiversité!$AE17+Biodiversité!$AF17+Biodiversité!$AG17+Biodiversité!$AH17+Biodiversité!$AI17+Biodiversité!$AJ17+Biodiversité!$AK17+Biodiversité!$AL17+Biodiversité!$AM17+Biodiversité!$AN17+Biodiversité!$AO17</f>
        <v>0</v>
      </c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>
        <v>0</v>
      </c>
      <c r="AQ17" s="123" t="s">
        <v>150</v>
      </c>
      <c r="AR17" s="124">
        <v>42614</v>
      </c>
      <c r="AS17" s="125" t="s">
        <v>163</v>
      </c>
      <c r="AU17" s="76"/>
    </row>
    <row r="18" spans="1:84" ht="15.75" thickTop="1" x14ac:dyDescent="0.25">
      <c r="A18" s="114"/>
      <c r="B18" s="115" t="s">
        <v>8</v>
      </c>
      <c r="C18" s="116">
        <f>SUBTOTAL(103,C17)</f>
        <v>1</v>
      </c>
      <c r="D18" s="116"/>
      <c r="E18" s="117">
        <f>SUBTOTAL(109,E17)</f>
        <v>392776.01</v>
      </c>
      <c r="F18" s="117">
        <f t="shared" ref="F18:AP18" si="3">SUBTOTAL(109,F17)</f>
        <v>72512.490000000005</v>
      </c>
      <c r="G18" s="117"/>
      <c r="H18" s="117">
        <f t="shared" si="3"/>
        <v>72512.490000000005</v>
      </c>
      <c r="I18" s="117"/>
      <c r="J18" s="117">
        <f t="shared" si="3"/>
        <v>0</v>
      </c>
      <c r="K18" s="117">
        <f t="shared" si="3"/>
        <v>72512.490000000005</v>
      </c>
      <c r="L18" s="117">
        <f t="shared" si="3"/>
        <v>0</v>
      </c>
      <c r="M18" s="117">
        <f t="shared" si="3"/>
        <v>72512.490000000005</v>
      </c>
      <c r="N18" s="117">
        <f t="shared" si="3"/>
        <v>0</v>
      </c>
      <c r="O18" s="117">
        <f t="shared" si="3"/>
        <v>0</v>
      </c>
      <c r="P18" s="117">
        <f t="shared" si="3"/>
        <v>0</v>
      </c>
      <c r="Q18" s="117">
        <f t="shared" si="3"/>
        <v>0</v>
      </c>
      <c r="R18" s="117">
        <f t="shared" si="3"/>
        <v>0</v>
      </c>
      <c r="S18" s="117">
        <f t="shared" si="3"/>
        <v>0</v>
      </c>
      <c r="T18" s="117">
        <f t="shared" si="3"/>
        <v>0</v>
      </c>
      <c r="U18" s="117">
        <f t="shared" si="3"/>
        <v>0</v>
      </c>
      <c r="V18" s="117">
        <f t="shared" si="3"/>
        <v>0</v>
      </c>
      <c r="W18" s="117">
        <f t="shared" si="3"/>
        <v>0</v>
      </c>
      <c r="X18" s="117">
        <f t="shared" si="3"/>
        <v>0</v>
      </c>
      <c r="Y18" s="117">
        <f t="shared" si="3"/>
        <v>0</v>
      </c>
      <c r="Z18" s="117">
        <f t="shared" si="3"/>
        <v>0</v>
      </c>
      <c r="AA18" s="117">
        <f t="shared" si="3"/>
        <v>0</v>
      </c>
      <c r="AB18" s="117">
        <f t="shared" si="3"/>
        <v>0</v>
      </c>
      <c r="AC18" s="117">
        <f t="shared" si="3"/>
        <v>0</v>
      </c>
      <c r="AD18" s="117">
        <f t="shared" si="3"/>
        <v>0</v>
      </c>
      <c r="AE18" s="117">
        <f t="shared" si="3"/>
        <v>0</v>
      </c>
      <c r="AF18" s="117">
        <f t="shared" si="3"/>
        <v>0</v>
      </c>
      <c r="AG18" s="117">
        <f t="shared" si="3"/>
        <v>0</v>
      </c>
      <c r="AH18" s="117">
        <f t="shared" si="3"/>
        <v>0</v>
      </c>
      <c r="AI18" s="117">
        <f t="shared" si="3"/>
        <v>0</v>
      </c>
      <c r="AJ18" s="117">
        <f t="shared" si="3"/>
        <v>0</v>
      </c>
      <c r="AK18" s="117">
        <f t="shared" si="3"/>
        <v>0</v>
      </c>
      <c r="AL18" s="117">
        <f t="shared" si="3"/>
        <v>0</v>
      </c>
      <c r="AM18" s="117">
        <f t="shared" si="3"/>
        <v>0</v>
      </c>
      <c r="AN18" s="117">
        <f t="shared" si="3"/>
        <v>0</v>
      </c>
      <c r="AO18" s="117">
        <f t="shared" si="3"/>
        <v>0</v>
      </c>
      <c r="AP18" s="117">
        <f t="shared" si="3"/>
        <v>0</v>
      </c>
      <c r="AQ18" s="115"/>
      <c r="AR18" s="115"/>
      <c r="AS18" s="78"/>
      <c r="AU18" s="78"/>
      <c r="CA18" s="70"/>
      <c r="CF18" s="68"/>
    </row>
    <row r="19" spans="1:84" x14ac:dyDescent="0.25">
      <c r="CA19" s="70"/>
      <c r="CF19" s="68"/>
    </row>
    <row r="20" spans="1:84" x14ac:dyDescent="0.25">
      <c r="CA20" s="70"/>
      <c r="CF20" s="68"/>
    </row>
    <row r="21" spans="1:84" x14ac:dyDescent="0.25">
      <c r="CA21" s="70"/>
      <c r="CF21" s="68"/>
    </row>
    <row r="22" spans="1:84" x14ac:dyDescent="0.25">
      <c r="CA22" s="70"/>
      <c r="CF22" s="68"/>
    </row>
    <row r="23" spans="1:84" s="74" customFormat="1" x14ac:dyDescent="0.25">
      <c r="A23" s="68"/>
      <c r="B23" s="70"/>
      <c r="C23" s="73"/>
      <c r="D23" s="68"/>
      <c r="E23" s="68"/>
      <c r="F23" s="69"/>
      <c r="G23" s="68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U23" s="70"/>
    </row>
    <row r="24" spans="1:84" s="75" customFormat="1" x14ac:dyDescent="0.25">
      <c r="A24" s="68"/>
      <c r="B24" s="70"/>
      <c r="C24" s="73"/>
      <c r="D24" s="68"/>
      <c r="E24" s="68"/>
      <c r="F24" s="69"/>
      <c r="G24" s="68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U24" s="70"/>
    </row>
    <row r="25" spans="1:84" x14ac:dyDescent="0.25">
      <c r="CC25" s="70"/>
      <c r="CF25" s="68"/>
    </row>
    <row r="26" spans="1:84" x14ac:dyDescent="0.25">
      <c r="CD26" s="70"/>
      <c r="CF26" s="68"/>
    </row>
    <row r="27" spans="1:84" hidden="1" x14ac:dyDescent="0.25">
      <c r="CD27" s="70"/>
      <c r="CF27" s="68"/>
    </row>
    <row r="28" spans="1:84" hidden="1" x14ac:dyDescent="0.25">
      <c r="E28" s="68" t="s">
        <v>83</v>
      </c>
      <c r="F28" s="69" t="s">
        <v>84</v>
      </c>
      <c r="CD28" s="70"/>
      <c r="CF28" s="68"/>
    </row>
    <row r="29" spans="1:84" hidden="1" x14ac:dyDescent="0.25">
      <c r="D29" s="68" t="s">
        <v>57</v>
      </c>
      <c r="E29" s="68">
        <f>H29+I29</f>
        <v>63050.2</v>
      </c>
      <c r="F29" s="68">
        <f>K29+N29</f>
        <v>63050.2</v>
      </c>
      <c r="H29" s="68">
        <f>SUMIF(Biodiversité!$AS$7:$AS$17,"1-Favorable",Biodiversité!$J$7:$J$17)</f>
        <v>63050.2</v>
      </c>
      <c r="I29" s="68">
        <f>SUMIF(Biodiversité!$AS$7:$AS$17,"2-Favorable sous réserve",Biodiversité!$J$7:$J$17)</f>
        <v>0</v>
      </c>
      <c r="K29" s="68">
        <f>SUMIF(Biodiversité!$AQ$7:$AQ$17,"1-Favorable",Biodiversité!$J$7:$J$17)</f>
        <v>0</v>
      </c>
      <c r="N29" s="68">
        <f>SUMIF(Biodiversité!$AQ$7:$AQ$17,"2-Favorable sous réserve",Biodiversité!$J$7:$J$17)</f>
        <v>63050.2</v>
      </c>
    </row>
    <row r="30" spans="1:84" hidden="1" x14ac:dyDescent="0.25">
      <c r="D30" s="68" t="s">
        <v>46</v>
      </c>
      <c r="E30" s="68">
        <f t="shared" ref="E30:E58" si="4">H30+I30</f>
        <v>0</v>
      </c>
      <c r="F30" s="68">
        <f t="shared" ref="F30:F58" si="5">K30+N30</f>
        <v>72512.490000000005</v>
      </c>
      <c r="H30" s="68">
        <f>SUMIF(Biodiversité!$AS$7:$AS$17,"1-Favorable",Biodiversité!$K$7:$K$17)</f>
        <v>0</v>
      </c>
      <c r="I30" s="68">
        <f>SUMIF(Biodiversité!$AS$7:$AS$17,"2-Favorable sous réserve",Biodiversité!$K$7:$K$17)</f>
        <v>0</v>
      </c>
      <c r="K30" s="68">
        <f>SUMIF(Biodiversité!$AQ$7:$AQ$17,"1-Favorable",Biodiversité!$K$7:$K$17)</f>
        <v>0</v>
      </c>
      <c r="N30" s="68">
        <f>SUMIF(Biodiversité!$AQ$7:$AQ$17,"2-Favorable sous réserve",Biodiversité!$K$7:$K$17)</f>
        <v>72512.490000000005</v>
      </c>
    </row>
    <row r="31" spans="1:84" hidden="1" x14ac:dyDescent="0.25">
      <c r="D31" s="68" t="s">
        <v>47</v>
      </c>
      <c r="E31" s="68">
        <f t="shared" si="4"/>
        <v>0</v>
      </c>
      <c r="F31" s="68">
        <f t="shared" si="5"/>
        <v>0</v>
      </c>
      <c r="H31" s="68">
        <f>SUMIF(Biodiversité!$AS$7:$AS$17,"1-Favorable",Biodiversité!$N$7:$N$17)</f>
        <v>0</v>
      </c>
      <c r="I31" s="68">
        <f>SUMIF(Biodiversité!$AS$7:$AS$17,"2-Favorable sous réserve",Biodiversité!$N$7:$N$17)</f>
        <v>0</v>
      </c>
      <c r="K31" s="68">
        <f>SUMIF(Biodiversité!$AQ$7:$AQ$17,"1-Favorable",Biodiversité!$N$7:$N$17)</f>
        <v>0</v>
      </c>
      <c r="N31" s="68">
        <f>SUMIF(Biodiversité!$AQ$7:$AQ$17,"2-Favorable sous réserve",Biodiversité!$N$7:$N$17)</f>
        <v>0</v>
      </c>
      <c r="AT31" s="75"/>
    </row>
    <row r="32" spans="1:84" hidden="1" x14ac:dyDescent="0.25">
      <c r="D32" s="68" t="s">
        <v>58</v>
      </c>
      <c r="E32" s="68">
        <f t="shared" si="4"/>
        <v>0</v>
      </c>
      <c r="F32" s="68">
        <f t="shared" si="5"/>
        <v>0</v>
      </c>
      <c r="H32" s="68">
        <f>SUMIF(Biodiversité!$AS$7:$AS$17,"1-Favorable",Biodiversité!$O$7:$O$17)</f>
        <v>0</v>
      </c>
      <c r="I32" s="68">
        <f>SUMIF(Biodiversité!$AS$7:$AS$17,"2-Favorable sous réserve",Biodiversité!$O$7:$O$17)</f>
        <v>0</v>
      </c>
      <c r="K32" s="68">
        <f>SUMIF(Biodiversité!$AQ$7:$AQ$17,"1-Favorable",Biodiversité!$O$7:$O$17)</f>
        <v>0</v>
      </c>
      <c r="N32" s="68">
        <f>SUMIF(Biodiversité!$AQ$7:$AQ$17,"2-Favorable sous réserve",Biodiversité!$O$7:$O$17)</f>
        <v>0</v>
      </c>
    </row>
    <row r="33" spans="4:14" hidden="1" x14ac:dyDescent="0.25">
      <c r="D33" s="68" t="s">
        <v>59</v>
      </c>
      <c r="E33" s="68">
        <f t="shared" si="4"/>
        <v>0</v>
      </c>
      <c r="F33" s="68">
        <f t="shared" si="5"/>
        <v>0</v>
      </c>
      <c r="H33" s="68">
        <f>SUMIF(Biodiversité!$AS$7:$AS$17,"1-Favorable",Biodiversité!$P$7:$P$17)</f>
        <v>0</v>
      </c>
      <c r="I33" s="68">
        <f>SUMIF(Biodiversité!$AS$7:$AS$17,"2-Favorable sous réserve",Biodiversité!$P$7:$P$17)</f>
        <v>0</v>
      </c>
      <c r="K33" s="68">
        <f>SUMIF(Biodiversité!$AQ$7:$AQ$17,"1-Favorable",Biodiversité!$P$7:$P$17)</f>
        <v>0</v>
      </c>
      <c r="N33" s="68">
        <f>SUMIF(Biodiversité!$AQ$7:$AQ$17,"2-Favorable sous réserve",Biodiversité!$P$7:$P$17)</f>
        <v>0</v>
      </c>
    </row>
    <row r="34" spans="4:14" hidden="1" x14ac:dyDescent="0.25">
      <c r="D34" s="68" t="s">
        <v>60</v>
      </c>
      <c r="E34" s="68">
        <f t="shared" si="4"/>
        <v>0</v>
      </c>
      <c r="F34" s="68">
        <f t="shared" si="5"/>
        <v>0</v>
      </c>
      <c r="H34" s="68">
        <f>SUMIF(Biodiversité!$AS$7:$AS$17,"1-Favorable",Biodiversité!$Q$7:$Q$17)</f>
        <v>0</v>
      </c>
      <c r="I34" s="68">
        <f>SUMIF(Biodiversité!$AS$7:$AS$17,"2-Favorable sous réserve",Biodiversité!$Q$7:$Q$17)</f>
        <v>0</v>
      </c>
      <c r="K34" s="68">
        <f>SUMIF(Biodiversité!$AQ$7:$AQ$17,"1-Favorable",Biodiversité!$Q$7:$Q$17)</f>
        <v>0</v>
      </c>
      <c r="N34" s="68">
        <f>SUMIF(Biodiversité!$AQ$7:$AQ$17,"2-Favorable sous réserve",Biodiversité!$Q$7:$Q$17)</f>
        <v>0</v>
      </c>
    </row>
    <row r="35" spans="4:14" hidden="1" x14ac:dyDescent="0.25">
      <c r="D35" s="68" t="s">
        <v>61</v>
      </c>
      <c r="E35" s="68">
        <f t="shared" si="4"/>
        <v>0</v>
      </c>
      <c r="F35" s="68">
        <f t="shared" si="5"/>
        <v>0</v>
      </c>
      <c r="H35" s="68">
        <f>SUMIF(Biodiversité!$AS$7:$AS$17,"1-Favorable",Biodiversité!$R$7:$R$17)</f>
        <v>0</v>
      </c>
      <c r="I35" s="68">
        <f>SUMIF(Biodiversité!$AS$7:$AS$17,"2-Favorable sous réserve",Biodiversité!$R$7:$R$17)</f>
        <v>0</v>
      </c>
      <c r="K35" s="68">
        <f>SUMIF(Biodiversité!$AQ$7:$AQ$17,"1-Favorable",Biodiversité!$R$7:$R$17)</f>
        <v>0</v>
      </c>
      <c r="N35" s="68">
        <f>SUMIF(Biodiversité!$AQ$7:$AQ$17,"2-Favorable sous réserve",Biodiversité!$R$7:$R$17)</f>
        <v>0</v>
      </c>
    </row>
    <row r="36" spans="4:14" hidden="1" x14ac:dyDescent="0.25">
      <c r="D36" s="68" t="s">
        <v>48</v>
      </c>
      <c r="E36" s="68">
        <f t="shared" si="4"/>
        <v>0</v>
      </c>
      <c r="F36" s="68">
        <f t="shared" si="5"/>
        <v>0</v>
      </c>
      <c r="H36" s="68">
        <f>SUMIF(Biodiversité!$AS$7:$AS$17,"1-Favorable",Biodiversité!$S$7:$S$17)</f>
        <v>0</v>
      </c>
      <c r="I36" s="68">
        <f>SUMIF(Biodiversité!$AS$7:$AS$17,"2-Favorable sous réserve",Biodiversité!$S$7:$S$17)</f>
        <v>0</v>
      </c>
      <c r="K36" s="68">
        <f>SUMIF(Biodiversité!$AQ$7:$AQ$17,"1-Favorable",Biodiversité!$S$7:$S$17)</f>
        <v>0</v>
      </c>
      <c r="N36" s="68">
        <f>SUMIF(Biodiversité!$AQ$7:$AQ$17,"2-Favorable sous réserve",Biodiversité!$S$7:$S$17)</f>
        <v>0</v>
      </c>
    </row>
    <row r="37" spans="4:14" hidden="1" x14ac:dyDescent="0.25">
      <c r="D37" s="68" t="s">
        <v>22</v>
      </c>
      <c r="E37" s="68">
        <f t="shared" si="4"/>
        <v>0</v>
      </c>
      <c r="F37" s="68">
        <f t="shared" si="5"/>
        <v>0</v>
      </c>
      <c r="H37" s="68">
        <f>SUMIF(Biodiversité!$AS$7:$AS$17,"1-Favorable",Biodiversité!$T$7:$T$17)</f>
        <v>0</v>
      </c>
      <c r="I37" s="68">
        <f>SUMIF(Biodiversité!$AS$7:$AS$17,"2-Favorable sous réserve",Biodiversité!$T$7:$T$17)</f>
        <v>0</v>
      </c>
      <c r="K37" s="68">
        <f>SUMIF(Biodiversité!$AQ$7:$AQ$17,"1-Favorable",Biodiversité!$T$7:$T$17)</f>
        <v>0</v>
      </c>
      <c r="N37" s="68">
        <f>SUMIF(Biodiversité!$AQ$7:$AQ$17,"2-Favorable sous réserve",Biodiversité!$T$7:$T$17)</f>
        <v>0</v>
      </c>
    </row>
    <row r="38" spans="4:14" hidden="1" x14ac:dyDescent="0.25">
      <c r="D38" s="68" t="s">
        <v>23</v>
      </c>
      <c r="E38" s="68">
        <f t="shared" si="4"/>
        <v>0</v>
      </c>
      <c r="F38" s="68">
        <f t="shared" si="5"/>
        <v>0</v>
      </c>
      <c r="H38" s="68">
        <f>SUMIF(Biodiversité!$AS$7:$AS$17,"1-Favorable",Biodiversité!$U$7:$U$17)</f>
        <v>0</v>
      </c>
      <c r="I38" s="68">
        <f>SUMIF(Biodiversité!$AS$7:$AS$17,"2-Favorable sous réserve",Biodiversité!$U$7:$U$17)</f>
        <v>0</v>
      </c>
      <c r="K38" s="68">
        <f>SUMIF(Biodiversité!$AQ$7:$AQ$17,"1-Favorable",Biodiversité!$U$7:$U$17)</f>
        <v>0</v>
      </c>
      <c r="N38" s="68">
        <f>SUMIF(Biodiversité!$AQ$7:$AQ$17,"2-Favorable sous réserve",Biodiversité!$U$7:$U$17)</f>
        <v>0</v>
      </c>
    </row>
    <row r="39" spans="4:14" hidden="1" x14ac:dyDescent="0.25">
      <c r="D39" s="68" t="s">
        <v>24</v>
      </c>
      <c r="E39" s="68">
        <f t="shared" si="4"/>
        <v>0</v>
      </c>
      <c r="F39" s="68">
        <f t="shared" si="5"/>
        <v>0</v>
      </c>
      <c r="H39" s="68">
        <f>SUMIF(Biodiversité!$AS$7:$AS$17,"1-Favorable",Biodiversité!$V$7:$V$17)</f>
        <v>0</v>
      </c>
      <c r="I39" s="68">
        <f>SUMIF(Biodiversité!$AS$7:$AS$17,"2-Favorable sous réserve",Biodiversité!$V$7:$V$17)</f>
        <v>0</v>
      </c>
      <c r="K39" s="68">
        <f>SUMIF(Biodiversité!$AQ$7:$AQ$17,"1-Favorable",Biodiversité!$V$7:$V$17)</f>
        <v>0</v>
      </c>
      <c r="N39" s="68">
        <f>SUMIF(Biodiversité!$AQ$7:$AQ$17,"2-Favorable sous réserve",Biodiversité!$V$7:$V$17)</f>
        <v>0</v>
      </c>
    </row>
    <row r="40" spans="4:14" hidden="1" x14ac:dyDescent="0.25">
      <c r="D40" s="68" t="s">
        <v>25</v>
      </c>
      <c r="E40" s="68">
        <f t="shared" si="4"/>
        <v>0</v>
      </c>
      <c r="F40" s="68">
        <f t="shared" si="5"/>
        <v>0</v>
      </c>
      <c r="H40" s="68">
        <f>SUMIF(Biodiversité!$AS$7:$AS$17,"1-Favorable",Biodiversité!$W$7:$W$17)</f>
        <v>0</v>
      </c>
      <c r="I40" s="68">
        <f>SUMIF(Biodiversité!$AS$7:$AS$17,"2-Favorable sous réserve",Biodiversité!$W$7:$W$17)</f>
        <v>0</v>
      </c>
      <c r="K40" s="68">
        <f>SUMIF(Biodiversité!$AQ$7:$AQ$17,"1-Favorable",Biodiversité!$W$7:$W$17)</f>
        <v>0</v>
      </c>
      <c r="N40" s="68">
        <f>SUMIF(Biodiversité!$AQ$7:$AQ$17,"2-Favorable sous réserve",Biodiversité!$W$7:$W$17)</f>
        <v>0</v>
      </c>
    </row>
    <row r="41" spans="4:14" hidden="1" x14ac:dyDescent="0.25">
      <c r="D41" s="68" t="s">
        <v>26</v>
      </c>
      <c r="E41" s="68">
        <f t="shared" si="4"/>
        <v>0</v>
      </c>
      <c r="F41" s="68">
        <f t="shared" si="5"/>
        <v>0</v>
      </c>
      <c r="H41" s="68">
        <f>SUMIF(Biodiversité!$AS$7:$AS$17,"1-Favorable",Biodiversité!$X$7:$X$17)</f>
        <v>0</v>
      </c>
      <c r="I41" s="68">
        <f>SUMIF(Biodiversité!$AS$7:$AS$17,"2-Favorable sous réserve",Biodiversité!$X$7:$X$17)</f>
        <v>0</v>
      </c>
      <c r="K41" s="68">
        <f>SUMIF(Biodiversité!$AQ$7:$AQ$17,"1-Favorable",Biodiversité!$X$7:$X$17)</f>
        <v>0</v>
      </c>
      <c r="N41" s="68">
        <f>SUMIF(Biodiversité!$AQ$7:$AQ$17,"2-Favorable sous réserve",Biodiversité!$X$7:$X$17)</f>
        <v>0</v>
      </c>
    </row>
    <row r="42" spans="4:14" hidden="1" x14ac:dyDescent="0.25">
      <c r="D42" s="68" t="s">
        <v>27</v>
      </c>
      <c r="E42" s="68">
        <f t="shared" si="4"/>
        <v>0</v>
      </c>
      <c r="F42" s="68">
        <f t="shared" si="5"/>
        <v>0</v>
      </c>
      <c r="H42" s="68">
        <f>SUMIF(Biodiversité!$AS$7:$AS$17,"1-Favorable",Biodiversité!$Y$7:$Y$17)</f>
        <v>0</v>
      </c>
      <c r="I42" s="68">
        <f>SUMIF(Biodiversité!$AS$7:$AS$17,"2-Favorable sous réserve",Biodiversité!$Y$7:$Y$17)</f>
        <v>0</v>
      </c>
      <c r="K42" s="68">
        <f>SUMIF(Biodiversité!$AQ$7:$AQ$17,"1-Favorable",Biodiversité!$Y$7:$Y$17)</f>
        <v>0</v>
      </c>
      <c r="N42" s="68">
        <f>SUMIF(Biodiversité!$AQ$7:$AQ$17,"2-Favorable sous réserve",Biodiversité!$Y$7:$Y$17)</f>
        <v>0</v>
      </c>
    </row>
    <row r="43" spans="4:14" hidden="1" x14ac:dyDescent="0.25">
      <c r="D43" s="68" t="s">
        <v>28</v>
      </c>
      <c r="E43" s="68">
        <f t="shared" si="4"/>
        <v>0</v>
      </c>
      <c r="F43" s="68">
        <f t="shared" si="5"/>
        <v>0</v>
      </c>
      <c r="H43" s="68">
        <f>SUMIF(Biodiversité!$AS$7:$AS$17,"1-Favorable",Biodiversité!$Z$7:$Z$17)</f>
        <v>0</v>
      </c>
      <c r="I43" s="68">
        <f>SUMIF(Biodiversité!$AS$7:$AS$17,"2-Favorable sous réserve",Biodiversité!$Z$7:$Z$17)</f>
        <v>0</v>
      </c>
      <c r="K43" s="68">
        <f>SUMIF(Biodiversité!$AQ$7:$AQ$17,"1-Favorable",Biodiversité!$Z$7:$Z$17)</f>
        <v>0</v>
      </c>
      <c r="N43" s="68">
        <f>SUMIF(Biodiversité!$AQ$7:$AQ$17,"2-Favorable sous réserve",Biodiversité!$Z$7:$Z$17)</f>
        <v>0</v>
      </c>
    </row>
    <row r="44" spans="4:14" hidden="1" x14ac:dyDescent="0.25">
      <c r="D44" s="68" t="s">
        <v>29</v>
      </c>
      <c r="E44" s="68">
        <f t="shared" si="4"/>
        <v>0</v>
      </c>
      <c r="F44" s="68">
        <f t="shared" si="5"/>
        <v>0</v>
      </c>
      <c r="H44" s="68">
        <f>SUMIF(Biodiversité!$AS$7:$AS$17,"1-Favorable",Biodiversité!$AA$7:$AA$17)</f>
        <v>0</v>
      </c>
      <c r="I44" s="68">
        <f>SUMIF(Biodiversité!$AS$7:$AS$17,"2-Favorable sous réserve",Biodiversité!$AA$7:$AA$17)</f>
        <v>0</v>
      </c>
      <c r="K44" s="68">
        <f>SUMIF(Biodiversité!$AQ$7:$AQ$17,"1-Favorable",Biodiversité!$AA$7:$AA$17)</f>
        <v>0</v>
      </c>
      <c r="N44" s="68">
        <f>SUMIF(Biodiversité!$AQ$7:$AQ$17,"2-Favorable sous réserve",Biodiversité!$AA$7:$AA$17)</f>
        <v>0</v>
      </c>
    </row>
    <row r="45" spans="4:14" hidden="1" x14ac:dyDescent="0.25">
      <c r="D45" s="68" t="s">
        <v>30</v>
      </c>
      <c r="E45" s="68">
        <f t="shared" si="4"/>
        <v>0</v>
      </c>
      <c r="F45" s="68">
        <f t="shared" si="5"/>
        <v>0</v>
      </c>
      <c r="H45" s="68">
        <f>SUMIF(Biodiversité!$AS$7:$AS$17,"1-Favorable",Biodiversité!$AB$7:$AB$17)</f>
        <v>0</v>
      </c>
      <c r="I45" s="68">
        <f>SUMIF(Biodiversité!$AS$7:$AS$17,"2-Favorable sous réserve",Biodiversité!$AB$7:$AB$17)</f>
        <v>0</v>
      </c>
      <c r="K45" s="68">
        <f>SUMIF(Biodiversité!$AQ$7:$AQ$17,"1-Favorable",Biodiversité!$AB$7:$AB$17)</f>
        <v>0</v>
      </c>
      <c r="N45" s="68">
        <f>SUMIF(Biodiversité!$AQ$7:$AQ$17,"2-Favorable sous réserve",Biodiversité!$AB$7:$AB$17)</f>
        <v>0</v>
      </c>
    </row>
    <row r="46" spans="4:14" hidden="1" x14ac:dyDescent="0.25">
      <c r="D46" s="68" t="s">
        <v>31</v>
      </c>
      <c r="E46" s="68">
        <f t="shared" si="4"/>
        <v>0</v>
      </c>
      <c r="F46" s="68">
        <f t="shared" si="5"/>
        <v>0</v>
      </c>
      <c r="H46" s="68">
        <f>SUMIF(Biodiversité!$AS$7:$AS$17,"1-Favorable",Biodiversité!$AC$7:$AC$17)</f>
        <v>0</v>
      </c>
      <c r="I46" s="68">
        <f>SUMIF(Biodiversité!$AS$7:$AS$17,"2-Favorable sous réserve",Biodiversité!$AC$7:$AC$17)</f>
        <v>0</v>
      </c>
      <c r="K46" s="68">
        <f>SUMIF(Biodiversité!$AQ$7:$AQ$17,"1-Favorable",Biodiversité!$AC$7:$AC$17)</f>
        <v>0</v>
      </c>
      <c r="N46" s="68">
        <f>SUMIF(Biodiversité!$AQ$7:$AQ$17,"2-Favorable sous réserve",Biodiversité!$AC$7:$AC$17)</f>
        <v>0</v>
      </c>
    </row>
    <row r="47" spans="4:14" hidden="1" x14ac:dyDescent="0.25">
      <c r="D47" s="68" t="s">
        <v>32</v>
      </c>
      <c r="E47" s="68">
        <f t="shared" si="4"/>
        <v>0</v>
      </c>
      <c r="F47" s="68">
        <f t="shared" si="5"/>
        <v>0</v>
      </c>
      <c r="H47" s="68">
        <f>SUMIF(Biodiversité!$AS$7:$AS$17,"1-Favorable",Biodiversité!$AD$7:$AD$17)</f>
        <v>0</v>
      </c>
      <c r="I47" s="68">
        <f>SUMIF(Biodiversité!$AS$7:$AS$17,"2-Favorable sous réserve",Biodiversité!$AD$7:$AD$17)</f>
        <v>0</v>
      </c>
      <c r="K47" s="68">
        <f>SUMIF(Biodiversité!$AQ$7:$AQ$17,"1-Favorable",Biodiversité!$AD$7:$AD$17)</f>
        <v>0</v>
      </c>
      <c r="N47" s="68">
        <f>SUMIF(Biodiversité!$AQ$7:$AQ$17,"2-Favorable sous réserve",Biodiversité!$AD$7:$AD$17)</f>
        <v>0</v>
      </c>
    </row>
    <row r="48" spans="4:14" hidden="1" x14ac:dyDescent="0.25">
      <c r="D48" s="68" t="s">
        <v>33</v>
      </c>
      <c r="E48" s="68">
        <f t="shared" si="4"/>
        <v>0</v>
      </c>
      <c r="F48" s="68">
        <f t="shared" si="5"/>
        <v>0</v>
      </c>
      <c r="H48" s="68">
        <f>SUMIF(Biodiversité!$AS$7:$AS$17,"1-Favorable",Biodiversité!$AE$7:$AE$17)</f>
        <v>0</v>
      </c>
      <c r="I48" s="68">
        <f>SUMIF(Biodiversité!$AS$7:$AS$17,"2-Favorable sous réserve",Biodiversité!$AE$7:$AE$17)</f>
        <v>0</v>
      </c>
      <c r="K48" s="68">
        <f>SUMIF(Biodiversité!$AQ$7:$AQ$17,"1-Favorable",Biodiversité!$AE$7:$AE$17)</f>
        <v>0</v>
      </c>
      <c r="N48" s="68">
        <f>SUMIF(Biodiversité!$AQ$7:$AQ$17,"2-Favorable sous réserve",Biodiversité!$AE$7:$AE$17)</f>
        <v>0</v>
      </c>
    </row>
    <row r="49" spans="4:14" hidden="1" x14ac:dyDescent="0.25">
      <c r="D49" s="68" t="s">
        <v>34</v>
      </c>
      <c r="E49" s="68">
        <f t="shared" si="4"/>
        <v>0</v>
      </c>
      <c r="F49" s="68">
        <f t="shared" si="5"/>
        <v>0</v>
      </c>
      <c r="H49" s="68">
        <f>SUMIF(Biodiversité!$AS$7:$AS$17,"1-Favorable",Biodiversité!$AF$7:$AF$17)</f>
        <v>0</v>
      </c>
      <c r="I49" s="68">
        <f>SUMIF(Biodiversité!$AS$7:$AS$17,"2-Favorable sous réserve",Biodiversité!$AF$7:$AF$17)</f>
        <v>0</v>
      </c>
      <c r="K49" s="68">
        <f>SUMIF(Biodiversité!$AQ$7:$AQ$17,"1-Favorable",Biodiversité!$AF$7:$AF$17)</f>
        <v>0</v>
      </c>
      <c r="N49" s="68">
        <f>SUMIF(Biodiversité!$AQ$7:$AQ$17,"2-Favorable sous réserve",Biodiversité!$AF$7:$AF$17)</f>
        <v>0</v>
      </c>
    </row>
    <row r="50" spans="4:14" hidden="1" x14ac:dyDescent="0.25">
      <c r="D50" s="68" t="s">
        <v>35</v>
      </c>
      <c r="E50" s="68">
        <f t="shared" si="4"/>
        <v>0</v>
      </c>
      <c r="F50" s="68">
        <f t="shared" si="5"/>
        <v>0</v>
      </c>
      <c r="H50" s="68">
        <f>SUMIF(Biodiversité!$AS$7:$AS$17,"1-Favorable",Biodiversité!$AG$7:$AG$17)</f>
        <v>0</v>
      </c>
      <c r="I50" s="68">
        <f>SUMIF(Biodiversité!$AS$7:$AS$17,"2-Favorable sous réserve",Biodiversité!$AG$7:$AG$17)</f>
        <v>0</v>
      </c>
      <c r="K50" s="68">
        <f>SUMIF(Biodiversité!$AQ$7:$AQ$17,"1-Favorable",Biodiversité!$AG$7:$AG$17)</f>
        <v>0</v>
      </c>
      <c r="N50" s="68">
        <f>SUMIF(Biodiversité!$AQ$7:$AQ$17,"2-Favorable sous réserve",Biodiversité!$AG$7:$AG$17)</f>
        <v>0</v>
      </c>
    </row>
    <row r="51" spans="4:14" hidden="1" x14ac:dyDescent="0.25">
      <c r="D51" s="68" t="s">
        <v>36</v>
      </c>
      <c r="E51" s="68">
        <f t="shared" si="4"/>
        <v>0</v>
      </c>
      <c r="F51" s="68">
        <f t="shared" si="5"/>
        <v>0</v>
      </c>
      <c r="H51" s="68">
        <f>SUMIF(Biodiversité!$AS$7:$AS$17,"1-Favorable",Biodiversité!$AH$7:$AH$17)</f>
        <v>0</v>
      </c>
      <c r="I51" s="68">
        <f>SUMIF(Biodiversité!$AS$7:$AS$17,"2-Favorable sous réserve",Biodiversité!$AH$7:$AH$17)</f>
        <v>0</v>
      </c>
      <c r="K51" s="68">
        <f>SUMIF(Biodiversité!$AQ$7:$AQ$17,"1-Favorable",Biodiversité!$AH$7:$AH$17)</f>
        <v>0</v>
      </c>
      <c r="N51" s="68">
        <f>SUMIF(Biodiversité!$AQ$7:$AQ$17,"2-Favorable sous réserve",Biodiversité!$AH$7:$AH$17)</f>
        <v>0</v>
      </c>
    </row>
    <row r="52" spans="4:14" hidden="1" x14ac:dyDescent="0.25">
      <c r="D52" s="68" t="s">
        <v>37</v>
      </c>
      <c r="E52" s="68">
        <f t="shared" si="4"/>
        <v>0</v>
      </c>
      <c r="F52" s="68">
        <f t="shared" si="5"/>
        <v>0</v>
      </c>
      <c r="H52" s="68">
        <f>SUMIF(Biodiversité!$AS$7:$AS$17,"1-Favorable",Biodiversité!$AI$7:$AI$17)</f>
        <v>0</v>
      </c>
      <c r="I52" s="68">
        <f>SUMIF(Biodiversité!$AS$7:$AS$17,"2-Favorable sous réserve",Biodiversité!$AI$7:$AI$17)</f>
        <v>0</v>
      </c>
      <c r="K52" s="68">
        <f>SUMIF(Biodiversité!$AQ$7:$AQ$17,"1-Favorable",Biodiversité!$AI$7:$AI$17)</f>
        <v>0</v>
      </c>
      <c r="N52" s="68">
        <f>SUMIF(Biodiversité!$AQ$7:$AQ$17,"2-Favorable sous réserve",Biodiversité!$AI$7:$AI$17)</f>
        <v>0</v>
      </c>
    </row>
    <row r="53" spans="4:14" hidden="1" x14ac:dyDescent="0.25">
      <c r="D53" s="68" t="s">
        <v>38</v>
      </c>
      <c r="E53" s="68">
        <f t="shared" si="4"/>
        <v>0</v>
      </c>
      <c r="F53" s="68">
        <f t="shared" si="5"/>
        <v>0</v>
      </c>
      <c r="H53" s="68">
        <f>SUMIF(Biodiversité!$AS$7:$AS$17,"1-Favorable",Biodiversité!$AJ$7:$AJ$17)</f>
        <v>0</v>
      </c>
      <c r="I53" s="68">
        <f>SUMIF(Biodiversité!$AS$7:$AS$17,"2-Favorable sous réserve",Biodiversité!$AJ$7:$AJ$17)</f>
        <v>0</v>
      </c>
      <c r="K53" s="68">
        <f>SUMIF(Biodiversité!$AQ$7:$AQ$17,"1-Favorable",Biodiversité!$AJ$7:$AJ$17)</f>
        <v>0</v>
      </c>
      <c r="N53" s="68">
        <f>SUMIF(Biodiversité!$AQ$7:$AQ$17,"2-Favorable sous réserve",Biodiversité!$AJ$7:$AJ$17)</f>
        <v>0</v>
      </c>
    </row>
    <row r="54" spans="4:14" hidden="1" x14ac:dyDescent="0.25">
      <c r="D54" s="68" t="s">
        <v>39</v>
      </c>
      <c r="E54" s="68">
        <f t="shared" si="4"/>
        <v>0</v>
      </c>
      <c r="F54" s="68">
        <f t="shared" si="5"/>
        <v>0</v>
      </c>
      <c r="H54" s="68">
        <f>SUMIF(Biodiversité!$AS$7:$AS$17,"1-Favorable",Biodiversité!$AK$7:$AK$17)</f>
        <v>0</v>
      </c>
      <c r="I54" s="68">
        <f>SUMIF(Biodiversité!$AS$7:$AS$17,"2-Favorable sous réserve",Biodiversité!$AK$7:$AK$17)</f>
        <v>0</v>
      </c>
      <c r="K54" s="68">
        <f>SUMIF(Biodiversité!$AQ$7:$AQ$17,"1-Favorable",Biodiversité!$AK$7:$AK$17)</f>
        <v>0</v>
      </c>
      <c r="N54" s="68">
        <f>SUMIF(Biodiversité!$AQ$7:$AQ$17,"2-Favorable sous réserve",Biodiversité!$AK$7:$AK$17)</f>
        <v>0</v>
      </c>
    </row>
    <row r="55" spans="4:14" hidden="1" x14ac:dyDescent="0.25">
      <c r="D55" s="68" t="s">
        <v>40</v>
      </c>
      <c r="E55" s="68">
        <f t="shared" si="4"/>
        <v>0</v>
      </c>
      <c r="F55" s="68">
        <f t="shared" si="5"/>
        <v>0</v>
      </c>
      <c r="H55" s="68">
        <f>SUMIF(Biodiversité!$AS$7:$AS$17,"1-Favorable",Biodiversité!$AL$7:$AL$17)</f>
        <v>0</v>
      </c>
      <c r="I55" s="68">
        <f>SUMIF(Biodiversité!$AS$7:$AS$17,"2-Favorable sous réserve",Biodiversité!$AL$7:$AL$17)</f>
        <v>0</v>
      </c>
      <c r="K55" s="68">
        <f>SUMIF(Biodiversité!$AQ$7:$AQ$17,"1-Favorable",Biodiversité!$AL$7:$AL$17)</f>
        <v>0</v>
      </c>
      <c r="N55" s="68">
        <f>SUMIF(Biodiversité!$AQ$7:$AQ$17,"2-Favorable sous réserve",Biodiversité!$AL$7:$AL$17)</f>
        <v>0</v>
      </c>
    </row>
    <row r="56" spans="4:14" hidden="1" x14ac:dyDescent="0.25">
      <c r="D56" s="68" t="s">
        <v>41</v>
      </c>
      <c r="E56" s="68">
        <f t="shared" si="4"/>
        <v>0</v>
      </c>
      <c r="F56" s="68">
        <f t="shared" si="5"/>
        <v>0</v>
      </c>
      <c r="H56" s="68">
        <f>SUMIF(Biodiversité!$AS$7:$AS$17,"1-Favorable",Biodiversité!$AM$7:$AM$17)</f>
        <v>0</v>
      </c>
      <c r="I56" s="68">
        <f>SUMIF(Biodiversité!$AS$7:$AS$17,"2-Favorable sous réserve",Biodiversité!$AM$7:$AM$17)</f>
        <v>0</v>
      </c>
      <c r="K56" s="68">
        <f>SUMIF(Biodiversité!$AQ$7:$AQ$17,"1-Favorable",Biodiversité!$AM$7:$AM$17)</f>
        <v>0</v>
      </c>
      <c r="N56" s="68">
        <f>SUMIF(Biodiversité!$AQ$7:$AQ$17,"2-Favorable sous réserve",Biodiversité!$AM$7:$AM$17)</f>
        <v>0</v>
      </c>
    </row>
    <row r="57" spans="4:14" hidden="1" x14ac:dyDescent="0.25">
      <c r="D57" s="68" t="s">
        <v>42</v>
      </c>
      <c r="E57" s="68">
        <f t="shared" si="4"/>
        <v>0</v>
      </c>
      <c r="F57" s="68">
        <f t="shared" si="5"/>
        <v>0</v>
      </c>
      <c r="H57" s="68">
        <f>SUMIF(Biodiversité!$AS$7:$AS$17,"1-Favorable",Biodiversité!$AN$7:$AN$17)</f>
        <v>0</v>
      </c>
      <c r="I57" s="68">
        <f>SUMIF(Biodiversité!$AS$7:$AS$17,"2-Favorable sous réserve",Biodiversité!$AN$7:$AN$17)</f>
        <v>0</v>
      </c>
      <c r="K57" s="68">
        <f>SUMIF(Biodiversité!$AQ$7:$AQ$17,"1-Favorable",Biodiversité!$AN$7:$AN$17)</f>
        <v>0</v>
      </c>
      <c r="N57" s="68">
        <f>SUMIF(Biodiversité!$AQ$7:$AQ$17,"2-Favorable sous réserve",Biodiversité!$AN$7:$AN$17)</f>
        <v>0</v>
      </c>
    </row>
    <row r="58" spans="4:14" hidden="1" x14ac:dyDescent="0.25">
      <c r="D58" s="68" t="s">
        <v>43</v>
      </c>
      <c r="E58" s="68">
        <f t="shared" si="4"/>
        <v>0</v>
      </c>
      <c r="F58" s="68">
        <f t="shared" si="5"/>
        <v>0</v>
      </c>
      <c r="H58" s="68">
        <f>SUMIF(Biodiversité!$AS$7:$AS$17,"1-Favorable",Biodiversité!$AO$7:$AO$17)</f>
        <v>0</v>
      </c>
      <c r="I58" s="68">
        <f>SUMIF(Biodiversité!$AS$7:$AS$17,"2-Favorable sous réserve",Biodiversité!$AO$7:$AO$17)</f>
        <v>0</v>
      </c>
      <c r="K58" s="68">
        <f>SUMIF(Biodiversité!$AQ$7:$AQ$17,"1-Favorable",Biodiversité!$AO$7:$AO$17)</f>
        <v>0</v>
      </c>
      <c r="N58" s="68">
        <f>SUMIF(Biodiversité!$AQ$7:$AQ$17,"2-Favorable sous réserve",Biodiversité!$AO$7:$AO$17)</f>
        <v>0</v>
      </c>
    </row>
    <row r="59" spans="4:14" hidden="1" x14ac:dyDescent="0.25"/>
    <row r="60" spans="4:14" hidden="1" x14ac:dyDescent="0.25"/>
    <row r="61" spans="4:14" hidden="1" x14ac:dyDescent="0.25"/>
    <row r="62" spans="4:14" hidden="1" x14ac:dyDescent="0.25"/>
    <row r="63" spans="4:14" hidden="1" x14ac:dyDescent="0.25"/>
    <row r="64" spans="4:1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mergeCells count="1">
    <mergeCell ref="A1:B1"/>
  </mergeCells>
  <conditionalFormatting sqref="AQ7 AS7 AS9:AS10 AQ9:AQ10 AQ12:AQ14 AS12:AS14 AS17 AQ17">
    <cfRule type="cellIs" dxfId="472" priority="11" operator="equal">
      <formula>"2-Favorable sous réserve"</formula>
    </cfRule>
    <cfRule type="cellIs" dxfId="471" priority="24" operator="equal">
      <formula>"6-Retiré/Abandon"</formula>
    </cfRule>
    <cfRule type="cellIs" dxfId="470" priority="25" operator="equal">
      <formula>"5-Défavorable"</formula>
    </cfRule>
    <cfRule type="cellIs" dxfId="469" priority="26" operator="equal">
      <formula>"4-Ajournement"</formula>
    </cfRule>
    <cfRule type="cellIs" dxfId="468" priority="27" operator="equal">
      <formula>"1-Favorable"</formula>
    </cfRule>
  </conditionalFormatting>
  <conditionalFormatting sqref="AU7 AU9:AU10 AU12:AU14 AU17">
    <cfRule type="cellIs" dxfId="467" priority="1" operator="equal">
      <formula>"2-Favorable sous réserve"</formula>
    </cfRule>
    <cfRule type="cellIs" dxfId="466" priority="2" operator="equal">
      <formula>"6-Retiré/Abandon"</formula>
    </cfRule>
    <cfRule type="cellIs" dxfId="465" priority="3" operator="equal">
      <formula>"5-Défavorable"</formula>
    </cfRule>
    <cfRule type="cellIs" dxfId="464" priority="4" operator="equal">
      <formula>"4-Ajournement"</formula>
    </cfRule>
    <cfRule type="cellIs" dxfId="463" priority="5" operator="equal">
      <formula>"1-Favorable"</formula>
    </cfRule>
  </conditionalFormatting>
  <dataValidations count="2">
    <dataValidation type="list" allowBlank="1" showInputMessage="1" showErrorMessage="1" sqref="AT31">
      <formula1>"1-Favorable,4-Ajournement,5-Défavorable,6-Retiré/Abandon"</formula1>
    </dataValidation>
    <dataValidation type="list" allowBlank="1" showInputMessage="1" showErrorMessage="1" sqref="AS7 AS9:AS10 AS12:AS14 AS17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4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93"/>
  <sheetViews>
    <sheetView zoomScale="60" zoomScaleNormal="60" zoomScaleSheetLayoutView="80" workbookViewId="0">
      <selection activeCell="AR8" sqref="AR8:AR19"/>
    </sheetView>
  </sheetViews>
  <sheetFormatPr baseColWidth="10" defaultRowHeight="15" outlineLevelCol="1" x14ac:dyDescent="0.25"/>
  <cols>
    <col min="1" max="1" width="13.85546875" style="3" customWidth="1"/>
    <col min="2" max="2" width="35" style="4" customWidth="1"/>
    <col min="3" max="3" width="48" style="5" customWidth="1"/>
    <col min="4" max="4" width="14.85546875" style="3" bestFit="1" customWidth="1"/>
    <col min="5" max="5" width="13.5703125" style="3" bestFit="1" customWidth="1"/>
    <col min="6" max="6" width="12" style="6" customWidth="1"/>
    <col min="7" max="7" width="16" style="3" bestFit="1" customWidth="1"/>
    <col min="8" max="8" width="11.28515625" style="6" customWidth="1"/>
    <col min="9" max="9" width="13.85546875" style="3" bestFit="1" customWidth="1"/>
    <col min="10" max="10" width="15" style="3" bestFit="1" customWidth="1"/>
    <col min="11" max="11" width="11.5703125" style="3" hidden="1" customWidth="1" outlineLevel="1"/>
    <col min="12" max="12" width="16.5703125" style="3" hidden="1" customWidth="1" outlineLevel="1"/>
    <col min="13" max="13" width="13.7109375" style="3" bestFit="1" customWidth="1" collapsed="1"/>
    <col min="14" max="14" width="11.140625" style="3" hidden="1" customWidth="1" outlineLevel="1"/>
    <col min="15" max="15" width="11.85546875" style="3" hidden="1" customWidth="1" outlineLevel="1"/>
    <col min="16" max="16" width="10" style="3" hidden="1" customWidth="1" outlineLevel="1"/>
    <col min="17" max="17" width="11.7109375" style="3" hidden="1" customWidth="1" outlineLevel="1"/>
    <col min="18" max="18" width="16.140625" style="3" bestFit="1" customWidth="1" collapsed="1"/>
    <col min="19" max="40" width="8.7109375" style="3" hidden="1" customWidth="1" outlineLevel="1"/>
    <col min="41" max="41" width="11.5703125" style="3" bestFit="1" customWidth="1" collapsed="1"/>
    <col min="42" max="43" width="11.5703125" style="3" customWidth="1"/>
    <col min="44" max="44" width="15.42578125" style="3" bestFit="1" customWidth="1"/>
    <col min="45" max="45" width="15.42578125" style="3" hidden="1" customWidth="1"/>
    <col min="46" max="46" width="61.85546875" style="3" customWidth="1"/>
    <col min="47" max="47" width="15.42578125" style="3" bestFit="1" customWidth="1"/>
    <col min="48" max="48" width="17.28515625" style="3" bestFit="1" customWidth="1"/>
    <col min="49" max="49" width="9.42578125" style="3" customWidth="1"/>
    <col min="50" max="64" width="9.7109375" style="3" customWidth="1"/>
    <col min="65" max="65" width="15.140625" style="3" customWidth="1"/>
    <col min="66" max="66" width="14.5703125" style="3" customWidth="1"/>
    <col min="67" max="67" width="18.5703125" style="3" customWidth="1"/>
    <col min="68" max="68" width="12.5703125" style="3" customWidth="1"/>
    <col min="69" max="69" width="20.42578125" style="3" customWidth="1"/>
    <col min="70" max="70" width="12.7109375" style="3" customWidth="1"/>
    <col min="71" max="71" width="9.28515625" style="3" customWidth="1"/>
    <col min="72" max="72" width="14.28515625" style="3" customWidth="1"/>
    <col min="73" max="73" width="11.42578125" style="3" customWidth="1"/>
    <col min="74" max="74" width="9" style="3" customWidth="1"/>
    <col min="75" max="75" width="9.5703125" style="3" customWidth="1"/>
    <col min="76" max="76" width="11" style="3" customWidth="1"/>
    <col min="77" max="77" width="12.7109375" style="3" customWidth="1"/>
    <col min="78" max="80" width="9.7109375" style="3" customWidth="1"/>
    <col min="81" max="81" width="15.140625" style="3" customWidth="1"/>
    <col min="82" max="82" width="17.28515625" style="3" customWidth="1"/>
    <col min="83" max="83" width="49.28515625" style="4" customWidth="1"/>
    <col min="84" max="84" width="17.28515625" style="3" customWidth="1"/>
    <col min="85" max="16384" width="11.42578125" style="3"/>
  </cols>
  <sheetData>
    <row r="1" spans="1:83" ht="18.75" x14ac:dyDescent="0.3">
      <c r="B1" s="21" t="s">
        <v>75</v>
      </c>
      <c r="C1" s="22">
        <f>Itinérance!C1</f>
        <v>42696</v>
      </c>
    </row>
    <row r="5" spans="1:83" x14ac:dyDescent="0.25">
      <c r="A5" s="1" t="s">
        <v>71</v>
      </c>
      <c r="B5" s="2"/>
    </row>
    <row r="6" spans="1:83" s="7" customFormat="1" ht="30" x14ac:dyDescent="0.25">
      <c r="A6" s="7" t="s">
        <v>7</v>
      </c>
      <c r="B6" s="7" t="s">
        <v>1</v>
      </c>
      <c r="C6" s="7" t="s">
        <v>2</v>
      </c>
      <c r="D6" s="7" t="s">
        <v>52</v>
      </c>
      <c r="E6" s="7" t="s">
        <v>54</v>
      </c>
      <c r="F6" s="7" t="s">
        <v>53</v>
      </c>
      <c r="G6" s="7" t="s">
        <v>50</v>
      </c>
      <c r="H6" s="7" t="s">
        <v>55</v>
      </c>
      <c r="I6" s="7" t="s">
        <v>44</v>
      </c>
      <c r="J6" s="7" t="s">
        <v>65</v>
      </c>
      <c r="K6" s="7" t="s">
        <v>69</v>
      </c>
      <c r="L6" s="7" t="s">
        <v>17</v>
      </c>
      <c r="M6" s="7" t="s">
        <v>66</v>
      </c>
      <c r="N6" s="7" t="s">
        <v>20</v>
      </c>
      <c r="O6" s="7" t="s">
        <v>18</v>
      </c>
      <c r="P6" s="7" t="s">
        <v>19</v>
      </c>
      <c r="Q6" s="7" t="s">
        <v>21</v>
      </c>
      <c r="R6" s="7" t="s">
        <v>67</v>
      </c>
      <c r="S6" s="7" t="s">
        <v>22</v>
      </c>
      <c r="T6" s="7" t="s">
        <v>23</v>
      </c>
      <c r="U6" s="7" t="s">
        <v>24</v>
      </c>
      <c r="V6" s="7" t="s">
        <v>25</v>
      </c>
      <c r="W6" s="7" t="s">
        <v>26</v>
      </c>
      <c r="X6" s="7" t="s">
        <v>27</v>
      </c>
      <c r="Y6" s="7" t="s">
        <v>28</v>
      </c>
      <c r="Z6" s="7" t="s">
        <v>29</v>
      </c>
      <c r="AA6" s="7" t="s">
        <v>30</v>
      </c>
      <c r="AB6" s="7" t="s">
        <v>31</v>
      </c>
      <c r="AC6" s="7" t="s">
        <v>32</v>
      </c>
      <c r="AD6" s="7" t="s">
        <v>33</v>
      </c>
      <c r="AE6" s="7" t="s">
        <v>34</v>
      </c>
      <c r="AF6" s="7" t="s">
        <v>35</v>
      </c>
      <c r="AG6" s="7" t="s">
        <v>36</v>
      </c>
      <c r="AH6" s="7" t="s">
        <v>37</v>
      </c>
      <c r="AI6" s="7" t="s">
        <v>38</v>
      </c>
      <c r="AJ6" s="7" t="s">
        <v>39</v>
      </c>
      <c r="AK6" s="7" t="s">
        <v>40</v>
      </c>
      <c r="AL6" s="7" t="s">
        <v>41</v>
      </c>
      <c r="AM6" s="7" t="s">
        <v>42</v>
      </c>
      <c r="AN6" s="7" t="s">
        <v>43</v>
      </c>
      <c r="AO6" s="7" t="s">
        <v>45</v>
      </c>
      <c r="AP6" s="7" t="s">
        <v>49</v>
      </c>
      <c r="AQ6" s="7" t="s">
        <v>131</v>
      </c>
      <c r="AR6" s="17" t="s">
        <v>56</v>
      </c>
      <c r="AT6" s="55" t="s">
        <v>64</v>
      </c>
    </row>
    <row r="7" spans="1:83" s="10" customFormat="1" ht="45" x14ac:dyDescent="0.25">
      <c r="A7" s="13" t="s">
        <v>151</v>
      </c>
      <c r="B7" s="12" t="s">
        <v>73</v>
      </c>
      <c r="C7" s="12" t="s">
        <v>91</v>
      </c>
      <c r="D7" s="15">
        <v>16632</v>
      </c>
      <c r="E7" s="15">
        <f>Tableau_Lancer_la_requête_à_partir_de_Excel_Files1025678[[#This Row],[Aide Massif]]+Tableau_Lancer_la_requête_à_partir_de_Excel_Files1025678[[#This Row],[''Autre Public'']]</f>
        <v>5821.2</v>
      </c>
      <c r="F7" s="16">
        <f>Tableau_Lancer_la_requête_à_partir_de_Excel_Files1025678[[#This Row],[Aide 
publique]]/Tableau_Lancer_la_requête_à_partir_de_Excel_Files1025678[[#This Row],[''Coût total éligible'']]</f>
        <v>0.35</v>
      </c>
      <c r="G7" s="15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5821.2</v>
      </c>
      <c r="H7" s="16">
        <f>Tableau_Lancer_la_requête_à_partir_de_Excel_Files1025678[[#This Row],[Aide Massif]]/Tableau_Lancer_la_requête_à_partir_de_Excel_Files1025678[[#This Row],[''Coût total éligible'']]</f>
        <v>0.35</v>
      </c>
      <c r="I7" s="15">
        <v>0</v>
      </c>
      <c r="J7" s="15">
        <f>Tableau_Lancer_la_requête_à_partir_de_Excel_Files1025678[[#This Row],[''FNADT '']]+Tableau_Lancer_la_requête_à_partir_de_Excel_Files1025678[[#This Row],[''Agriculture'']]</f>
        <v>5821.2</v>
      </c>
      <c r="K7" s="15"/>
      <c r="L7" s="15">
        <v>5821.2</v>
      </c>
      <c r="M7" s="15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7" s="15"/>
      <c r="O7" s="15"/>
      <c r="P7" s="15"/>
      <c r="Q7" s="15"/>
      <c r="R7" s="15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>
        <v>0</v>
      </c>
      <c r="AP7" s="11" t="s">
        <v>150</v>
      </c>
      <c r="AQ7" s="53"/>
      <c r="AR7" s="11" t="s">
        <v>149</v>
      </c>
      <c r="AT7" s="47"/>
    </row>
    <row r="8" spans="1:83" s="10" customFormat="1" ht="45" x14ac:dyDescent="0.25">
      <c r="A8" s="6" t="s">
        <v>152</v>
      </c>
      <c r="B8" s="5" t="s">
        <v>92</v>
      </c>
      <c r="C8" s="5" t="s">
        <v>91</v>
      </c>
      <c r="D8" s="8">
        <v>26222.49</v>
      </c>
      <c r="E8" s="8">
        <f>Tableau_Lancer_la_requête_à_partir_de_Excel_Files1025678[[#This Row],[Aide Massif]]+Tableau_Lancer_la_requête_à_partir_de_Excel_Files1025678[[#This Row],[''Autre Public'']]</f>
        <v>9177.8700000000008</v>
      </c>
      <c r="F8" s="9">
        <f>Tableau_Lancer_la_requête_à_partir_de_Excel_Files1025678[[#This Row],[Aide 
publique]]/Tableau_Lancer_la_requête_à_partir_de_Excel_Files1025678[[#This Row],[''Coût total éligible'']]</f>
        <v>0.34999994279719432</v>
      </c>
      <c r="G8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9177.8700000000008</v>
      </c>
      <c r="H8" s="9">
        <f>Tableau_Lancer_la_requête_à_partir_de_Excel_Files1025678[[#This Row],[Aide Massif]]/Tableau_Lancer_la_requête_à_partir_de_Excel_Files1025678[[#This Row],[''Coût total éligible'']]</f>
        <v>0.34999994279719432</v>
      </c>
      <c r="I8" s="8">
        <v>0</v>
      </c>
      <c r="J8" s="8">
        <f>Tableau_Lancer_la_requête_à_partir_de_Excel_Files1025678[[#This Row],[''FNADT '']]+Tableau_Lancer_la_requête_à_partir_de_Excel_Files1025678[[#This Row],[''Agriculture'']]</f>
        <v>9177.8700000000008</v>
      </c>
      <c r="K8" s="8"/>
      <c r="L8" s="8">
        <v>9177.8700000000008</v>
      </c>
      <c r="M8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8" s="8"/>
      <c r="O8" s="8"/>
      <c r="P8" s="8"/>
      <c r="Q8" s="8"/>
      <c r="R8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>
        <v>0</v>
      </c>
      <c r="AP8" s="10" t="s">
        <v>150</v>
      </c>
      <c r="AQ8" s="53"/>
      <c r="AR8" s="10" t="s">
        <v>149</v>
      </c>
      <c r="AT8" s="80"/>
    </row>
    <row r="9" spans="1:83" s="10" customFormat="1" ht="45" x14ac:dyDescent="0.25">
      <c r="A9" s="6" t="s">
        <v>153</v>
      </c>
      <c r="B9" s="5" t="s">
        <v>93</v>
      </c>
      <c r="C9" s="5" t="s">
        <v>91</v>
      </c>
      <c r="D9" s="8">
        <v>4751.9399999999996</v>
      </c>
      <c r="E9" s="8">
        <f>Tableau_Lancer_la_requête_à_partir_de_Excel_Files1025678[[#This Row],[Aide Massif]]+Tableau_Lancer_la_requête_à_partir_de_Excel_Files1025678[[#This Row],[''Autre Public'']]</f>
        <v>1663.18</v>
      </c>
      <c r="F9" s="9">
        <f>Tableau_Lancer_la_requête_à_partir_de_Excel_Files1025678[[#This Row],[Aide 
publique]]/Tableau_Lancer_la_requête_à_partir_de_Excel_Files1025678[[#This Row],[''Coût total éligible'']]</f>
        <v>0.35000021044036755</v>
      </c>
      <c r="G9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1663.18</v>
      </c>
      <c r="H9" s="9">
        <f>Tableau_Lancer_la_requête_à_partir_de_Excel_Files1025678[[#This Row],[Aide Massif]]/Tableau_Lancer_la_requête_à_partir_de_Excel_Files1025678[[#This Row],[''Coût total éligible'']]</f>
        <v>0.35000021044036755</v>
      </c>
      <c r="I9" s="8">
        <v>0</v>
      </c>
      <c r="J9" s="8">
        <f>Tableau_Lancer_la_requête_à_partir_de_Excel_Files1025678[[#This Row],[''FNADT '']]+Tableau_Lancer_la_requête_à_partir_de_Excel_Files1025678[[#This Row],[''Agriculture'']]</f>
        <v>1663.18</v>
      </c>
      <c r="K9" s="8"/>
      <c r="L9" s="8">
        <v>1663.18</v>
      </c>
      <c r="M9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9" s="8"/>
      <c r="O9" s="8"/>
      <c r="P9" s="8"/>
      <c r="Q9" s="8"/>
      <c r="R9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>
        <v>0</v>
      </c>
      <c r="AP9" s="10" t="s">
        <v>150</v>
      </c>
      <c r="AQ9" s="53"/>
      <c r="AR9" s="10" t="s">
        <v>149</v>
      </c>
      <c r="AS9" s="3"/>
      <c r="AT9" s="47"/>
    </row>
    <row r="10" spans="1:83" s="10" customFormat="1" ht="45" x14ac:dyDescent="0.25">
      <c r="A10" s="6" t="s">
        <v>154</v>
      </c>
      <c r="B10" s="5" t="s">
        <v>94</v>
      </c>
      <c r="C10" s="5" t="s">
        <v>91</v>
      </c>
      <c r="D10" s="8">
        <v>82488.460000000006</v>
      </c>
      <c r="E10" s="8">
        <f>Tableau_Lancer_la_requête_à_partir_de_Excel_Files1025678[[#This Row],[Aide Massif]]+Tableau_Lancer_la_requête_à_partir_de_Excel_Files1025678[[#This Row],[''Autre Public'']]</f>
        <v>28870.959999999999</v>
      </c>
      <c r="F10" s="9">
        <f>Tableau_Lancer_la_requête_à_partir_de_Excel_Files1025678[[#This Row],[Aide 
publique]]/Tableau_Lancer_la_requête_à_partir_de_Excel_Files1025678[[#This Row],[''Coût total éligible'']]</f>
        <v>0.34999998787709208</v>
      </c>
      <c r="G10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28870.959999999999</v>
      </c>
      <c r="H10" s="9">
        <f>Tableau_Lancer_la_requête_à_partir_de_Excel_Files1025678[[#This Row],[Aide Massif]]/Tableau_Lancer_la_requête_à_partir_de_Excel_Files1025678[[#This Row],[''Coût total éligible'']]</f>
        <v>0.34999998787709208</v>
      </c>
      <c r="I10" s="8">
        <v>0</v>
      </c>
      <c r="J10" s="8">
        <f>Tableau_Lancer_la_requête_à_partir_de_Excel_Files1025678[[#This Row],[''FNADT '']]+Tableau_Lancer_la_requête_à_partir_de_Excel_Files1025678[[#This Row],[''Agriculture'']]</f>
        <v>28870.959999999999</v>
      </c>
      <c r="K10" s="8"/>
      <c r="L10" s="8">
        <v>28870.959999999999</v>
      </c>
      <c r="M10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10" s="8"/>
      <c r="O10" s="8"/>
      <c r="P10" s="8"/>
      <c r="Q10" s="8"/>
      <c r="R10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>
        <v>0</v>
      </c>
      <c r="AP10" s="10" t="s">
        <v>150</v>
      </c>
      <c r="AQ10" s="53"/>
      <c r="AR10" s="10" t="s">
        <v>149</v>
      </c>
      <c r="AS10" s="3"/>
      <c r="AT10" s="80"/>
    </row>
    <row r="11" spans="1:83" s="10" customFormat="1" ht="45" x14ac:dyDescent="0.25">
      <c r="A11" s="6" t="s">
        <v>155</v>
      </c>
      <c r="B11" s="5" t="s">
        <v>85</v>
      </c>
      <c r="C11" s="5" t="s">
        <v>91</v>
      </c>
      <c r="D11" s="8">
        <v>20964.62</v>
      </c>
      <c r="E11" s="8">
        <f>Tableau_Lancer_la_requête_à_partir_de_Excel_Files1025678[[#This Row],[Aide Massif]]+Tableau_Lancer_la_requête_à_partir_de_Excel_Files1025678[[#This Row],[''Autre Public'']]</f>
        <v>7337.62</v>
      </c>
      <c r="F11" s="9">
        <f>Tableau_Lancer_la_requête_à_partir_de_Excel_Files1025678[[#This Row],[Aide 
publique]]/Tableau_Lancer_la_requête_à_partir_de_Excel_Files1025678[[#This Row],[''Coût total éligible'']]</f>
        <v>0.3500001430982293</v>
      </c>
      <c r="G11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7337.62</v>
      </c>
      <c r="H11" s="9">
        <f>Tableau_Lancer_la_requête_à_partir_de_Excel_Files1025678[[#This Row],[Aide Massif]]/Tableau_Lancer_la_requête_à_partir_de_Excel_Files1025678[[#This Row],[''Coût total éligible'']]</f>
        <v>0.3500001430982293</v>
      </c>
      <c r="I11" s="8">
        <v>0</v>
      </c>
      <c r="J11" s="8">
        <f>Tableau_Lancer_la_requête_à_partir_de_Excel_Files1025678[[#This Row],[''FNADT '']]+Tableau_Lancer_la_requête_à_partir_de_Excel_Files1025678[[#This Row],[''Agriculture'']]</f>
        <v>7337.62</v>
      </c>
      <c r="K11" s="8"/>
      <c r="L11" s="8">
        <v>7337.62</v>
      </c>
      <c r="M11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11" s="8"/>
      <c r="O11" s="8"/>
      <c r="P11" s="8"/>
      <c r="Q11" s="8"/>
      <c r="R11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>
        <v>0</v>
      </c>
      <c r="AP11" s="10" t="s">
        <v>150</v>
      </c>
      <c r="AQ11" s="53"/>
      <c r="AR11" s="10" t="s">
        <v>149</v>
      </c>
      <c r="AS11" s="3"/>
      <c r="AT11" s="47"/>
    </row>
    <row r="12" spans="1:83" ht="45" x14ac:dyDescent="0.25">
      <c r="A12" s="6" t="s">
        <v>156</v>
      </c>
      <c r="B12" s="5" t="s">
        <v>88</v>
      </c>
      <c r="C12" s="5" t="s">
        <v>91</v>
      </c>
      <c r="D12" s="8">
        <v>41985.39</v>
      </c>
      <c r="E12" s="8">
        <f>Tableau_Lancer_la_requête_à_partir_de_Excel_Files1025678[[#This Row],[Aide Massif]]+Tableau_Lancer_la_requête_à_partir_de_Excel_Files1025678[[#This Row],[''Autre Public'']]</f>
        <v>14694.89</v>
      </c>
      <c r="F12" s="9">
        <f>Tableau_Lancer_la_requête_à_partir_de_Excel_Files1025678[[#This Row],[Aide 
publique]]/Tableau_Lancer_la_requête_à_partir_de_Excel_Files1025678[[#This Row],[''Coût total éligible'']]</f>
        <v>0.35000008336233152</v>
      </c>
      <c r="G12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14694.89</v>
      </c>
      <c r="H12" s="9">
        <f>Tableau_Lancer_la_requête_à_partir_de_Excel_Files1025678[[#This Row],[Aide Massif]]/Tableau_Lancer_la_requête_à_partir_de_Excel_Files1025678[[#This Row],[''Coût total éligible'']]</f>
        <v>0.35000008336233152</v>
      </c>
      <c r="I12" s="8">
        <v>0</v>
      </c>
      <c r="J12" s="8">
        <f>Tableau_Lancer_la_requête_à_partir_de_Excel_Files1025678[[#This Row],[''FNADT '']]+Tableau_Lancer_la_requête_à_partir_de_Excel_Files1025678[[#This Row],[''Agriculture'']]</f>
        <v>14694.89</v>
      </c>
      <c r="K12" s="8"/>
      <c r="L12" s="8">
        <v>14694.89</v>
      </c>
      <c r="M12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12" s="8"/>
      <c r="O12" s="8"/>
      <c r="P12" s="8"/>
      <c r="Q12" s="8"/>
      <c r="R12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>
        <v>0</v>
      </c>
      <c r="AP12" s="10" t="s">
        <v>150</v>
      </c>
      <c r="AQ12" s="53"/>
      <c r="AR12" s="10" t="s">
        <v>149</v>
      </c>
      <c r="AT12" s="80"/>
      <c r="CB12" s="4"/>
      <c r="CE12" s="3"/>
    </row>
    <row r="13" spans="1:83" ht="45" x14ac:dyDescent="0.25">
      <c r="A13" s="6" t="s">
        <v>157</v>
      </c>
      <c r="B13" s="5" t="s">
        <v>95</v>
      </c>
      <c r="C13" s="5" t="s">
        <v>91</v>
      </c>
      <c r="D13" s="8">
        <v>35969.480000000003</v>
      </c>
      <c r="E13" s="8">
        <f>Tableau_Lancer_la_requête_à_partir_de_Excel_Files1025678[[#This Row],[Aide Massif]]+Tableau_Lancer_la_requête_à_partir_de_Excel_Files1025678[[#This Row],[''Autre Public'']]</f>
        <v>12589.32</v>
      </c>
      <c r="F13" s="9">
        <f>Tableau_Lancer_la_requête_à_partir_de_Excel_Files1025678[[#This Row],[Aide 
publique]]/Tableau_Lancer_la_requête_à_partir_de_Excel_Files1025678[[#This Row],[''Coût total éligible'']]</f>
        <v>0.35000005560269426</v>
      </c>
      <c r="G13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12589.32</v>
      </c>
      <c r="H13" s="9">
        <f>Tableau_Lancer_la_requête_à_partir_de_Excel_Files1025678[[#This Row],[Aide Massif]]/Tableau_Lancer_la_requête_à_partir_de_Excel_Files1025678[[#This Row],[''Coût total éligible'']]</f>
        <v>0.35000005560269426</v>
      </c>
      <c r="I13" s="8">
        <v>0</v>
      </c>
      <c r="J13" s="8">
        <f>Tableau_Lancer_la_requête_à_partir_de_Excel_Files1025678[[#This Row],[''FNADT '']]+Tableau_Lancer_la_requête_à_partir_de_Excel_Files1025678[[#This Row],[''Agriculture'']]</f>
        <v>12589.32</v>
      </c>
      <c r="K13" s="8"/>
      <c r="L13" s="8">
        <v>12589.32</v>
      </c>
      <c r="M13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13" s="8"/>
      <c r="O13" s="8"/>
      <c r="P13" s="8"/>
      <c r="Q13" s="8"/>
      <c r="R13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>
        <v>0</v>
      </c>
      <c r="AP13" s="10" t="s">
        <v>150</v>
      </c>
      <c r="AQ13" s="53"/>
      <c r="AR13" s="10" t="s">
        <v>149</v>
      </c>
      <c r="AT13" s="47"/>
      <c r="CB13" s="4"/>
      <c r="CE13" s="3"/>
    </row>
    <row r="14" spans="1:83" ht="45" x14ac:dyDescent="0.25">
      <c r="A14" s="6" t="s">
        <v>185</v>
      </c>
      <c r="B14" s="5" t="s">
        <v>96</v>
      </c>
      <c r="C14" s="5" t="s">
        <v>91</v>
      </c>
      <c r="D14" s="8">
        <v>20745.47</v>
      </c>
      <c r="E14" s="8">
        <f>Tableau_Lancer_la_requête_à_partir_de_Excel_Files1025678[[#This Row],[Aide Massif]]+Tableau_Lancer_la_requête_à_partir_de_Excel_Files1025678[[#This Row],[''Autre Public'']]</f>
        <v>7260.91</v>
      </c>
      <c r="F14" s="9">
        <f>Tableau_Lancer_la_requête_à_partir_de_Excel_Files1025678[[#This Row],[Aide 
publique]]/Tableau_Lancer_la_requête_à_partir_de_Excel_Files1025678[[#This Row],[''Coût total éligible'']]</f>
        <v>0.34999978308517471</v>
      </c>
      <c r="G14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7260.91</v>
      </c>
      <c r="H14" s="9">
        <f>Tableau_Lancer_la_requête_à_partir_de_Excel_Files1025678[[#This Row],[Aide Massif]]/Tableau_Lancer_la_requête_à_partir_de_Excel_Files1025678[[#This Row],[''Coût total éligible'']]</f>
        <v>0.34999978308517471</v>
      </c>
      <c r="I14" s="8">
        <v>0</v>
      </c>
      <c r="J14" s="8">
        <f>Tableau_Lancer_la_requête_à_partir_de_Excel_Files1025678[[#This Row],[''FNADT '']]+Tableau_Lancer_la_requête_à_partir_de_Excel_Files1025678[[#This Row],[''Agriculture'']]</f>
        <v>7260.91</v>
      </c>
      <c r="K14" s="8"/>
      <c r="L14" s="8">
        <v>7260.91</v>
      </c>
      <c r="M14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14" s="8"/>
      <c r="O14" s="8"/>
      <c r="P14" s="8"/>
      <c r="Q14" s="8"/>
      <c r="R14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>
        <v>0</v>
      </c>
      <c r="AP14" s="10" t="s">
        <v>150</v>
      </c>
      <c r="AQ14" s="53"/>
      <c r="AR14" s="10" t="s">
        <v>149</v>
      </c>
      <c r="AT14" s="80"/>
      <c r="CB14" s="4"/>
      <c r="CE14" s="3"/>
    </row>
    <row r="15" spans="1:83" ht="45" x14ac:dyDescent="0.25">
      <c r="A15" s="6" t="s">
        <v>186</v>
      </c>
      <c r="B15" s="5" t="s">
        <v>97</v>
      </c>
      <c r="C15" s="5" t="s">
        <v>91</v>
      </c>
      <c r="D15" s="8">
        <v>28998.7</v>
      </c>
      <c r="E15" s="8">
        <f>Tableau_Lancer_la_requête_à_partir_de_Excel_Files1025678[[#This Row],[Aide Massif]]+Tableau_Lancer_la_requête_à_partir_de_Excel_Files1025678[[#This Row],[''Autre Public'']]</f>
        <v>10149.549999999999</v>
      </c>
      <c r="F15" s="9">
        <f>Tableau_Lancer_la_requête_à_partir_de_Excel_Files1025678[[#This Row],[Aide 
publique]]/Tableau_Lancer_la_requête_à_partir_de_Excel_Files1025678[[#This Row],[''Coût total éligible'']]</f>
        <v>0.35000017242152232</v>
      </c>
      <c r="G15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10149.549999999999</v>
      </c>
      <c r="H15" s="9">
        <f>Tableau_Lancer_la_requête_à_partir_de_Excel_Files1025678[[#This Row],[Aide Massif]]/Tableau_Lancer_la_requête_à_partir_de_Excel_Files1025678[[#This Row],[''Coût total éligible'']]</f>
        <v>0.35000017242152232</v>
      </c>
      <c r="I15" s="8">
        <v>0</v>
      </c>
      <c r="J15" s="8">
        <f>Tableau_Lancer_la_requête_à_partir_de_Excel_Files1025678[[#This Row],[''FNADT '']]+Tableau_Lancer_la_requête_à_partir_de_Excel_Files1025678[[#This Row],[''Agriculture'']]</f>
        <v>10149.549999999999</v>
      </c>
      <c r="K15" s="8"/>
      <c r="L15" s="8">
        <v>10149.549999999999</v>
      </c>
      <c r="M15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15" s="8"/>
      <c r="O15" s="8"/>
      <c r="P15" s="8"/>
      <c r="Q15" s="8"/>
      <c r="R15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>
        <v>0</v>
      </c>
      <c r="AP15" s="10" t="s">
        <v>150</v>
      </c>
      <c r="AQ15" s="53"/>
      <c r="AR15" s="10" t="s">
        <v>149</v>
      </c>
      <c r="AT15" s="47"/>
      <c r="CB15" s="4"/>
      <c r="CE15" s="3"/>
    </row>
    <row r="16" spans="1:83" ht="45" x14ac:dyDescent="0.25">
      <c r="A16" s="6" t="s">
        <v>158</v>
      </c>
      <c r="B16" s="5" t="s">
        <v>98</v>
      </c>
      <c r="C16" s="5" t="s">
        <v>91</v>
      </c>
      <c r="D16" s="8">
        <v>16819.61</v>
      </c>
      <c r="E16" s="8">
        <f>Tableau_Lancer_la_requête_à_partir_de_Excel_Files1025678[[#This Row],[Aide Massif]]+Tableau_Lancer_la_requête_à_partir_de_Excel_Files1025678[[#This Row],[''Autre Public'']]</f>
        <v>5886.86</v>
      </c>
      <c r="F16" s="9">
        <f>Tableau_Lancer_la_requête_à_partir_de_Excel_Files1025678[[#This Row],[Aide 
publique]]/Tableau_Lancer_la_requête_à_partir_de_Excel_Files1025678[[#This Row],[''Coût total éligible'']]</f>
        <v>0.34999979190956265</v>
      </c>
      <c r="G16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5886.86</v>
      </c>
      <c r="H16" s="9">
        <f>Tableau_Lancer_la_requête_à_partir_de_Excel_Files1025678[[#This Row],[Aide Massif]]/Tableau_Lancer_la_requête_à_partir_de_Excel_Files1025678[[#This Row],[''Coût total éligible'']]</f>
        <v>0.34999979190956265</v>
      </c>
      <c r="I16" s="8">
        <v>0</v>
      </c>
      <c r="J16" s="8">
        <f>Tableau_Lancer_la_requête_à_partir_de_Excel_Files1025678[[#This Row],[''FNADT '']]+Tableau_Lancer_la_requête_à_partir_de_Excel_Files1025678[[#This Row],[''Agriculture'']]</f>
        <v>5886.86</v>
      </c>
      <c r="K16" s="8"/>
      <c r="L16" s="8">
        <v>5886.86</v>
      </c>
      <c r="M16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16" s="8"/>
      <c r="O16" s="8"/>
      <c r="P16" s="8"/>
      <c r="Q16" s="8"/>
      <c r="R16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>
        <v>0</v>
      </c>
      <c r="AP16" s="10" t="s">
        <v>150</v>
      </c>
      <c r="AQ16" s="53"/>
      <c r="AR16" s="10" t="s">
        <v>149</v>
      </c>
      <c r="AT16" s="80"/>
      <c r="CB16" s="4"/>
      <c r="CE16" s="3"/>
    </row>
    <row r="17" spans="1:83" s="7" customFormat="1" ht="45" x14ac:dyDescent="0.25">
      <c r="A17" s="6" t="s">
        <v>187</v>
      </c>
      <c r="B17" s="5" t="s">
        <v>188</v>
      </c>
      <c r="C17" s="5" t="s">
        <v>91</v>
      </c>
      <c r="D17" s="8">
        <v>29178.61</v>
      </c>
      <c r="E17" s="8">
        <f>Tableau_Lancer_la_requête_à_partir_de_Excel_Files1025678[[#This Row],[Aide Massif]]+Tableau_Lancer_la_requête_à_partir_de_Excel_Files1025678[[#This Row],[''Autre Public'']]</f>
        <v>10212.51</v>
      </c>
      <c r="F17" s="9">
        <f>Tableau_Lancer_la_requête_à_partir_de_Excel_Files1025678[[#This Row],[Aide 
publique]]/Tableau_Lancer_la_requête_à_partir_de_Excel_Files1025678[[#This Row],[''Coût total éligible'']]</f>
        <v>0.34999988004911819</v>
      </c>
      <c r="G17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10212.51</v>
      </c>
      <c r="H17" s="9">
        <f>Tableau_Lancer_la_requête_à_partir_de_Excel_Files1025678[[#This Row],[Aide Massif]]/Tableau_Lancer_la_requête_à_partir_de_Excel_Files1025678[[#This Row],[''Coût total éligible'']]</f>
        <v>0.34999988004911819</v>
      </c>
      <c r="I17" s="8">
        <v>0</v>
      </c>
      <c r="J17" s="8">
        <f>Tableau_Lancer_la_requête_à_partir_de_Excel_Files1025678[[#This Row],[''FNADT '']]+Tableau_Lancer_la_requête_à_partir_de_Excel_Files1025678[[#This Row],[''Agriculture'']]</f>
        <v>10212.51</v>
      </c>
      <c r="K17" s="8"/>
      <c r="L17" s="8">
        <v>10212.51</v>
      </c>
      <c r="M17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17" s="8"/>
      <c r="O17" s="8"/>
      <c r="P17" s="8"/>
      <c r="Q17" s="8"/>
      <c r="R17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>
        <v>0</v>
      </c>
      <c r="AP17" s="10" t="s">
        <v>150</v>
      </c>
      <c r="AQ17" s="53"/>
      <c r="AR17" s="10" t="s">
        <v>149</v>
      </c>
      <c r="AS17" s="3"/>
      <c r="AT17" s="47"/>
    </row>
    <row r="18" spans="1:83" s="10" customFormat="1" ht="45" x14ac:dyDescent="0.25">
      <c r="A18" s="6" t="s">
        <v>159</v>
      </c>
      <c r="B18" s="5" t="s">
        <v>99</v>
      </c>
      <c r="C18" s="5" t="s">
        <v>91</v>
      </c>
      <c r="D18" s="8">
        <v>26776.71</v>
      </c>
      <c r="E18" s="8">
        <f>Tableau_Lancer_la_requête_à_partir_de_Excel_Files1025678[[#This Row],[Aide Massif]]+Tableau_Lancer_la_requête_à_partir_de_Excel_Files1025678[[#This Row],[''Autre Public'']]</f>
        <v>9371.85</v>
      </c>
      <c r="F18" s="9">
        <f>Tableau_Lancer_la_requête_à_partir_de_Excel_Files1025678[[#This Row],[Aide 
publique]]/Tableau_Lancer_la_requête_à_partir_de_Excel_Files1025678[[#This Row],[''Coût total éligible'']]</f>
        <v>0.35000005601883133</v>
      </c>
      <c r="G18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9371.85</v>
      </c>
      <c r="H18" s="9">
        <f>Tableau_Lancer_la_requête_à_partir_de_Excel_Files1025678[[#This Row],[Aide Massif]]/Tableau_Lancer_la_requête_à_partir_de_Excel_Files1025678[[#This Row],[''Coût total éligible'']]</f>
        <v>0.35000005601883133</v>
      </c>
      <c r="I18" s="8">
        <v>0</v>
      </c>
      <c r="J18" s="8">
        <f>Tableau_Lancer_la_requête_à_partir_de_Excel_Files1025678[[#This Row],[''FNADT '']]+Tableau_Lancer_la_requête_à_partir_de_Excel_Files1025678[[#This Row],[''Agriculture'']]</f>
        <v>9371.85</v>
      </c>
      <c r="K18" s="8"/>
      <c r="L18" s="8">
        <v>9371.85</v>
      </c>
      <c r="M18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18" s="8"/>
      <c r="O18" s="8"/>
      <c r="P18" s="8"/>
      <c r="Q18" s="8"/>
      <c r="R18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>
        <v>0</v>
      </c>
      <c r="AP18" s="10" t="s">
        <v>150</v>
      </c>
      <c r="AQ18" s="53"/>
      <c r="AR18" s="10" t="s">
        <v>149</v>
      </c>
      <c r="AS18" s="3"/>
      <c r="AT18" s="80"/>
    </row>
    <row r="19" spans="1:83" ht="45.75" thickBot="1" x14ac:dyDescent="0.3">
      <c r="A19" s="6" t="s">
        <v>160</v>
      </c>
      <c r="B19" s="5" t="s">
        <v>100</v>
      </c>
      <c r="C19" s="5" t="s">
        <v>91</v>
      </c>
      <c r="D19" s="8">
        <v>8935.0499999999993</v>
      </c>
      <c r="E19" s="8">
        <f>Tableau_Lancer_la_requête_à_partir_de_Excel_Files1025678[[#This Row],[Aide Massif]]+Tableau_Lancer_la_requête_à_partir_de_Excel_Files1025678[[#This Row],[''Autre Public'']]</f>
        <v>3127.27</v>
      </c>
      <c r="F19" s="9">
        <f>Tableau_Lancer_la_requête_à_partir_de_Excel_Files1025678[[#This Row],[Aide 
publique]]/Tableau_Lancer_la_requête_à_partir_de_Excel_Files1025678[[#This Row],[''Coût total éligible'']]</f>
        <v>0.35000027979697934</v>
      </c>
      <c r="G19" s="8">
        <f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f>
        <v>3127.27</v>
      </c>
      <c r="H19" s="9">
        <f>Tableau_Lancer_la_requête_à_partir_de_Excel_Files1025678[[#This Row],[Aide Massif]]/Tableau_Lancer_la_requête_à_partir_de_Excel_Files1025678[[#This Row],[''Coût total éligible'']]</f>
        <v>0.35000027979697934</v>
      </c>
      <c r="I19" s="8">
        <v>0</v>
      </c>
      <c r="J19" s="8">
        <f>Tableau_Lancer_la_requête_à_partir_de_Excel_Files1025678[[#This Row],[''FNADT '']]+Tableau_Lancer_la_requête_à_partir_de_Excel_Files1025678[[#This Row],[''Agriculture'']]</f>
        <v>3127.27</v>
      </c>
      <c r="K19" s="8"/>
      <c r="L19" s="8">
        <v>3127.27</v>
      </c>
      <c r="M19" s="8">
        <f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f>
        <v>0</v>
      </c>
      <c r="N19" s="8"/>
      <c r="O19" s="8"/>
      <c r="P19" s="8"/>
      <c r="Q19" s="8"/>
      <c r="R19" s="8">
        <f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f>
        <v>0</v>
      </c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>
        <v>0</v>
      </c>
      <c r="AP19" s="10" t="s">
        <v>150</v>
      </c>
      <c r="AQ19" s="53"/>
      <c r="AR19" s="10" t="s">
        <v>149</v>
      </c>
      <c r="AT19" s="47"/>
      <c r="CD19" s="4"/>
      <c r="CE19" s="3"/>
    </row>
    <row r="20" spans="1:83" ht="15.75" thickTop="1" x14ac:dyDescent="0.25">
      <c r="A20" s="172" t="s">
        <v>8</v>
      </c>
      <c r="B20" s="173">
        <f>SUBTOTAL(103,Tableau_Lancer_la_requête_à_partir_de_Excel_Files1025678[Nom_MO])</f>
        <v>13</v>
      </c>
      <c r="C20" s="173"/>
      <c r="D20" s="174">
        <f>SUBTOTAL(109,Tableau_Lancer_la_requête_à_partir_de_Excel_Files1025678[''Coût total éligible''])</f>
        <v>360468.53</v>
      </c>
      <c r="E20" s="174">
        <f>SUBTOTAL(109,Tableau_Lancer_la_requête_à_partir_de_Excel_Files1025678[Aide 
publique])</f>
        <v>126163.99000000002</v>
      </c>
      <c r="F20" s="175"/>
      <c r="G20" s="174">
        <f>SUBTOTAL(109,Tableau_Lancer_la_requête_à_partir_de_Excel_Files1025678[Aide Massif])</f>
        <v>126163.99000000002</v>
      </c>
      <c r="H20" s="175"/>
      <c r="I20" s="174">
        <f>SUBTOTAL(109,Tableau_Lancer_la_requête_à_partir_de_Excel_Files1025678[''FEDER''])</f>
        <v>0</v>
      </c>
      <c r="J20" s="174">
        <f>SUBTOTAL(109,Tableau_Lancer_la_requête_à_partir_de_Excel_Files1025678[Total Etat])</f>
        <v>126163.99000000002</v>
      </c>
      <c r="K20" s="172"/>
      <c r="L20" s="174">
        <f>SUBTOTAL(109,Tableau_Lancer_la_requête_à_partir_de_Excel_Files1025678[''Agriculture''])</f>
        <v>126163.99000000002</v>
      </c>
      <c r="M20" s="174">
        <f>SUBTOTAL(109,Tableau_Lancer_la_requête_à_partir_de_Excel_Files1025678[Total Régions])</f>
        <v>0</v>
      </c>
      <c r="N20" s="174">
        <f>SUBTOTAL(109,Tableau_Lancer_la_requête_à_partir_de_Excel_Files1025678[''ALPC''])</f>
        <v>0</v>
      </c>
      <c r="O20" s="174">
        <f>SUBTOTAL(109,Tableau_Lancer_la_requête_à_partir_de_Excel_Files1025678[''AURA''])</f>
        <v>0</v>
      </c>
      <c r="P20" s="174">
        <f>SUBTOTAL(109,Tableau_Lancer_la_requête_à_partir_de_Excel_Files1025678[''BFC''])</f>
        <v>0</v>
      </c>
      <c r="Q20" s="174">
        <f>SUBTOTAL(109,Tableau_Lancer_la_requête_à_partir_de_Excel_Files1025678[''LRMP''])</f>
        <v>0</v>
      </c>
      <c r="R20" s="174">
        <f>SUBTOTAL(109,Tableau_Lancer_la_requête_à_partir_de_Excel_Files1025678[Total Dpts])</f>
        <v>0</v>
      </c>
      <c r="S20" s="174">
        <f>SUBTOTAL(109,Tableau_Lancer_la_requête_à_partir_de_Excel_Files1025678[''03''])</f>
        <v>0</v>
      </c>
      <c r="T20" s="174">
        <f>SUBTOTAL(109,Tableau_Lancer_la_requête_à_partir_de_Excel_Files1025678[''07''])</f>
        <v>0</v>
      </c>
      <c r="U20" s="174">
        <f>SUBTOTAL(109,Tableau_Lancer_la_requête_à_partir_de_Excel_Files1025678[''11''])</f>
        <v>0</v>
      </c>
      <c r="V20" s="174">
        <f>SUBTOTAL(109,Tableau_Lancer_la_requête_à_partir_de_Excel_Files1025678[''12''])</f>
        <v>0</v>
      </c>
      <c r="W20" s="174">
        <f>SUBTOTAL(109,Tableau_Lancer_la_requête_à_partir_de_Excel_Files1025678[''15''])</f>
        <v>0</v>
      </c>
      <c r="X20" s="174">
        <f>SUBTOTAL(109,Tableau_Lancer_la_requête_à_partir_de_Excel_Files1025678[''19''])</f>
        <v>0</v>
      </c>
      <c r="Y20" s="174">
        <f>SUBTOTAL(109,Tableau_Lancer_la_requête_à_partir_de_Excel_Files1025678[''21''])</f>
        <v>0</v>
      </c>
      <c r="Z20" s="174">
        <f>SUBTOTAL(109,Tableau_Lancer_la_requête_à_partir_de_Excel_Files1025678[''23''])</f>
        <v>0</v>
      </c>
      <c r="AA20" s="174">
        <f>SUBTOTAL(109,Tableau_Lancer_la_requête_à_partir_de_Excel_Files1025678[''30''])</f>
        <v>0</v>
      </c>
      <c r="AB20" s="174">
        <f>SUBTOTAL(109,Tableau_Lancer_la_requête_à_partir_de_Excel_Files1025678[''34''])</f>
        <v>0</v>
      </c>
      <c r="AC20" s="174">
        <f>SUBTOTAL(109,Tableau_Lancer_la_requête_à_partir_de_Excel_Files1025678[''42''])</f>
        <v>0</v>
      </c>
      <c r="AD20" s="174">
        <f>SUBTOTAL(109,Tableau_Lancer_la_requête_à_partir_de_Excel_Files1025678[''43''])</f>
        <v>0</v>
      </c>
      <c r="AE20" s="174">
        <f>SUBTOTAL(109,Tableau_Lancer_la_requête_à_partir_de_Excel_Files1025678[''46''])</f>
        <v>0</v>
      </c>
      <c r="AF20" s="174">
        <f>SUBTOTAL(109,Tableau_Lancer_la_requête_à_partir_de_Excel_Files1025678[''48''])</f>
        <v>0</v>
      </c>
      <c r="AG20" s="174">
        <f>SUBTOTAL(109,Tableau_Lancer_la_requête_à_partir_de_Excel_Files1025678[''58''])</f>
        <v>0</v>
      </c>
      <c r="AH20" s="174">
        <f>SUBTOTAL(109,Tableau_Lancer_la_requête_à_partir_de_Excel_Files1025678[''63''])</f>
        <v>0</v>
      </c>
      <c r="AI20" s="174">
        <f>SUBTOTAL(109,Tableau_Lancer_la_requête_à_partir_de_Excel_Files1025678[''69''])</f>
        <v>0</v>
      </c>
      <c r="AJ20" s="174">
        <f>SUBTOTAL(109,Tableau_Lancer_la_requête_à_partir_de_Excel_Files1025678[''71''])</f>
        <v>0</v>
      </c>
      <c r="AK20" s="174">
        <f>SUBTOTAL(109,Tableau_Lancer_la_requête_à_partir_de_Excel_Files1025678[''81''])</f>
        <v>0</v>
      </c>
      <c r="AL20" s="174">
        <f>SUBTOTAL(109,Tableau_Lancer_la_requête_à_partir_de_Excel_Files1025678[''82''])</f>
        <v>0</v>
      </c>
      <c r="AM20" s="174">
        <f>SUBTOTAL(109,Tableau_Lancer_la_requête_à_partir_de_Excel_Files1025678[''87''])</f>
        <v>0</v>
      </c>
      <c r="AN20" s="174">
        <f>SUBTOTAL(109,Tableau_Lancer_la_requête_à_partir_de_Excel_Files1025678[''89''])</f>
        <v>0</v>
      </c>
      <c r="AO20" s="174">
        <f>SUBTOTAL(109,Tableau_Lancer_la_requête_à_partir_de_Excel_Files1025678[''Autre Public''])</f>
        <v>0</v>
      </c>
      <c r="AP20" s="172"/>
      <c r="AQ20" s="172"/>
      <c r="AR20" s="176"/>
      <c r="AT20" s="28"/>
    </row>
    <row r="30" spans="1:83" hidden="1" x14ac:dyDescent="0.25">
      <c r="E30" s="3" t="s">
        <v>83</v>
      </c>
      <c r="F30" s="6" t="s">
        <v>84</v>
      </c>
    </row>
    <row r="31" spans="1:83" hidden="1" x14ac:dyDescent="0.25">
      <c r="D31" t="s">
        <v>57</v>
      </c>
      <c r="E31" s="3">
        <f>I31+J31</f>
        <v>0</v>
      </c>
      <c r="F31" s="3">
        <f>R31+AO31</f>
        <v>0</v>
      </c>
      <c r="I31" s="3">
        <f>SUMIF(Tableau_Lancer_la_requête_à_partir_de_Excel_Files1025678[Avis Prog],"1-Favorable",Tableau_Lancer_la_requête_à_partir_de_Excel_Files1025678[''FEDER''])</f>
        <v>0</v>
      </c>
      <c r="J31" s="3">
        <f>SUMIF(Tableau_Lancer_la_requête_à_partir_de_Excel_Files1025678[Avis Prog],"2-Favorable sous réserve",Tableau_Lancer_la_requête_à_partir_de_Excel_Files1025678[''FEDER''])</f>
        <v>0</v>
      </c>
      <c r="R31" s="3">
        <f>SUMIF(Tableau_Lancer_la_requête_à_partir_de_Excel_Files1025678[Avis Cofimac],"1-Favorable",Tableau_Lancer_la_requête_à_partir_de_Excel_Files1025678[''FEDER''])</f>
        <v>0</v>
      </c>
      <c r="AO31" s="3">
        <f>SUMIF(Tableau_Lancer_la_requête_à_partir_de_Excel_Files1025678[Avis Cofimac],"2-Favorable sous réserve",Tableau_Lancer_la_requête_à_partir_de_Excel_Files1025678[''FEDER''])</f>
        <v>0</v>
      </c>
    </row>
    <row r="32" spans="1:83" hidden="1" x14ac:dyDescent="0.25">
      <c r="D32" t="s">
        <v>46</v>
      </c>
      <c r="E32" s="3">
        <f t="shared" ref="E32:E60" si="0">I32+J32</f>
        <v>126163.99000000002</v>
      </c>
      <c r="F32" s="3">
        <f t="shared" ref="F32:F60" si="1">R32+AO32</f>
        <v>126163.99000000002</v>
      </c>
      <c r="I32" s="3">
        <f>SUMIF(Tableau_Lancer_la_requête_à_partir_de_Excel_Files1025678[Avis Prog],"1-Favorable",Tableau_Lancer_la_requête_à_partir_de_Excel_Files1025678[Total Etat])</f>
        <v>126163.99000000002</v>
      </c>
      <c r="J32" s="3">
        <f>SUMIF(Tableau_Lancer_la_requête_à_partir_de_Excel_Files1025678[Avis Prog],"2-Favorable sous réserve",Tableau_Lancer_la_requête_à_partir_de_Excel_Files1025678[Total Etat])</f>
        <v>0</v>
      </c>
      <c r="R32" s="3">
        <f>SUMIF(Tableau_Lancer_la_requête_à_partir_de_Excel_Files1025678[Avis Cofimac],"1-Favorable",Tableau_Lancer_la_requête_à_partir_de_Excel_Files1025678[Total Etat])</f>
        <v>0</v>
      </c>
      <c r="AO32" s="3">
        <f>SUMIF(Tableau_Lancer_la_requête_à_partir_de_Excel_Files1025678[Avis Cofimac],"2-Favorable sous réserve",Tableau_Lancer_la_requête_à_partir_de_Excel_Files1025678[Total Etat])</f>
        <v>126163.99000000002</v>
      </c>
    </row>
    <row r="33" spans="4:41" hidden="1" x14ac:dyDescent="0.25">
      <c r="D33" t="s">
        <v>47</v>
      </c>
      <c r="E33" s="3">
        <f t="shared" si="0"/>
        <v>0</v>
      </c>
      <c r="F33" s="3">
        <f t="shared" si="1"/>
        <v>0</v>
      </c>
      <c r="I33" s="3">
        <f>SUMIF(Tableau_Lancer_la_requête_à_partir_de_Excel_Files1025678[Avis Prog],"1-Favorable",Tableau_Lancer_la_requête_à_partir_de_Excel_Files1025678[Total Régions])</f>
        <v>0</v>
      </c>
      <c r="J33" s="3">
        <f>SUMIF(Tableau_Lancer_la_requête_à_partir_de_Excel_Files1025678[Avis Prog],"2-Favorable sous réserve",Tableau_Lancer_la_requête_à_partir_de_Excel_Files1025678[Total Régions])</f>
        <v>0</v>
      </c>
      <c r="R33" s="3">
        <f>SUMIF(Tableau_Lancer_la_requête_à_partir_de_Excel_Files1025678[Avis Cofimac],"1-Favorable",Tableau_Lancer_la_requête_à_partir_de_Excel_Files1025678[Total Régions])</f>
        <v>0</v>
      </c>
      <c r="AO33" s="3">
        <f>SUMIF(Tableau_Lancer_la_requête_à_partir_de_Excel_Files1025678[Avis Cofimac],"2-Favorable sous réserve",Tableau_Lancer_la_requête_à_partir_de_Excel_Files1025678[Total Régions])</f>
        <v>0</v>
      </c>
    </row>
    <row r="34" spans="4:41" hidden="1" x14ac:dyDescent="0.25">
      <c r="D34" s="3" t="s">
        <v>58</v>
      </c>
      <c r="E34" s="3">
        <f t="shared" si="0"/>
        <v>0</v>
      </c>
      <c r="F34" s="3">
        <f t="shared" si="1"/>
        <v>0</v>
      </c>
      <c r="I34" s="3">
        <f>SUMIF(Tableau_Lancer_la_requête_à_partir_de_Excel_Files1025678[Avis Prog],"1-Favorable",Tableau_Lancer_la_requête_à_partir_de_Excel_Files1025678[''ALPC''])</f>
        <v>0</v>
      </c>
      <c r="J34" s="3">
        <f>SUMIF(Tableau_Lancer_la_requête_à_partir_de_Excel_Files1025678[Avis Prog],"2-Favorable sous réserve",Tableau_Lancer_la_requête_à_partir_de_Excel_Files1025678[''ALPC''])</f>
        <v>0</v>
      </c>
      <c r="R34" s="3">
        <f>SUMIF(Tableau_Lancer_la_requête_à_partir_de_Excel_Files1025678[Avis Cofimac],"1-Favorable",Tableau_Lancer_la_requête_à_partir_de_Excel_Files1025678[''ALPC''])</f>
        <v>0</v>
      </c>
      <c r="AO34" s="3">
        <f>SUMIF(Tableau_Lancer_la_requête_à_partir_de_Excel_Files1025678[Avis Cofimac],"2-Favorable sous réserve",Tableau_Lancer_la_requête_à_partir_de_Excel_Files1025678[''ALPC''])</f>
        <v>0</v>
      </c>
    </row>
    <row r="35" spans="4:41" hidden="1" x14ac:dyDescent="0.25">
      <c r="D35" s="3" t="s">
        <v>59</v>
      </c>
      <c r="E35" s="3">
        <f t="shared" si="0"/>
        <v>0</v>
      </c>
      <c r="F35" s="3">
        <f t="shared" si="1"/>
        <v>0</v>
      </c>
      <c r="I35" s="3">
        <f>SUMIF(Tableau_Lancer_la_requête_à_partir_de_Excel_Files1025678[Avis Prog],"1-Favorable",Tableau_Lancer_la_requête_à_partir_de_Excel_Files1025678[''AURA''])</f>
        <v>0</v>
      </c>
      <c r="J35" s="3">
        <f>SUMIF(Tableau_Lancer_la_requête_à_partir_de_Excel_Files1025678[Avis Prog],"2-Favorable sous réserve",Tableau_Lancer_la_requête_à_partir_de_Excel_Files1025678[''AURA''])</f>
        <v>0</v>
      </c>
      <c r="R35" s="3">
        <f>SUMIF(Tableau_Lancer_la_requête_à_partir_de_Excel_Files1025678[Avis Cofimac],"1-Favorable",Tableau_Lancer_la_requête_à_partir_de_Excel_Files1025678[''AURA''])</f>
        <v>0</v>
      </c>
      <c r="AO35" s="3">
        <f>SUMIF(Tableau_Lancer_la_requête_à_partir_de_Excel_Files1025678[Avis Cofimac],"2-Favorable sous réserve",Tableau_Lancer_la_requête_à_partir_de_Excel_Files1025678[''AURA''])</f>
        <v>0</v>
      </c>
    </row>
    <row r="36" spans="4:41" hidden="1" x14ac:dyDescent="0.25">
      <c r="D36" s="3" t="s">
        <v>60</v>
      </c>
      <c r="E36" s="3">
        <f t="shared" si="0"/>
        <v>0</v>
      </c>
      <c r="F36" s="3">
        <f t="shared" si="1"/>
        <v>0</v>
      </c>
      <c r="I36" s="3">
        <f>SUMIF(Tableau_Lancer_la_requête_à_partir_de_Excel_Files1025678[Avis Prog],"1-Favorable",Tableau_Lancer_la_requête_à_partir_de_Excel_Files1025678[''BFC''])</f>
        <v>0</v>
      </c>
      <c r="J36" s="3">
        <f>SUMIF(Tableau_Lancer_la_requête_à_partir_de_Excel_Files1025678[Avis Prog],"2-Favorable sous réserve",Tableau_Lancer_la_requête_à_partir_de_Excel_Files1025678[''BFC''])</f>
        <v>0</v>
      </c>
      <c r="R36" s="3">
        <f>SUMIF(Tableau_Lancer_la_requête_à_partir_de_Excel_Files1025678[Avis Cofimac],"1-Favorable",Tableau_Lancer_la_requête_à_partir_de_Excel_Files1025678[''BFC''])</f>
        <v>0</v>
      </c>
      <c r="AO36" s="3">
        <f>SUMIF(Tableau_Lancer_la_requête_à_partir_de_Excel_Files1025678[Avis Cofimac],"2-Favorable sous réserve",Tableau_Lancer_la_requête_à_partir_de_Excel_Files1025678[''BFC''])</f>
        <v>0</v>
      </c>
    </row>
    <row r="37" spans="4:41" hidden="1" x14ac:dyDescent="0.25">
      <c r="D37" s="3" t="s">
        <v>61</v>
      </c>
      <c r="E37" s="3">
        <f t="shared" si="0"/>
        <v>0</v>
      </c>
      <c r="F37" s="3">
        <f t="shared" si="1"/>
        <v>0</v>
      </c>
      <c r="I37" s="3">
        <f>SUMIF(Tableau_Lancer_la_requête_à_partir_de_Excel_Files1025678[Avis Prog],"1-Favorable",Tableau_Lancer_la_requête_à_partir_de_Excel_Files1025678[''LRMP''])</f>
        <v>0</v>
      </c>
      <c r="J37" s="3">
        <f>SUMIF(Tableau_Lancer_la_requête_à_partir_de_Excel_Files1025678[Avis Prog],"2-Favorable sous réserve",Tableau_Lancer_la_requête_à_partir_de_Excel_Files1025678[''LRMP''])</f>
        <v>0</v>
      </c>
      <c r="R37" s="3">
        <f>SUMIF(Tableau_Lancer_la_requête_à_partir_de_Excel_Files1025678[Avis Cofimac],"1-Favorable",Tableau_Lancer_la_requête_à_partir_de_Excel_Files1025678[''LRMP''])</f>
        <v>0</v>
      </c>
      <c r="AO37" s="3">
        <f>SUMIF(Tableau_Lancer_la_requête_à_partir_de_Excel_Files1025678[Avis Cofimac],"2-Favorable sous réserve",Tableau_Lancer_la_requête_à_partir_de_Excel_Files1025678[''LRMP''])</f>
        <v>0</v>
      </c>
    </row>
    <row r="38" spans="4:41" hidden="1" x14ac:dyDescent="0.25">
      <c r="D38" t="s">
        <v>48</v>
      </c>
      <c r="E38" s="3">
        <f t="shared" si="0"/>
        <v>0</v>
      </c>
      <c r="F38" s="3">
        <f t="shared" si="1"/>
        <v>0</v>
      </c>
      <c r="I38" s="3">
        <f>SUMIF(Tableau_Lancer_la_requête_à_partir_de_Excel_Files1025678[Avis Prog],"1-Favorable",Tableau_Lancer_la_requête_à_partir_de_Excel_Files1025678[Total Dpts])</f>
        <v>0</v>
      </c>
      <c r="J38" s="3">
        <f>SUMIF(Tableau_Lancer_la_requête_à_partir_de_Excel_Files1025678[Avis Prog],"2-Favorable sous réserve",Tableau_Lancer_la_requête_à_partir_de_Excel_Files1025678[Total Dpts])</f>
        <v>0</v>
      </c>
      <c r="R38" s="3">
        <f>SUMIF(Tableau_Lancer_la_requête_à_partir_de_Excel_Files1025678[Avis Cofimac],"1-Favorable",Tableau_Lancer_la_requête_à_partir_de_Excel_Files1025678[Total Dpts])</f>
        <v>0</v>
      </c>
      <c r="AO38" s="3">
        <f>SUMIF(Tableau_Lancer_la_requête_à_partir_de_Excel_Files1025678[Avis Cofimac],"2-Favorable sous réserve",Tableau_Lancer_la_requête_à_partir_de_Excel_Files1025678[Total Dpts])</f>
        <v>0</v>
      </c>
    </row>
    <row r="39" spans="4:41" hidden="1" x14ac:dyDescent="0.25">
      <c r="D39" t="s">
        <v>22</v>
      </c>
      <c r="E39" s="3">
        <f t="shared" si="0"/>
        <v>0</v>
      </c>
      <c r="F39" s="3">
        <f t="shared" si="1"/>
        <v>0</v>
      </c>
      <c r="I39" s="3">
        <f>SUMIF(Tableau_Lancer_la_requête_à_partir_de_Excel_Files1025678[Avis Prog],"1-Favorable",Tableau_Lancer_la_requête_à_partir_de_Excel_Files1025678[''03''])</f>
        <v>0</v>
      </c>
      <c r="J39" s="3">
        <f>SUMIF(Tableau_Lancer_la_requête_à_partir_de_Excel_Files1025678[Avis Prog],"2-Favorable sous réserve",Tableau_Lancer_la_requête_à_partir_de_Excel_Files1025678[''03''])</f>
        <v>0</v>
      </c>
      <c r="R39" s="3">
        <f>SUMIF(Tableau_Lancer_la_requête_à_partir_de_Excel_Files1025678[Avis Cofimac],"1-Favorable",Tableau_Lancer_la_requête_à_partir_de_Excel_Files1025678[''03''])</f>
        <v>0</v>
      </c>
      <c r="AO39" s="3">
        <f>SUMIF(Tableau_Lancer_la_requête_à_partir_de_Excel_Files1025678[Avis Cofimac],"2-Favorable sous réserve",Tableau_Lancer_la_requête_à_partir_de_Excel_Files1025678[''03''])</f>
        <v>0</v>
      </c>
    </row>
    <row r="40" spans="4:41" hidden="1" x14ac:dyDescent="0.25">
      <c r="D40" t="s">
        <v>23</v>
      </c>
      <c r="E40" s="3">
        <f t="shared" si="0"/>
        <v>0</v>
      </c>
      <c r="F40" s="3">
        <f t="shared" si="1"/>
        <v>0</v>
      </c>
      <c r="I40" s="3">
        <f>SUMIF(Tableau_Lancer_la_requête_à_partir_de_Excel_Files1025678[Avis Prog],"1-Favorable",Tableau_Lancer_la_requête_à_partir_de_Excel_Files1025678[''07''])</f>
        <v>0</v>
      </c>
      <c r="J40" s="3">
        <f>SUMIF(Tableau_Lancer_la_requête_à_partir_de_Excel_Files1025678[Avis Prog],"2-Favorable sous réserve",Tableau_Lancer_la_requête_à_partir_de_Excel_Files1025678[''07''])</f>
        <v>0</v>
      </c>
      <c r="R40" s="3">
        <f>SUMIF(Tableau_Lancer_la_requête_à_partir_de_Excel_Files1025678[Avis Cofimac],"1-Favorable",Tableau_Lancer_la_requête_à_partir_de_Excel_Files1025678[''07''])</f>
        <v>0</v>
      </c>
      <c r="AO40" s="3">
        <f>SUMIF(Tableau_Lancer_la_requête_à_partir_de_Excel_Files1025678[Avis Cofimac],"2-Favorable sous réserve",Tableau_Lancer_la_requête_à_partir_de_Excel_Files1025678[''07''])</f>
        <v>0</v>
      </c>
    </row>
    <row r="41" spans="4:41" hidden="1" x14ac:dyDescent="0.25">
      <c r="D41" t="s">
        <v>24</v>
      </c>
      <c r="E41" s="3">
        <f t="shared" si="0"/>
        <v>0</v>
      </c>
      <c r="F41" s="3">
        <f t="shared" si="1"/>
        <v>0</v>
      </c>
      <c r="I41" s="3">
        <f>SUMIF(Tableau_Lancer_la_requête_à_partir_de_Excel_Files1025678[Avis Prog],"1-Favorable",Tableau_Lancer_la_requête_à_partir_de_Excel_Files1025678[''11''])</f>
        <v>0</v>
      </c>
      <c r="J41" s="3">
        <f>SUMIF(Tableau_Lancer_la_requête_à_partir_de_Excel_Files1025678[Avis Prog],"2-Favorable sous réserve",Tableau_Lancer_la_requête_à_partir_de_Excel_Files1025678[''11''])</f>
        <v>0</v>
      </c>
      <c r="R41" s="3">
        <f>SUMIF(Tableau_Lancer_la_requête_à_partir_de_Excel_Files1025678[Avis Cofimac],"1-Favorable",Tableau_Lancer_la_requête_à_partir_de_Excel_Files1025678[''11''])</f>
        <v>0</v>
      </c>
      <c r="AO41" s="3">
        <f>SUMIF(Tableau_Lancer_la_requête_à_partir_de_Excel_Files1025678[Avis Cofimac],"2-Favorable sous réserve",Tableau_Lancer_la_requête_à_partir_de_Excel_Files1025678[''11''])</f>
        <v>0</v>
      </c>
    </row>
    <row r="42" spans="4:41" hidden="1" x14ac:dyDescent="0.25">
      <c r="D42" t="s">
        <v>25</v>
      </c>
      <c r="E42" s="3">
        <f t="shared" si="0"/>
        <v>0</v>
      </c>
      <c r="F42" s="3">
        <f t="shared" si="1"/>
        <v>0</v>
      </c>
      <c r="I42" s="3">
        <f>SUMIF(Tableau_Lancer_la_requête_à_partir_de_Excel_Files1025678[Avis Prog],"1-Favorable",Tableau_Lancer_la_requête_à_partir_de_Excel_Files1025678[''12''])</f>
        <v>0</v>
      </c>
      <c r="J42" s="3">
        <f>SUMIF(Tableau_Lancer_la_requête_à_partir_de_Excel_Files1025678[Avis Prog],"2-Favorable sous réserve",Tableau_Lancer_la_requête_à_partir_de_Excel_Files1025678[''12''])</f>
        <v>0</v>
      </c>
      <c r="R42" s="3">
        <f>SUMIF(Tableau_Lancer_la_requête_à_partir_de_Excel_Files1025678[Avis Cofimac],"1-Favorable",Tableau_Lancer_la_requête_à_partir_de_Excel_Files1025678[''12''])</f>
        <v>0</v>
      </c>
      <c r="AO42" s="3">
        <f>SUMIF(Tableau_Lancer_la_requête_à_partir_de_Excel_Files1025678[Avis Cofimac],"2-Favorable sous réserve",Tableau_Lancer_la_requête_à_partir_de_Excel_Files1025678[''12''])</f>
        <v>0</v>
      </c>
    </row>
    <row r="43" spans="4:41" hidden="1" x14ac:dyDescent="0.25">
      <c r="D43" t="s">
        <v>26</v>
      </c>
      <c r="E43" s="3">
        <f t="shared" si="0"/>
        <v>0</v>
      </c>
      <c r="F43" s="3">
        <f t="shared" si="1"/>
        <v>0</v>
      </c>
      <c r="I43" s="3">
        <f>SUMIF(Tableau_Lancer_la_requête_à_partir_de_Excel_Files1025678[Avis Prog],"1-Favorable",Tableau_Lancer_la_requête_à_partir_de_Excel_Files1025678[''15''])</f>
        <v>0</v>
      </c>
      <c r="J43" s="3">
        <f>SUMIF(Tableau_Lancer_la_requête_à_partir_de_Excel_Files1025678[Avis Prog],"2-Favorable sous réserve",Tableau_Lancer_la_requête_à_partir_de_Excel_Files1025678[''15''])</f>
        <v>0</v>
      </c>
      <c r="R43" s="3">
        <f>SUMIF(Tableau_Lancer_la_requête_à_partir_de_Excel_Files1025678[Avis Cofimac],"1-Favorable",Tableau_Lancer_la_requête_à_partir_de_Excel_Files1025678[''15''])</f>
        <v>0</v>
      </c>
      <c r="AO43" s="3">
        <f>SUMIF(Tableau_Lancer_la_requête_à_partir_de_Excel_Files1025678[Avis Cofimac],"2-Favorable sous réserve",Tableau_Lancer_la_requête_à_partir_de_Excel_Files1025678[''15''])</f>
        <v>0</v>
      </c>
    </row>
    <row r="44" spans="4:41" hidden="1" x14ac:dyDescent="0.25">
      <c r="D44" t="s">
        <v>27</v>
      </c>
      <c r="E44" s="3">
        <f t="shared" si="0"/>
        <v>0</v>
      </c>
      <c r="F44" s="3">
        <f t="shared" si="1"/>
        <v>0</v>
      </c>
      <c r="I44" s="3">
        <f>SUMIF(Tableau_Lancer_la_requête_à_partir_de_Excel_Files1025678[Avis Prog],"1-Favorable",Tableau_Lancer_la_requête_à_partir_de_Excel_Files1025678[''19''])</f>
        <v>0</v>
      </c>
      <c r="J44" s="3">
        <f>SUMIF(Tableau_Lancer_la_requête_à_partir_de_Excel_Files1025678[Avis Prog],"2-Favorable sous réserve",Tableau_Lancer_la_requête_à_partir_de_Excel_Files1025678[''19''])</f>
        <v>0</v>
      </c>
      <c r="R44" s="3">
        <f>SUMIF(Tableau_Lancer_la_requête_à_partir_de_Excel_Files1025678[Avis Cofimac],"1-Favorable",Tableau_Lancer_la_requête_à_partir_de_Excel_Files1025678[''19''])</f>
        <v>0</v>
      </c>
      <c r="AO44" s="3">
        <f>SUMIF(Tableau_Lancer_la_requête_à_partir_de_Excel_Files1025678[Avis Cofimac],"2-Favorable sous réserve",Tableau_Lancer_la_requête_à_partir_de_Excel_Files1025678[''19''])</f>
        <v>0</v>
      </c>
    </row>
    <row r="45" spans="4:41" hidden="1" x14ac:dyDescent="0.25">
      <c r="D45" t="s">
        <v>28</v>
      </c>
      <c r="E45" s="3">
        <f t="shared" si="0"/>
        <v>0</v>
      </c>
      <c r="F45" s="3">
        <f t="shared" si="1"/>
        <v>0</v>
      </c>
      <c r="I45" s="3">
        <f>SUMIF(Tableau_Lancer_la_requête_à_partir_de_Excel_Files1025678[Avis Prog],"1-Favorable",Tableau_Lancer_la_requête_à_partir_de_Excel_Files1025678[''21''])</f>
        <v>0</v>
      </c>
      <c r="J45" s="3">
        <f>SUMIF(Tableau_Lancer_la_requête_à_partir_de_Excel_Files1025678[Avis Prog],"2-Favorable sous réserve",Tableau_Lancer_la_requête_à_partir_de_Excel_Files1025678[''21''])</f>
        <v>0</v>
      </c>
      <c r="R45" s="3">
        <f>SUMIF(Tableau_Lancer_la_requête_à_partir_de_Excel_Files1025678[Avis Cofimac],"1-Favorable",Tableau_Lancer_la_requête_à_partir_de_Excel_Files1025678[''21''])</f>
        <v>0</v>
      </c>
      <c r="AO45" s="3">
        <f>SUMIF(Tableau_Lancer_la_requête_à_partir_de_Excel_Files1025678[Avis Cofimac],"2-Favorable sous réserve",Tableau_Lancer_la_requête_à_partir_de_Excel_Files1025678[''21''])</f>
        <v>0</v>
      </c>
    </row>
    <row r="46" spans="4:41" hidden="1" x14ac:dyDescent="0.25">
      <c r="D46" t="s">
        <v>29</v>
      </c>
      <c r="E46" s="3">
        <f t="shared" si="0"/>
        <v>0</v>
      </c>
      <c r="F46" s="3">
        <f t="shared" si="1"/>
        <v>0</v>
      </c>
      <c r="I46" s="3">
        <f>SUMIF(Tableau_Lancer_la_requête_à_partir_de_Excel_Files1025678[Avis Prog],"1-Favorable",Tableau_Lancer_la_requête_à_partir_de_Excel_Files1025678[''23''])</f>
        <v>0</v>
      </c>
      <c r="J46" s="3">
        <f>SUMIF(Tableau_Lancer_la_requête_à_partir_de_Excel_Files1025678[Avis Prog],"2-Favorable sous réserve",Tableau_Lancer_la_requête_à_partir_de_Excel_Files1025678[''23''])</f>
        <v>0</v>
      </c>
      <c r="R46" s="3">
        <f>SUMIF(Tableau_Lancer_la_requête_à_partir_de_Excel_Files1025678[Avis Cofimac],"1-Favorable",Tableau_Lancer_la_requête_à_partir_de_Excel_Files1025678[''23''])</f>
        <v>0</v>
      </c>
      <c r="AO46" s="3">
        <f>SUMIF(Tableau_Lancer_la_requête_à_partir_de_Excel_Files1025678[Avis Cofimac],"2-Favorable sous réserve",Tableau_Lancer_la_requête_à_partir_de_Excel_Files1025678[''23''])</f>
        <v>0</v>
      </c>
    </row>
    <row r="47" spans="4:41" hidden="1" x14ac:dyDescent="0.25">
      <c r="D47" t="s">
        <v>30</v>
      </c>
      <c r="E47" s="3">
        <f t="shared" si="0"/>
        <v>0</v>
      </c>
      <c r="F47" s="3">
        <f t="shared" si="1"/>
        <v>0</v>
      </c>
      <c r="I47" s="3">
        <f>SUMIF(Tableau_Lancer_la_requête_à_partir_de_Excel_Files1025678[Avis Prog],"1-Favorable",Tableau_Lancer_la_requête_à_partir_de_Excel_Files1025678[''30''])</f>
        <v>0</v>
      </c>
      <c r="J47" s="3">
        <f>SUMIF(Tableau_Lancer_la_requête_à_partir_de_Excel_Files1025678[Avis Prog],"2-Favorable sous réserve",Tableau_Lancer_la_requête_à_partir_de_Excel_Files1025678[''30''])</f>
        <v>0</v>
      </c>
      <c r="R47" s="3">
        <f>SUMIF(Tableau_Lancer_la_requête_à_partir_de_Excel_Files1025678[Avis Cofimac],"1-Favorable",Tableau_Lancer_la_requête_à_partir_de_Excel_Files1025678[''30''])</f>
        <v>0</v>
      </c>
      <c r="AO47" s="3">
        <f>SUMIF(Tableau_Lancer_la_requête_à_partir_de_Excel_Files1025678[Avis Cofimac],"2-Favorable sous réserve",Tableau_Lancer_la_requête_à_partir_de_Excel_Files1025678[''30''])</f>
        <v>0</v>
      </c>
    </row>
    <row r="48" spans="4:41" hidden="1" x14ac:dyDescent="0.25">
      <c r="D48" t="s">
        <v>31</v>
      </c>
      <c r="E48" s="3">
        <f t="shared" si="0"/>
        <v>0</v>
      </c>
      <c r="F48" s="3">
        <f t="shared" si="1"/>
        <v>0</v>
      </c>
      <c r="I48" s="3">
        <f>SUMIF(Tableau_Lancer_la_requête_à_partir_de_Excel_Files1025678[Avis Prog],"1-Favorable",Tableau_Lancer_la_requête_à_partir_de_Excel_Files1025678[''34''])</f>
        <v>0</v>
      </c>
      <c r="J48" s="3">
        <f>SUMIF(Tableau_Lancer_la_requête_à_partir_de_Excel_Files1025678[Avis Prog],"2-Favorable sous réserve",Tableau_Lancer_la_requête_à_partir_de_Excel_Files1025678[''34''])</f>
        <v>0</v>
      </c>
      <c r="R48" s="3">
        <f>SUMIF(Tableau_Lancer_la_requête_à_partir_de_Excel_Files1025678[Avis Cofimac],"1-Favorable",Tableau_Lancer_la_requête_à_partir_de_Excel_Files1025678[''34''])</f>
        <v>0</v>
      </c>
      <c r="AO48" s="3">
        <f>SUMIF(Tableau_Lancer_la_requête_à_partir_de_Excel_Files1025678[Avis Cofimac],"2-Favorable sous réserve",Tableau_Lancer_la_requête_à_partir_de_Excel_Files1025678[''34''])</f>
        <v>0</v>
      </c>
    </row>
    <row r="49" spans="4:41" hidden="1" x14ac:dyDescent="0.25">
      <c r="D49" t="s">
        <v>32</v>
      </c>
      <c r="E49" s="3">
        <f t="shared" si="0"/>
        <v>0</v>
      </c>
      <c r="F49" s="3">
        <f t="shared" si="1"/>
        <v>0</v>
      </c>
      <c r="I49" s="3">
        <f>SUMIF(Tableau_Lancer_la_requête_à_partir_de_Excel_Files1025678[Avis Prog],"1-Favorable",Tableau_Lancer_la_requête_à_partir_de_Excel_Files1025678[''42''])</f>
        <v>0</v>
      </c>
      <c r="J49" s="3">
        <f>SUMIF(Tableau_Lancer_la_requête_à_partir_de_Excel_Files1025678[Avis Prog],"2-Favorable sous réserve",Tableau_Lancer_la_requête_à_partir_de_Excel_Files1025678[''42''])</f>
        <v>0</v>
      </c>
      <c r="R49" s="3">
        <f>SUMIF(Tableau_Lancer_la_requête_à_partir_de_Excel_Files1025678[Avis Cofimac],"1-Favorable",Tableau_Lancer_la_requête_à_partir_de_Excel_Files1025678[''42''])</f>
        <v>0</v>
      </c>
      <c r="AO49" s="3">
        <f>SUMIF(Tableau_Lancer_la_requête_à_partir_de_Excel_Files1025678[Avis Cofimac],"2-Favorable sous réserve",Tableau_Lancer_la_requête_à_partir_de_Excel_Files1025678[''42''])</f>
        <v>0</v>
      </c>
    </row>
    <row r="50" spans="4:41" hidden="1" x14ac:dyDescent="0.25">
      <c r="D50" t="s">
        <v>33</v>
      </c>
      <c r="E50" s="3">
        <f t="shared" si="0"/>
        <v>0</v>
      </c>
      <c r="F50" s="3">
        <f t="shared" si="1"/>
        <v>0</v>
      </c>
      <c r="I50" s="3">
        <f>SUMIF(Tableau_Lancer_la_requête_à_partir_de_Excel_Files1025678[Avis Prog],"1-Favorable",Tableau_Lancer_la_requête_à_partir_de_Excel_Files1025678[''43''])</f>
        <v>0</v>
      </c>
      <c r="J50" s="3">
        <f>SUMIF(Tableau_Lancer_la_requête_à_partir_de_Excel_Files1025678[Avis Prog],"2-Favorable sous réserve",Tableau_Lancer_la_requête_à_partir_de_Excel_Files1025678[''43''])</f>
        <v>0</v>
      </c>
      <c r="R50" s="3">
        <f>SUMIF(Tableau_Lancer_la_requête_à_partir_de_Excel_Files1025678[Avis Cofimac],"1-Favorable",Tableau_Lancer_la_requête_à_partir_de_Excel_Files1025678[''43''])</f>
        <v>0</v>
      </c>
      <c r="AO50" s="3">
        <f>SUMIF(Tableau_Lancer_la_requête_à_partir_de_Excel_Files1025678[Avis Cofimac],"2-Favorable sous réserve",Tableau_Lancer_la_requête_à_partir_de_Excel_Files1025678[''43''])</f>
        <v>0</v>
      </c>
    </row>
    <row r="51" spans="4:41" hidden="1" x14ac:dyDescent="0.25">
      <c r="D51" t="s">
        <v>34</v>
      </c>
      <c r="E51" s="3">
        <f t="shared" si="0"/>
        <v>0</v>
      </c>
      <c r="F51" s="3">
        <f t="shared" si="1"/>
        <v>0</v>
      </c>
      <c r="I51" s="3">
        <f>SUMIF(Tableau_Lancer_la_requête_à_partir_de_Excel_Files1025678[Avis Prog],"1-Favorable",Tableau_Lancer_la_requête_à_partir_de_Excel_Files1025678[''46''])</f>
        <v>0</v>
      </c>
      <c r="J51" s="3">
        <f>SUMIF(Tableau_Lancer_la_requête_à_partir_de_Excel_Files1025678[Avis Prog],"2-Favorable sous réserve",Tableau_Lancer_la_requête_à_partir_de_Excel_Files1025678[''46''])</f>
        <v>0</v>
      </c>
      <c r="R51" s="3">
        <f>SUMIF(Tableau_Lancer_la_requête_à_partir_de_Excel_Files1025678[Avis Cofimac],"1-Favorable",Tableau_Lancer_la_requête_à_partir_de_Excel_Files1025678[''46''])</f>
        <v>0</v>
      </c>
      <c r="AO51" s="3">
        <f>SUMIF(Tableau_Lancer_la_requête_à_partir_de_Excel_Files1025678[Avis Cofimac],"2-Favorable sous réserve",Tableau_Lancer_la_requête_à_partir_de_Excel_Files1025678[''46''])</f>
        <v>0</v>
      </c>
    </row>
    <row r="52" spans="4:41" hidden="1" x14ac:dyDescent="0.25">
      <c r="D52" t="s">
        <v>35</v>
      </c>
      <c r="E52" s="3">
        <f t="shared" si="0"/>
        <v>0</v>
      </c>
      <c r="F52" s="3">
        <f t="shared" si="1"/>
        <v>0</v>
      </c>
      <c r="I52" s="3">
        <f>SUMIF(Tableau_Lancer_la_requête_à_partir_de_Excel_Files1025678[Avis Prog],"1-Favorable",Tableau_Lancer_la_requête_à_partir_de_Excel_Files1025678[''48''])</f>
        <v>0</v>
      </c>
      <c r="J52" s="3">
        <f>SUMIF(Tableau_Lancer_la_requête_à_partir_de_Excel_Files1025678[Avis Prog],"2-Favorable sous réserve",Tableau_Lancer_la_requête_à_partir_de_Excel_Files1025678[''48''])</f>
        <v>0</v>
      </c>
      <c r="R52" s="3">
        <f>SUMIF(Tableau_Lancer_la_requête_à_partir_de_Excel_Files1025678[Avis Cofimac],"1-Favorable",Tableau_Lancer_la_requête_à_partir_de_Excel_Files1025678[''48''])</f>
        <v>0</v>
      </c>
      <c r="AO52" s="3">
        <f>SUMIF(Tableau_Lancer_la_requête_à_partir_de_Excel_Files1025678[Avis Cofimac],"2-Favorable sous réserve",Tableau_Lancer_la_requête_à_partir_de_Excel_Files1025678[''48''])</f>
        <v>0</v>
      </c>
    </row>
    <row r="53" spans="4:41" hidden="1" x14ac:dyDescent="0.25">
      <c r="D53" t="s">
        <v>36</v>
      </c>
      <c r="E53" s="3">
        <f t="shared" si="0"/>
        <v>0</v>
      </c>
      <c r="F53" s="3">
        <f t="shared" si="1"/>
        <v>0</v>
      </c>
      <c r="I53" s="3">
        <f>SUMIF(Tableau_Lancer_la_requête_à_partir_de_Excel_Files1025678[Avis Prog],"1-Favorable",Tableau_Lancer_la_requête_à_partir_de_Excel_Files1025678[''58''])</f>
        <v>0</v>
      </c>
      <c r="J53" s="3">
        <f>SUMIF(Tableau_Lancer_la_requête_à_partir_de_Excel_Files1025678[Avis Prog],"2-Favorable sous réserve",Tableau_Lancer_la_requête_à_partir_de_Excel_Files1025678[''58''])</f>
        <v>0</v>
      </c>
      <c r="R53" s="3">
        <f>SUMIF(Tableau_Lancer_la_requête_à_partir_de_Excel_Files1025678[Avis Cofimac],"1-Favorable",Tableau_Lancer_la_requête_à_partir_de_Excel_Files1025678[''58''])</f>
        <v>0</v>
      </c>
      <c r="AO53" s="3">
        <f>SUMIF(Tableau_Lancer_la_requête_à_partir_de_Excel_Files1025678[Avis Cofimac],"2-Favorable sous réserve",Tableau_Lancer_la_requête_à_partir_de_Excel_Files1025678[''58''])</f>
        <v>0</v>
      </c>
    </row>
    <row r="54" spans="4:41" hidden="1" x14ac:dyDescent="0.25">
      <c r="D54" t="s">
        <v>37</v>
      </c>
      <c r="E54" s="3">
        <f t="shared" si="0"/>
        <v>0</v>
      </c>
      <c r="F54" s="3">
        <f t="shared" si="1"/>
        <v>0</v>
      </c>
      <c r="I54" s="3">
        <f>SUMIF(Tableau_Lancer_la_requête_à_partir_de_Excel_Files1025678[Avis Prog],"1-Favorable",Tableau_Lancer_la_requête_à_partir_de_Excel_Files1025678[''63''])</f>
        <v>0</v>
      </c>
      <c r="J54" s="3">
        <f>SUMIF(Tableau_Lancer_la_requête_à_partir_de_Excel_Files1025678[Avis Prog],"2-Favorable sous réserve",Tableau_Lancer_la_requête_à_partir_de_Excel_Files1025678[''63''])</f>
        <v>0</v>
      </c>
      <c r="R54" s="3">
        <f>SUMIF(Tableau_Lancer_la_requête_à_partir_de_Excel_Files1025678[Avis Cofimac],"1-Favorable",Tableau_Lancer_la_requête_à_partir_de_Excel_Files1025678[''63''])</f>
        <v>0</v>
      </c>
      <c r="AO54" s="3">
        <f>SUMIF(Tableau_Lancer_la_requête_à_partir_de_Excel_Files1025678[Avis Cofimac],"2-Favorable sous réserve",Tableau_Lancer_la_requête_à_partir_de_Excel_Files1025678[''63''])</f>
        <v>0</v>
      </c>
    </row>
    <row r="55" spans="4:41" hidden="1" x14ac:dyDescent="0.25">
      <c r="D55" t="s">
        <v>38</v>
      </c>
      <c r="E55" s="3">
        <f t="shared" si="0"/>
        <v>0</v>
      </c>
      <c r="F55" s="3">
        <f t="shared" si="1"/>
        <v>0</v>
      </c>
      <c r="I55" s="3">
        <f>SUMIF(Tableau_Lancer_la_requête_à_partir_de_Excel_Files1025678[Avis Prog],"1-Favorable",Tableau_Lancer_la_requête_à_partir_de_Excel_Files1025678[''69''])</f>
        <v>0</v>
      </c>
      <c r="J55" s="3">
        <f>SUMIF(Tableau_Lancer_la_requête_à_partir_de_Excel_Files1025678[Avis Prog],"2-Favorable sous réserve",Tableau_Lancer_la_requête_à_partir_de_Excel_Files1025678[''69''])</f>
        <v>0</v>
      </c>
      <c r="R55" s="3">
        <f>SUMIF(Tableau_Lancer_la_requête_à_partir_de_Excel_Files1025678[Avis Cofimac],"1-Favorable",Tableau_Lancer_la_requête_à_partir_de_Excel_Files1025678[''69''])</f>
        <v>0</v>
      </c>
      <c r="AO55" s="3">
        <f>SUMIF(Tableau_Lancer_la_requête_à_partir_de_Excel_Files1025678[Avis Cofimac],"2-Favorable sous réserve",Tableau_Lancer_la_requête_à_partir_de_Excel_Files1025678[''69''])</f>
        <v>0</v>
      </c>
    </row>
    <row r="56" spans="4:41" hidden="1" x14ac:dyDescent="0.25">
      <c r="D56" t="s">
        <v>39</v>
      </c>
      <c r="E56" s="3">
        <f t="shared" si="0"/>
        <v>0</v>
      </c>
      <c r="F56" s="3">
        <f t="shared" si="1"/>
        <v>0</v>
      </c>
      <c r="I56" s="3">
        <f>SUMIF(Tableau_Lancer_la_requête_à_partir_de_Excel_Files1025678[Avis Prog],"1-Favorable",Tableau_Lancer_la_requête_à_partir_de_Excel_Files1025678[''71''])</f>
        <v>0</v>
      </c>
      <c r="J56" s="3">
        <f>SUMIF(Tableau_Lancer_la_requête_à_partir_de_Excel_Files1025678[Avis Prog],"2-Favorable sous réserve",Tableau_Lancer_la_requête_à_partir_de_Excel_Files1025678[''71''])</f>
        <v>0</v>
      </c>
      <c r="R56" s="3">
        <f>SUMIF(Tableau_Lancer_la_requête_à_partir_de_Excel_Files1025678[Avis Cofimac],"1-Favorable",Tableau_Lancer_la_requête_à_partir_de_Excel_Files1025678[''71''])</f>
        <v>0</v>
      </c>
      <c r="AO56" s="3">
        <f>SUMIF(Tableau_Lancer_la_requête_à_partir_de_Excel_Files1025678[Avis Cofimac],"2-Favorable sous réserve",Tableau_Lancer_la_requête_à_partir_de_Excel_Files1025678[''71''])</f>
        <v>0</v>
      </c>
    </row>
    <row r="57" spans="4:41" hidden="1" x14ac:dyDescent="0.25">
      <c r="D57" t="s">
        <v>40</v>
      </c>
      <c r="E57" s="3">
        <f t="shared" si="0"/>
        <v>0</v>
      </c>
      <c r="F57" s="3">
        <f t="shared" si="1"/>
        <v>0</v>
      </c>
      <c r="I57" s="3">
        <f>SUMIF(Tableau_Lancer_la_requête_à_partir_de_Excel_Files1025678[Avis Prog],"1-Favorable",Tableau_Lancer_la_requête_à_partir_de_Excel_Files1025678[''81''])</f>
        <v>0</v>
      </c>
      <c r="J57" s="3">
        <f>SUMIF(Tableau_Lancer_la_requête_à_partir_de_Excel_Files1025678[Avis Prog],"2-Favorable sous réserve",Tableau_Lancer_la_requête_à_partir_de_Excel_Files1025678[''81''])</f>
        <v>0</v>
      </c>
      <c r="R57" s="3">
        <f>SUMIF(Tableau_Lancer_la_requête_à_partir_de_Excel_Files1025678[Avis Cofimac],"1-Favorable",Tableau_Lancer_la_requête_à_partir_de_Excel_Files1025678[''81''])</f>
        <v>0</v>
      </c>
      <c r="AO57" s="3">
        <f>SUMIF(Tableau_Lancer_la_requête_à_partir_de_Excel_Files1025678[Avis Cofimac],"2-Favorable sous réserve",Tableau_Lancer_la_requête_à_partir_de_Excel_Files1025678[''81''])</f>
        <v>0</v>
      </c>
    </row>
    <row r="58" spans="4:41" hidden="1" x14ac:dyDescent="0.25">
      <c r="D58" t="s">
        <v>41</v>
      </c>
      <c r="E58" s="3">
        <f t="shared" si="0"/>
        <v>0</v>
      </c>
      <c r="F58" s="3">
        <f t="shared" si="1"/>
        <v>0</v>
      </c>
      <c r="I58" s="3">
        <f>SUMIF(Tableau_Lancer_la_requête_à_partir_de_Excel_Files1025678[Avis Prog],"1-Favorable",Tableau_Lancer_la_requête_à_partir_de_Excel_Files1025678[''82''])</f>
        <v>0</v>
      </c>
      <c r="J58" s="3">
        <f>SUMIF(Tableau_Lancer_la_requête_à_partir_de_Excel_Files1025678[Avis Prog],"2-Favorable sous réserve",Tableau_Lancer_la_requête_à_partir_de_Excel_Files1025678[''82''])</f>
        <v>0</v>
      </c>
      <c r="R58" s="3">
        <f>SUMIF(Tableau_Lancer_la_requête_à_partir_de_Excel_Files1025678[Avis Cofimac],"1-Favorable",Tableau_Lancer_la_requête_à_partir_de_Excel_Files1025678[''82''])</f>
        <v>0</v>
      </c>
      <c r="AO58" s="3">
        <f>SUMIF(Tableau_Lancer_la_requête_à_partir_de_Excel_Files1025678[Avis Cofimac],"2-Favorable sous réserve",Tableau_Lancer_la_requête_à_partir_de_Excel_Files1025678[''82''])</f>
        <v>0</v>
      </c>
    </row>
    <row r="59" spans="4:41" hidden="1" x14ac:dyDescent="0.25">
      <c r="D59" t="s">
        <v>42</v>
      </c>
      <c r="E59" s="3">
        <f t="shared" si="0"/>
        <v>0</v>
      </c>
      <c r="F59" s="3">
        <f t="shared" si="1"/>
        <v>0</v>
      </c>
      <c r="I59" s="3">
        <f>SUMIF(Tableau_Lancer_la_requête_à_partir_de_Excel_Files1025678[Avis Prog],"1-Favorable",Tableau_Lancer_la_requête_à_partir_de_Excel_Files1025678[''87''])</f>
        <v>0</v>
      </c>
      <c r="J59" s="3">
        <f>SUMIF(Tableau_Lancer_la_requête_à_partir_de_Excel_Files1025678[Avis Prog],"2-Favorable sous réserve",Tableau_Lancer_la_requête_à_partir_de_Excel_Files1025678[''87''])</f>
        <v>0</v>
      </c>
      <c r="R59" s="3">
        <f>SUMIF(Tableau_Lancer_la_requête_à_partir_de_Excel_Files1025678[Avis Cofimac],"1-Favorable",Tableau_Lancer_la_requête_à_partir_de_Excel_Files1025678[''87''])</f>
        <v>0</v>
      </c>
      <c r="AO59" s="3">
        <f>SUMIF(Tableau_Lancer_la_requête_à_partir_de_Excel_Files1025678[Avis Cofimac],"2-Favorable sous réserve",Tableau_Lancer_la_requête_à_partir_de_Excel_Files1025678[''87''])</f>
        <v>0</v>
      </c>
    </row>
    <row r="60" spans="4:41" hidden="1" x14ac:dyDescent="0.25">
      <c r="D60" t="s">
        <v>43</v>
      </c>
      <c r="E60" s="3">
        <f t="shared" si="0"/>
        <v>0</v>
      </c>
      <c r="F60" s="3">
        <f t="shared" si="1"/>
        <v>0</v>
      </c>
      <c r="I60" s="3">
        <f>SUMIF(Tableau_Lancer_la_requête_à_partir_de_Excel_Files1025678[Avis Prog],"1-Favorable",Tableau_Lancer_la_requête_à_partir_de_Excel_Files1025678[''89''])</f>
        <v>0</v>
      </c>
      <c r="J60" s="3">
        <f>SUMIF(Tableau_Lancer_la_requête_à_partir_de_Excel_Files1025678[Avis Prog],"2-Favorable sous réserve",Tableau_Lancer_la_requête_à_partir_de_Excel_Files1025678[''89''])</f>
        <v>0</v>
      </c>
      <c r="R60" s="3">
        <f>SUMIF(Tableau_Lancer_la_requête_à_partir_de_Excel_Files1025678[Avis Cofimac],"1-Favorable",Tableau_Lancer_la_requête_à_partir_de_Excel_Files1025678[''89''])</f>
        <v>0</v>
      </c>
      <c r="AO60" s="3">
        <f>SUMIF(Tableau_Lancer_la_requête_à_partir_de_Excel_Files1025678[Avis Cofimac],"2-Favorable sous réserve",Tableau_Lancer_la_requête_à_partir_de_Excel_Files1025678[''89''])</f>
        <v>0</v>
      </c>
    </row>
    <row r="63" spans="4:41" hidden="1" x14ac:dyDescent="0.25"/>
    <row r="64" spans="4:41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</sheetData>
  <conditionalFormatting sqref="AP7:AP19 AR7:AR19">
    <cfRule type="cellIs" dxfId="462" priority="6" operator="equal">
      <formula>"2-Favorable sous réserve"</formula>
    </cfRule>
    <cfRule type="cellIs" dxfId="461" priority="15" operator="equal">
      <formula>"6-Retiré/Abandon"</formula>
    </cfRule>
    <cfRule type="cellIs" dxfId="460" priority="16" operator="equal">
      <formula>"5-Défavorable"</formula>
    </cfRule>
    <cfRule type="cellIs" dxfId="459" priority="17" operator="equal">
      <formula>"4-Ajournement"</formula>
    </cfRule>
    <cfRule type="cellIs" dxfId="458" priority="18" operator="equal">
      <formula>"1-Favorable"</formula>
    </cfRule>
  </conditionalFormatting>
  <conditionalFormatting sqref="AT7:AT19">
    <cfRule type="cellIs" dxfId="457" priority="1" operator="equal">
      <formula>"2-Favorable sous réserve"</formula>
    </cfRule>
    <cfRule type="cellIs" dxfId="456" priority="2" operator="equal">
      <formula>"6-Retiré/Abandon"</formula>
    </cfRule>
    <cfRule type="cellIs" dxfId="455" priority="3" operator="equal">
      <formula>"5-Défavorable"</formula>
    </cfRule>
    <cfRule type="cellIs" dxfId="454" priority="4" operator="equal">
      <formula>"4-Ajournement"</formula>
    </cfRule>
    <cfRule type="cellIs" dxfId="453" priority="5" operator="equal">
      <formula>"1-Favorable"</formula>
    </cfRule>
  </conditionalFormatting>
  <dataValidations count="1">
    <dataValidation type="list" allowBlank="1" showInputMessage="1" showErrorMessage="1" sqref="AR7:AR19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61" fitToHeight="0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2"/>
  <sheetViews>
    <sheetView zoomScale="60" zoomScaleNormal="60" zoomScaleSheetLayoutView="80" workbookViewId="0">
      <selection activeCell="AO62" sqref="AO62"/>
    </sheetView>
  </sheetViews>
  <sheetFormatPr baseColWidth="10" defaultRowHeight="15" outlineLevelCol="1" x14ac:dyDescent="0.25"/>
  <cols>
    <col min="1" max="1" width="13.85546875" style="3" customWidth="1"/>
    <col min="2" max="2" width="35" style="4" customWidth="1"/>
    <col min="3" max="3" width="48" style="5" customWidth="1"/>
    <col min="4" max="4" width="15.85546875" style="3" customWidth="1"/>
    <col min="5" max="5" width="16.28515625" style="3" customWidth="1"/>
    <col min="6" max="6" width="12" style="6" customWidth="1"/>
    <col min="7" max="7" width="16" style="3" bestFit="1" customWidth="1"/>
    <col min="8" max="8" width="11.28515625" style="6" customWidth="1"/>
    <col min="9" max="9" width="14.85546875" style="3" customWidth="1"/>
    <col min="10" max="10" width="15" style="3" bestFit="1" customWidth="1"/>
    <col min="11" max="11" width="11.5703125" style="3" hidden="1" customWidth="1" outlineLevel="1"/>
    <col min="12" max="12" width="16.5703125" style="3" hidden="1" customWidth="1" outlineLevel="1"/>
    <col min="13" max="13" width="13.7109375" style="3" bestFit="1" customWidth="1" collapsed="1"/>
    <col min="14" max="14" width="11.140625" style="3" hidden="1" customWidth="1" outlineLevel="1"/>
    <col min="15" max="15" width="11.85546875" style="3" hidden="1" customWidth="1" outlineLevel="1"/>
    <col min="16" max="16" width="10" style="3" hidden="1" customWidth="1" outlineLevel="1"/>
    <col min="17" max="17" width="11.7109375" style="3" hidden="1" customWidth="1" outlineLevel="1"/>
    <col min="18" max="18" width="16.140625" style="3" bestFit="1" customWidth="1" collapsed="1"/>
    <col min="19" max="40" width="8.7109375" style="3" hidden="1" customWidth="1" outlineLevel="1"/>
    <col min="41" max="41" width="14.28515625" style="3" bestFit="1" customWidth="1" collapsed="1"/>
    <col min="42" max="43" width="11.5703125" style="3" customWidth="1"/>
    <col min="44" max="44" width="21.85546875" style="3" bestFit="1" customWidth="1"/>
    <col min="45" max="45" width="15.42578125" style="3" hidden="1" customWidth="1"/>
    <col min="46" max="46" width="55" style="3" customWidth="1"/>
    <col min="47" max="47" width="15.42578125" style="3" bestFit="1" customWidth="1"/>
    <col min="48" max="48" width="17.28515625" style="3" bestFit="1" customWidth="1"/>
    <col min="49" max="49" width="9.42578125" style="3" customWidth="1"/>
    <col min="50" max="64" width="9.7109375" style="3" customWidth="1"/>
    <col min="65" max="65" width="15.140625" style="3" customWidth="1"/>
    <col min="66" max="66" width="14.5703125" style="3" customWidth="1"/>
    <col min="67" max="67" width="18.5703125" style="3" customWidth="1"/>
    <col min="68" max="68" width="12.5703125" style="3" customWidth="1"/>
    <col min="69" max="69" width="20.42578125" style="3" customWidth="1"/>
    <col min="70" max="70" width="12.7109375" style="3" customWidth="1"/>
    <col min="71" max="71" width="9.28515625" style="3" customWidth="1"/>
    <col min="72" max="72" width="14.28515625" style="3" customWidth="1"/>
    <col min="73" max="73" width="11.42578125" style="3" customWidth="1"/>
    <col min="74" max="74" width="9" style="3" customWidth="1"/>
    <col min="75" max="75" width="9.5703125" style="3" customWidth="1"/>
    <col min="76" max="76" width="11" style="3" customWidth="1"/>
    <col min="77" max="77" width="12.7109375" style="3" customWidth="1"/>
    <col min="78" max="80" width="9.7109375" style="3" customWidth="1"/>
    <col min="81" max="81" width="15.140625" style="3" customWidth="1"/>
    <col min="82" max="82" width="17.28515625" style="3" customWidth="1"/>
    <col min="83" max="83" width="49.28515625" style="4" customWidth="1"/>
    <col min="84" max="84" width="17.28515625" style="3" customWidth="1"/>
    <col min="85" max="16384" width="11.42578125" style="3"/>
  </cols>
  <sheetData>
    <row r="1" spans="1:83" ht="18.75" x14ac:dyDescent="0.3">
      <c r="B1" s="21" t="s">
        <v>75</v>
      </c>
      <c r="C1" s="22">
        <f>Itinérance!C1</f>
        <v>42696</v>
      </c>
    </row>
    <row r="5" spans="1:83" x14ac:dyDescent="0.25">
      <c r="A5" s="1" t="s">
        <v>129</v>
      </c>
      <c r="B5" s="2"/>
    </row>
    <row r="6" spans="1:83" s="7" customFormat="1" ht="45" x14ac:dyDescent="0.25">
      <c r="A6" s="89" t="s">
        <v>7</v>
      </c>
      <c r="B6" s="90" t="s">
        <v>1</v>
      </c>
      <c r="C6" s="90" t="s">
        <v>2</v>
      </c>
      <c r="D6" s="90" t="s">
        <v>52</v>
      </c>
      <c r="E6" s="90" t="s">
        <v>54</v>
      </c>
      <c r="F6" s="90" t="s">
        <v>53</v>
      </c>
      <c r="G6" s="90" t="s">
        <v>50</v>
      </c>
      <c r="H6" s="90" t="s">
        <v>55</v>
      </c>
      <c r="I6" s="90" t="s">
        <v>44</v>
      </c>
      <c r="J6" s="90" t="s">
        <v>65</v>
      </c>
      <c r="K6" s="90" t="s">
        <v>69</v>
      </c>
      <c r="L6" s="90" t="s">
        <v>17</v>
      </c>
      <c r="M6" s="90" t="s">
        <v>66</v>
      </c>
      <c r="N6" s="90" t="s">
        <v>20</v>
      </c>
      <c r="O6" s="90" t="s">
        <v>18</v>
      </c>
      <c r="P6" s="90" t="s">
        <v>19</v>
      </c>
      <c r="Q6" s="90" t="s">
        <v>21</v>
      </c>
      <c r="R6" s="90" t="s">
        <v>67</v>
      </c>
      <c r="S6" s="90" t="s">
        <v>22</v>
      </c>
      <c r="T6" s="90" t="s">
        <v>23</v>
      </c>
      <c r="U6" s="90" t="s">
        <v>24</v>
      </c>
      <c r="V6" s="90" t="s">
        <v>25</v>
      </c>
      <c r="W6" s="90" t="s">
        <v>26</v>
      </c>
      <c r="X6" s="90" t="s">
        <v>27</v>
      </c>
      <c r="Y6" s="90" t="s">
        <v>28</v>
      </c>
      <c r="Z6" s="90" t="s">
        <v>29</v>
      </c>
      <c r="AA6" s="90" t="s">
        <v>30</v>
      </c>
      <c r="AB6" s="90" t="s">
        <v>31</v>
      </c>
      <c r="AC6" s="90" t="s">
        <v>32</v>
      </c>
      <c r="AD6" s="90" t="s">
        <v>33</v>
      </c>
      <c r="AE6" s="90" t="s">
        <v>34</v>
      </c>
      <c r="AF6" s="90" t="s">
        <v>35</v>
      </c>
      <c r="AG6" s="90" t="s">
        <v>36</v>
      </c>
      <c r="AH6" s="90" t="s">
        <v>37</v>
      </c>
      <c r="AI6" s="90" t="s">
        <v>38</v>
      </c>
      <c r="AJ6" s="90" t="s">
        <v>39</v>
      </c>
      <c r="AK6" s="90" t="s">
        <v>40</v>
      </c>
      <c r="AL6" s="90" t="s">
        <v>41</v>
      </c>
      <c r="AM6" s="90" t="s">
        <v>42</v>
      </c>
      <c r="AN6" s="90" t="s">
        <v>43</v>
      </c>
      <c r="AO6" s="90" t="s">
        <v>45</v>
      </c>
      <c r="AP6" s="90" t="s">
        <v>49</v>
      </c>
      <c r="AQ6" s="90" t="s">
        <v>131</v>
      </c>
      <c r="AR6" s="91" t="s">
        <v>56</v>
      </c>
      <c r="AT6" s="55" t="s">
        <v>64</v>
      </c>
    </row>
    <row r="7" spans="1:83" s="10" customFormat="1" ht="30" x14ac:dyDescent="0.25">
      <c r="A7" s="92" t="s">
        <v>210</v>
      </c>
      <c r="B7" s="93" t="s">
        <v>211</v>
      </c>
      <c r="C7" s="93" t="s">
        <v>212</v>
      </c>
      <c r="D7" s="94">
        <v>503887.81</v>
      </c>
      <c r="E7" s="94">
        <f>'AT-Ing Terr'!$G7+'AT-Ing Terr'!$AO7</f>
        <v>292721</v>
      </c>
      <c r="F7" s="95">
        <f>'AT-Ing Terr'!$E7/'AT-Ing Terr'!$D7</f>
        <v>0.58092494835308672</v>
      </c>
      <c r="G7" s="94">
        <f>'AT-Ing Terr'!$I7+'AT-Ing Terr'!$J7+'AT-Ing Terr'!$M7+'AT-Ing Terr'!$R7</f>
        <v>292721</v>
      </c>
      <c r="H7" s="95">
        <f>'AT-Ing Terr'!$G7/'AT-Ing Terr'!$D7</f>
        <v>0.58092494835308672</v>
      </c>
      <c r="I7" s="94">
        <v>0</v>
      </c>
      <c r="J7" s="94">
        <f>'AT-Ing Terr'!$K7+'AT-Ing Terr'!$L7</f>
        <v>283721</v>
      </c>
      <c r="K7" s="94">
        <v>283721</v>
      </c>
      <c r="L7" s="94"/>
      <c r="M7" s="94">
        <f>'AT-Ing Terr'!$N7+'AT-Ing Terr'!$O7+'AT-Ing Terr'!$P7+'AT-Ing Terr'!$Q7</f>
        <v>0</v>
      </c>
      <c r="N7" s="94"/>
      <c r="O7" s="94"/>
      <c r="P7" s="94"/>
      <c r="Q7" s="94"/>
      <c r="R7" s="94">
        <f>'AT-Ing Terr'!$S7+'AT-Ing Terr'!$T7+'AT-Ing Terr'!$U7+'AT-Ing Terr'!$V7+'AT-Ing Terr'!$W7+'AT-Ing Terr'!$X7+'AT-Ing Terr'!$Y7+'AT-Ing Terr'!$Z7+'AT-Ing Terr'!$AA7+'AT-Ing Terr'!$AB7+'AT-Ing Terr'!$AC7+'AT-Ing Terr'!$AD7+'AT-Ing Terr'!$AE7+'AT-Ing Terr'!$AF7+'AT-Ing Terr'!$AG7+'AT-Ing Terr'!$AH7+'AT-Ing Terr'!$AI7+'AT-Ing Terr'!$AJ7+'AT-Ing Terr'!$AK7+'AT-Ing Terr'!$AL7+'AT-Ing Terr'!$AM7+'AT-Ing Terr'!$AN7</f>
        <v>9000</v>
      </c>
      <c r="S7" s="94"/>
      <c r="T7" s="94"/>
      <c r="U7" s="94"/>
      <c r="V7" s="94"/>
      <c r="W7" s="94"/>
      <c r="X7" s="94">
        <v>9000</v>
      </c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>
        <v>0</v>
      </c>
      <c r="AP7" s="96" t="s">
        <v>150</v>
      </c>
      <c r="AQ7" s="97"/>
      <c r="AR7" s="98" t="s">
        <v>149</v>
      </c>
      <c r="AT7" s="47" t="s">
        <v>257</v>
      </c>
    </row>
    <row r="8" spans="1:83" s="10" customFormat="1" ht="45.75" thickBot="1" x14ac:dyDescent="0.3">
      <c r="A8" s="99" t="s">
        <v>213</v>
      </c>
      <c r="B8" s="100" t="s">
        <v>148</v>
      </c>
      <c r="C8" s="100" t="s">
        <v>212</v>
      </c>
      <c r="D8" s="101">
        <v>44349.4</v>
      </c>
      <c r="E8" s="101">
        <f>'AT-Ing Terr'!$G8+'AT-Ing Terr'!$AO8</f>
        <v>31044.58</v>
      </c>
      <c r="F8" s="102">
        <f>'AT-Ing Terr'!$E8/'AT-Ing Terr'!$D8</f>
        <v>0.70000000000000007</v>
      </c>
      <c r="G8" s="101">
        <f>'AT-Ing Terr'!$I8+'AT-Ing Terr'!$J8+'AT-Ing Terr'!$M8+'AT-Ing Terr'!$R8</f>
        <v>31044.58</v>
      </c>
      <c r="H8" s="102">
        <f>'AT-Ing Terr'!$G8/'AT-Ing Terr'!$D8</f>
        <v>0.70000000000000007</v>
      </c>
      <c r="I8" s="101">
        <v>0</v>
      </c>
      <c r="J8" s="101">
        <f>'AT-Ing Terr'!$K8+'AT-Ing Terr'!$L8</f>
        <v>31044.58</v>
      </c>
      <c r="K8" s="101">
        <v>31044.58</v>
      </c>
      <c r="L8" s="101"/>
      <c r="M8" s="101">
        <f>'AT-Ing Terr'!$N8+'AT-Ing Terr'!$O8+'AT-Ing Terr'!$P8+'AT-Ing Terr'!$Q8</f>
        <v>0</v>
      </c>
      <c r="N8" s="101"/>
      <c r="O8" s="101"/>
      <c r="P8" s="101"/>
      <c r="Q8" s="101"/>
      <c r="R8" s="101">
        <f>'AT-Ing Terr'!$S8+'AT-Ing Terr'!$T8+'AT-Ing Terr'!$U8+'AT-Ing Terr'!$V8+'AT-Ing Terr'!$W8+'AT-Ing Terr'!$X8+'AT-Ing Terr'!$Y8+'AT-Ing Terr'!$Z8+'AT-Ing Terr'!$AA8+'AT-Ing Terr'!$AB8+'AT-Ing Terr'!$AC8+'AT-Ing Terr'!$AD8+'AT-Ing Terr'!$AE8+'AT-Ing Terr'!$AF8+'AT-Ing Terr'!$AG8+'AT-Ing Terr'!$AH8+'AT-Ing Terr'!$AI8+'AT-Ing Terr'!$AJ8+'AT-Ing Terr'!$AK8+'AT-Ing Terr'!$AL8+'AT-Ing Terr'!$AM8+'AT-Ing Terr'!$AN8</f>
        <v>0</v>
      </c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>
        <v>0</v>
      </c>
      <c r="AP8" s="103" t="s">
        <v>150</v>
      </c>
      <c r="AQ8" s="104"/>
      <c r="AR8" s="105" t="s">
        <v>149</v>
      </c>
      <c r="AT8" s="80"/>
    </row>
    <row r="9" spans="1:83" s="10" customFormat="1" ht="15.75" thickTop="1" x14ac:dyDescent="0.25">
      <c r="A9" s="87" t="s">
        <v>8</v>
      </c>
      <c r="B9" s="88">
        <f>SUBTOTAL(103,B7:B8)</f>
        <v>2</v>
      </c>
      <c r="C9" s="88"/>
      <c r="D9" s="86">
        <f>SUBTOTAL(109,D7:D8)</f>
        <v>548237.21</v>
      </c>
      <c r="E9" s="86">
        <f t="shared" ref="E9:AO9" si="0">SUBTOTAL(109,E7:E8)</f>
        <v>323765.58</v>
      </c>
      <c r="F9" s="86"/>
      <c r="G9" s="86">
        <f t="shared" si="0"/>
        <v>323765.58</v>
      </c>
      <c r="H9" s="86"/>
      <c r="I9" s="86">
        <f t="shared" si="0"/>
        <v>0</v>
      </c>
      <c r="J9" s="86">
        <f t="shared" si="0"/>
        <v>314765.58</v>
      </c>
      <c r="K9" s="86">
        <f t="shared" si="0"/>
        <v>314765.58</v>
      </c>
      <c r="L9" s="86">
        <f t="shared" si="0"/>
        <v>0</v>
      </c>
      <c r="M9" s="86">
        <f t="shared" si="0"/>
        <v>0</v>
      </c>
      <c r="N9" s="86">
        <f t="shared" si="0"/>
        <v>0</v>
      </c>
      <c r="O9" s="86">
        <f t="shared" si="0"/>
        <v>0</v>
      </c>
      <c r="P9" s="86">
        <f t="shared" si="0"/>
        <v>0</v>
      </c>
      <c r="Q9" s="86">
        <f t="shared" si="0"/>
        <v>0</v>
      </c>
      <c r="R9" s="86">
        <f t="shared" si="0"/>
        <v>9000</v>
      </c>
      <c r="S9" s="86">
        <f t="shared" si="0"/>
        <v>0</v>
      </c>
      <c r="T9" s="86">
        <f t="shared" si="0"/>
        <v>0</v>
      </c>
      <c r="U9" s="86">
        <f t="shared" si="0"/>
        <v>0</v>
      </c>
      <c r="V9" s="86">
        <f t="shared" si="0"/>
        <v>0</v>
      </c>
      <c r="W9" s="86">
        <f t="shared" si="0"/>
        <v>0</v>
      </c>
      <c r="X9" s="86">
        <f t="shared" si="0"/>
        <v>9000</v>
      </c>
      <c r="Y9" s="86">
        <f t="shared" si="0"/>
        <v>0</v>
      </c>
      <c r="Z9" s="86">
        <f t="shared" si="0"/>
        <v>0</v>
      </c>
      <c r="AA9" s="86">
        <f t="shared" si="0"/>
        <v>0</v>
      </c>
      <c r="AB9" s="86">
        <f t="shared" si="0"/>
        <v>0</v>
      </c>
      <c r="AC9" s="86">
        <f t="shared" si="0"/>
        <v>0</v>
      </c>
      <c r="AD9" s="86">
        <f t="shared" si="0"/>
        <v>0</v>
      </c>
      <c r="AE9" s="86">
        <f t="shared" si="0"/>
        <v>0</v>
      </c>
      <c r="AF9" s="86">
        <f t="shared" si="0"/>
        <v>0</v>
      </c>
      <c r="AG9" s="86">
        <f t="shared" si="0"/>
        <v>0</v>
      </c>
      <c r="AH9" s="86">
        <f t="shared" si="0"/>
        <v>0</v>
      </c>
      <c r="AI9" s="86">
        <f t="shared" si="0"/>
        <v>0</v>
      </c>
      <c r="AJ9" s="86">
        <f t="shared" si="0"/>
        <v>0</v>
      </c>
      <c r="AK9" s="86">
        <f t="shared" si="0"/>
        <v>0</v>
      </c>
      <c r="AL9" s="86">
        <f t="shared" si="0"/>
        <v>0</v>
      </c>
      <c r="AM9" s="86">
        <f t="shared" si="0"/>
        <v>0</v>
      </c>
      <c r="AN9" s="86">
        <f t="shared" si="0"/>
        <v>0</v>
      </c>
      <c r="AO9" s="86">
        <f t="shared" si="0"/>
        <v>0</v>
      </c>
      <c r="AP9" s="27"/>
      <c r="AQ9" s="27"/>
      <c r="AR9" s="28"/>
      <c r="AS9" s="3"/>
      <c r="AT9" s="28"/>
    </row>
    <row r="10" spans="1:83" s="10" customFormat="1" x14ac:dyDescent="0.25">
      <c r="A10" s="99"/>
      <c r="B10" s="100"/>
      <c r="C10" s="100"/>
      <c r="D10" s="101"/>
      <c r="E10" s="101"/>
      <c r="F10" s="102"/>
      <c r="G10" s="101"/>
      <c r="H10" s="102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3"/>
      <c r="AQ10" s="104"/>
      <c r="AR10" s="105"/>
      <c r="AT10" s="80"/>
    </row>
    <row r="11" spans="1:83" s="10" customFormat="1" ht="15.75" thickBot="1" x14ac:dyDescent="0.3">
      <c r="A11" s="92" t="s">
        <v>214</v>
      </c>
      <c r="B11" s="93" t="s">
        <v>215</v>
      </c>
      <c r="C11" s="93" t="s">
        <v>216</v>
      </c>
      <c r="D11" s="94">
        <v>250000</v>
      </c>
      <c r="E11" s="94">
        <f>'AT-Ing Terr'!$G11+'AT-Ing Terr'!$AO11</f>
        <v>200000</v>
      </c>
      <c r="F11" s="95">
        <f>'AT-Ing Terr'!$E11/'AT-Ing Terr'!$D11</f>
        <v>0.8</v>
      </c>
      <c r="G11" s="94">
        <f>'AT-Ing Terr'!$I11+'AT-Ing Terr'!$J11+'AT-Ing Terr'!$M11+'AT-Ing Terr'!$R11</f>
        <v>25000</v>
      </c>
      <c r="H11" s="95">
        <f>'AT-Ing Terr'!$G11/'AT-Ing Terr'!$D11</f>
        <v>0.1</v>
      </c>
      <c r="I11" s="94">
        <v>0</v>
      </c>
      <c r="J11" s="94">
        <f>'AT-Ing Terr'!$K11+'AT-Ing Terr'!$L11</f>
        <v>25000</v>
      </c>
      <c r="K11" s="94">
        <v>25000</v>
      </c>
      <c r="L11" s="94"/>
      <c r="M11" s="94">
        <f>'AT-Ing Terr'!$N11+'AT-Ing Terr'!$O11+'AT-Ing Terr'!$P11+'AT-Ing Terr'!$Q11</f>
        <v>0</v>
      </c>
      <c r="N11" s="94"/>
      <c r="O11" s="94"/>
      <c r="P11" s="94"/>
      <c r="Q11" s="94"/>
      <c r="R11" s="94">
        <f>'AT-Ing Terr'!$S11+'AT-Ing Terr'!$T11+'AT-Ing Terr'!$U11+'AT-Ing Terr'!$V11+'AT-Ing Terr'!$W11+'AT-Ing Terr'!$X11+'AT-Ing Terr'!$Y11+'AT-Ing Terr'!$Z11+'AT-Ing Terr'!$AA11+'AT-Ing Terr'!$AB11+'AT-Ing Terr'!$AC11+'AT-Ing Terr'!$AD11+'AT-Ing Terr'!$AE11+'AT-Ing Terr'!$AF11+'AT-Ing Terr'!$AG11+'AT-Ing Terr'!$AH11+'AT-Ing Terr'!$AI11+'AT-Ing Terr'!$AJ11+'AT-Ing Terr'!$AK11+'AT-Ing Terr'!$AL11+'AT-Ing Terr'!$AM11+'AT-Ing Terr'!$AN11</f>
        <v>0</v>
      </c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>
        <v>175000</v>
      </c>
      <c r="AP11" s="96" t="s">
        <v>149</v>
      </c>
      <c r="AQ11" s="97">
        <v>42736</v>
      </c>
      <c r="AR11" s="98" t="s">
        <v>149</v>
      </c>
      <c r="AT11" s="47"/>
    </row>
    <row r="12" spans="1:83" s="10" customFormat="1" ht="15.75" thickTop="1" x14ac:dyDescent="0.25">
      <c r="A12" s="87" t="s">
        <v>8</v>
      </c>
      <c r="B12" s="88">
        <f>SUBTOTAL(103,B11)</f>
        <v>1</v>
      </c>
      <c r="C12" s="88"/>
      <c r="D12" s="86">
        <f>SUBTOTAL(109,D11)</f>
        <v>250000</v>
      </c>
      <c r="E12" s="86">
        <f t="shared" ref="E12:AO12" si="1">SUBTOTAL(109,E11)</f>
        <v>200000</v>
      </c>
      <c r="F12" s="86"/>
      <c r="G12" s="86">
        <f t="shared" si="1"/>
        <v>25000</v>
      </c>
      <c r="H12" s="86"/>
      <c r="I12" s="86">
        <f t="shared" si="1"/>
        <v>0</v>
      </c>
      <c r="J12" s="86">
        <f t="shared" si="1"/>
        <v>25000</v>
      </c>
      <c r="K12" s="86">
        <f t="shared" si="1"/>
        <v>25000</v>
      </c>
      <c r="L12" s="86">
        <f t="shared" si="1"/>
        <v>0</v>
      </c>
      <c r="M12" s="86">
        <f t="shared" si="1"/>
        <v>0</v>
      </c>
      <c r="N12" s="86">
        <f t="shared" si="1"/>
        <v>0</v>
      </c>
      <c r="O12" s="86">
        <f t="shared" si="1"/>
        <v>0</v>
      </c>
      <c r="P12" s="86">
        <f t="shared" si="1"/>
        <v>0</v>
      </c>
      <c r="Q12" s="86">
        <f t="shared" si="1"/>
        <v>0</v>
      </c>
      <c r="R12" s="86">
        <f t="shared" si="1"/>
        <v>0</v>
      </c>
      <c r="S12" s="86">
        <f t="shared" si="1"/>
        <v>0</v>
      </c>
      <c r="T12" s="86">
        <f t="shared" si="1"/>
        <v>0</v>
      </c>
      <c r="U12" s="86">
        <f t="shared" si="1"/>
        <v>0</v>
      </c>
      <c r="V12" s="86">
        <f t="shared" si="1"/>
        <v>0</v>
      </c>
      <c r="W12" s="86">
        <f t="shared" si="1"/>
        <v>0</v>
      </c>
      <c r="X12" s="86">
        <f t="shared" si="1"/>
        <v>0</v>
      </c>
      <c r="Y12" s="86">
        <f t="shared" si="1"/>
        <v>0</v>
      </c>
      <c r="Z12" s="86">
        <f t="shared" si="1"/>
        <v>0</v>
      </c>
      <c r="AA12" s="86">
        <f t="shared" si="1"/>
        <v>0</v>
      </c>
      <c r="AB12" s="86">
        <f t="shared" si="1"/>
        <v>0</v>
      </c>
      <c r="AC12" s="86">
        <f t="shared" si="1"/>
        <v>0</v>
      </c>
      <c r="AD12" s="86">
        <f t="shared" si="1"/>
        <v>0</v>
      </c>
      <c r="AE12" s="86">
        <f t="shared" si="1"/>
        <v>0</v>
      </c>
      <c r="AF12" s="86">
        <f t="shared" si="1"/>
        <v>0</v>
      </c>
      <c r="AG12" s="86">
        <f t="shared" si="1"/>
        <v>0</v>
      </c>
      <c r="AH12" s="86">
        <f t="shared" si="1"/>
        <v>0</v>
      </c>
      <c r="AI12" s="86">
        <f t="shared" si="1"/>
        <v>0</v>
      </c>
      <c r="AJ12" s="86">
        <f t="shared" si="1"/>
        <v>0</v>
      </c>
      <c r="AK12" s="86">
        <f t="shared" si="1"/>
        <v>0</v>
      </c>
      <c r="AL12" s="86">
        <f t="shared" si="1"/>
        <v>0</v>
      </c>
      <c r="AM12" s="86">
        <f t="shared" si="1"/>
        <v>0</v>
      </c>
      <c r="AN12" s="86">
        <f t="shared" si="1"/>
        <v>0</v>
      </c>
      <c r="AO12" s="86">
        <f t="shared" si="1"/>
        <v>175000</v>
      </c>
      <c r="AP12" s="27"/>
      <c r="AQ12" s="27"/>
      <c r="AR12" s="28"/>
      <c r="AS12" s="3"/>
      <c r="AT12" s="28"/>
    </row>
    <row r="13" spans="1:83" s="10" customFormat="1" x14ac:dyDescent="0.25">
      <c r="A13" s="3"/>
      <c r="B13" s="4"/>
      <c r="C13" s="5"/>
      <c r="D13" s="3"/>
      <c r="E13" s="3"/>
      <c r="F13" s="6"/>
      <c r="G13" s="3"/>
      <c r="H13" s="6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83" x14ac:dyDescent="0.25">
      <c r="CB14" s="4"/>
      <c r="CE14" s="3"/>
    </row>
    <row r="15" spans="1:83" x14ac:dyDescent="0.25">
      <c r="CB15" s="4"/>
      <c r="CE15" s="3"/>
    </row>
    <row r="16" spans="1:83" x14ac:dyDescent="0.25">
      <c r="CB16" s="4"/>
      <c r="CE16" s="3"/>
    </row>
    <row r="17" spans="1:83" x14ac:dyDescent="0.25">
      <c r="CB17" s="4"/>
      <c r="CE17" s="3"/>
    </row>
    <row r="18" spans="1:83" x14ac:dyDescent="0.25">
      <c r="CB18" s="4"/>
      <c r="CE18" s="3"/>
    </row>
    <row r="19" spans="1:83" s="7" customFormat="1" x14ac:dyDescent="0.25">
      <c r="A19" s="3"/>
      <c r="B19" s="4"/>
      <c r="C19" s="5"/>
      <c r="D19" s="3"/>
      <c r="E19" s="3"/>
      <c r="F19" s="6"/>
      <c r="G19" s="3"/>
      <c r="H19" s="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83" s="10" customFormat="1" x14ac:dyDescent="0.25">
      <c r="A20" s="3"/>
      <c r="B20" s="4"/>
      <c r="C20" s="5"/>
      <c r="D20" s="3"/>
      <c r="E20" s="3"/>
      <c r="F20" s="6"/>
      <c r="G20" s="3"/>
      <c r="H20" s="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83" hidden="1" x14ac:dyDescent="0.25">
      <c r="CD21" s="4"/>
      <c r="CE21" s="3"/>
    </row>
    <row r="22" spans="1:83" hidden="1" x14ac:dyDescent="0.25">
      <c r="E22" s="3" t="s">
        <v>83</v>
      </c>
      <c r="F22" s="6" t="s">
        <v>81</v>
      </c>
    </row>
    <row r="23" spans="1:83" hidden="1" x14ac:dyDescent="0.25">
      <c r="D23" t="s">
        <v>57</v>
      </c>
      <c r="E23" s="3">
        <f>H23+AO23</f>
        <v>0</v>
      </c>
      <c r="F23" s="3">
        <f>I23+AP23</f>
        <v>0</v>
      </c>
      <c r="H23" s="3">
        <f>SUMIF('AT-Ing Terr'!$AR$7:$AR$11,"1-Favorable",'AT-Ing Terr'!$I$7:$I$11)</f>
        <v>0</v>
      </c>
      <c r="I23" s="3">
        <f>SUMIF('AT-Ing Terr'!$AP$7:$AP$11,"1-Favorable",'AT-Ing Terr'!$I$7:$I$11)</f>
        <v>0</v>
      </c>
      <c r="AO23" s="3">
        <f>SUMIF('AT-Ing Terr'!$AR$7:$AR$11,"2-Favorable sous réserve",'AT-Ing Terr'!$I$7:$I$11)</f>
        <v>0</v>
      </c>
      <c r="AP23" s="3">
        <f>SUMIF('AT-Ing Terr'!$AP$7:$AP$11,"2-Favorable sous réserve",'AT-Ing Terr'!$I$7:$I$11)</f>
        <v>0</v>
      </c>
    </row>
    <row r="24" spans="1:83" hidden="1" x14ac:dyDescent="0.25">
      <c r="D24" t="s">
        <v>46</v>
      </c>
      <c r="E24" s="3">
        <f t="shared" ref="E24:E52" si="2">H24+AO24</f>
        <v>339765.58</v>
      </c>
      <c r="F24" s="3">
        <f t="shared" ref="F24:F52" si="3">I24+AP24</f>
        <v>339765.58</v>
      </c>
      <c r="H24" s="3">
        <f>SUMIF('AT-Ing Terr'!$AR$7:$AR$11,"1-Favorable",'AT-Ing Terr'!$J$7:$J$11)</f>
        <v>339765.58</v>
      </c>
      <c r="I24" s="3">
        <f>SUMIF('AT-Ing Terr'!$AP$7:$AP$11,"1-Favorable",'AT-Ing Terr'!$J$7:$J$11)</f>
        <v>25000</v>
      </c>
      <c r="AO24" s="3">
        <f>SUMIF('AT-Ing Terr'!$AR$7:$AR$11,"2-Favorable sous réserve",'AT-Ing Terr'!$J$7:$J$11)</f>
        <v>0</v>
      </c>
      <c r="AP24" s="3">
        <f>SUMIF('AT-Ing Terr'!$AP$7:$AP$11,"2-Favorable sous réserve",'AT-Ing Terr'!$J$7:$J$11)</f>
        <v>314765.58</v>
      </c>
    </row>
    <row r="25" spans="1:83" hidden="1" x14ac:dyDescent="0.25">
      <c r="D25" t="s">
        <v>47</v>
      </c>
      <c r="E25" s="3">
        <f t="shared" si="2"/>
        <v>0</v>
      </c>
      <c r="F25" s="3">
        <f t="shared" si="3"/>
        <v>0</v>
      </c>
      <c r="H25" s="3">
        <f>SUMIF('AT-Ing Terr'!$AR$7:$AR$11,"1-Favorable",'AT-Ing Terr'!$M$7:$M$11)</f>
        <v>0</v>
      </c>
      <c r="I25" s="3">
        <f>SUMIF('AT-Ing Terr'!$AP$7:$AP$11,"1-Favorable",'AT-Ing Terr'!$M$7:$M$11)</f>
        <v>0</v>
      </c>
      <c r="AO25" s="3">
        <f>SUMIF('AT-Ing Terr'!$AR$7:$AR$11,"2-Favorable sous réserve",'AT-Ing Terr'!$M$7:$M$11)</f>
        <v>0</v>
      </c>
      <c r="AP25" s="3">
        <f>SUMIF('AT-Ing Terr'!$AP$7:$AP$11,"2-Favorable sous réserve",'AT-Ing Terr'!$M$7:$M$11)</f>
        <v>0</v>
      </c>
    </row>
    <row r="26" spans="1:83" hidden="1" x14ac:dyDescent="0.25">
      <c r="D26" s="3" t="s">
        <v>58</v>
      </c>
      <c r="E26" s="3">
        <f t="shared" si="2"/>
        <v>0</v>
      </c>
      <c r="F26" s="3">
        <f t="shared" si="3"/>
        <v>0</v>
      </c>
      <c r="H26" s="3">
        <f>SUMIF('AT-Ing Terr'!$AR$7:$AR$11,"1-Favorable",'AT-Ing Terr'!$N$7:$N$11)</f>
        <v>0</v>
      </c>
      <c r="I26" s="3">
        <f>SUMIF('AT-Ing Terr'!$AP$7:$AP$11,"1-Favorable",'AT-Ing Terr'!$N$7:$N$11)</f>
        <v>0</v>
      </c>
      <c r="AO26" s="3">
        <f>SUMIF('AT-Ing Terr'!$AR$7:$AR$11,"2-Favorable sous réserve",'AT-Ing Terr'!$N$7:$N$11)</f>
        <v>0</v>
      </c>
      <c r="AP26" s="3">
        <f>SUMIF('AT-Ing Terr'!$AP$7:$AP$11,"2-Favorable sous réserve",'AT-Ing Terr'!$N$7:$N$11)</f>
        <v>0</v>
      </c>
    </row>
    <row r="27" spans="1:83" hidden="1" x14ac:dyDescent="0.25">
      <c r="D27" s="3" t="s">
        <v>59</v>
      </c>
      <c r="E27" s="3">
        <f t="shared" si="2"/>
        <v>0</v>
      </c>
      <c r="F27" s="3">
        <f t="shared" si="3"/>
        <v>0</v>
      </c>
      <c r="H27" s="3">
        <f>SUMIF('AT-Ing Terr'!$AR$7:$AR$11,"1-Favorable",'AT-Ing Terr'!$O$7:$O$11)</f>
        <v>0</v>
      </c>
      <c r="I27" s="3">
        <f>SUMIF('AT-Ing Terr'!$AP$7:$AP$11,"1-Favorable",'AT-Ing Terr'!$O$7:$O$11)</f>
        <v>0</v>
      </c>
      <c r="AO27" s="3">
        <f>SUMIF('AT-Ing Terr'!$AR$7:$AR$11,"2-Favorable sous réserve",'AT-Ing Terr'!$O$7:$O$11)</f>
        <v>0</v>
      </c>
      <c r="AP27" s="3">
        <f>SUMIF('AT-Ing Terr'!$AP$7:$AP$11,"2-Favorable sous réserve",'AT-Ing Terr'!$O$7:$O$11)</f>
        <v>0</v>
      </c>
    </row>
    <row r="28" spans="1:83" hidden="1" x14ac:dyDescent="0.25">
      <c r="D28" s="3" t="s">
        <v>60</v>
      </c>
      <c r="E28" s="3">
        <f t="shared" si="2"/>
        <v>0</v>
      </c>
      <c r="F28" s="3">
        <f t="shared" si="3"/>
        <v>0</v>
      </c>
      <c r="H28" s="3">
        <f>SUMIF('AT-Ing Terr'!$AR$7:$AR$11,"1-Favorable",'AT-Ing Terr'!$P$7:$P$11)</f>
        <v>0</v>
      </c>
      <c r="I28" s="3">
        <f>SUMIF('AT-Ing Terr'!$AP$7:$AP$11,"1-Favorable",'AT-Ing Terr'!$P$7:$P$11)</f>
        <v>0</v>
      </c>
      <c r="AO28" s="3">
        <f>SUMIF('AT-Ing Terr'!$AR$7:$AR$11,"2-Favorable sous réserve",'AT-Ing Terr'!$P$7:$P$11)</f>
        <v>0</v>
      </c>
      <c r="AP28" s="3">
        <f>SUMIF('AT-Ing Terr'!$AP$7:$AP$11,"2-Favorable sous réserve",'AT-Ing Terr'!$P$7:$P$11)</f>
        <v>0</v>
      </c>
    </row>
    <row r="29" spans="1:83" hidden="1" x14ac:dyDescent="0.25">
      <c r="D29" s="3" t="s">
        <v>61</v>
      </c>
      <c r="E29" s="3">
        <f t="shared" si="2"/>
        <v>0</v>
      </c>
      <c r="F29" s="3">
        <f t="shared" si="3"/>
        <v>0</v>
      </c>
      <c r="H29" s="3">
        <f>SUMIF('AT-Ing Terr'!$AR$7:$AR$11,"1-Favorable",'AT-Ing Terr'!$Q$7:$Q$11)</f>
        <v>0</v>
      </c>
      <c r="I29" s="3">
        <f>SUMIF('AT-Ing Terr'!$AP$7:$AP$11,"1-Favorable",'AT-Ing Terr'!$Q$7:$Q$11)</f>
        <v>0</v>
      </c>
      <c r="AO29" s="3">
        <f>SUMIF('AT-Ing Terr'!$AR$7:$AR$11,"2-Favorable sous réserve",'AT-Ing Terr'!$Q$7:$Q$11)</f>
        <v>0</v>
      </c>
      <c r="AP29" s="3">
        <f>SUMIF('AT-Ing Terr'!$AP$7:$AP$11,"2-Favorable sous réserve",'AT-Ing Terr'!$Q$7:$Q$11)</f>
        <v>0</v>
      </c>
    </row>
    <row r="30" spans="1:83" hidden="1" x14ac:dyDescent="0.25">
      <c r="D30" t="s">
        <v>48</v>
      </c>
      <c r="E30" s="3">
        <f t="shared" si="2"/>
        <v>9000</v>
      </c>
      <c r="F30" s="3">
        <f t="shared" si="3"/>
        <v>9000</v>
      </c>
      <c r="H30" s="3">
        <f>SUMIF('AT-Ing Terr'!$AR$7:$AR$11,"1-Favorable",'AT-Ing Terr'!$R$7:$R$11)</f>
        <v>9000</v>
      </c>
      <c r="I30" s="3">
        <f>SUMIF('AT-Ing Terr'!$AP$7:$AP$11,"1-Favorable",'AT-Ing Terr'!$R$7:$R$11)</f>
        <v>0</v>
      </c>
      <c r="AO30" s="3">
        <f>SUMIF('AT-Ing Terr'!$AR$7:$AR$11,"2-Favorable sous réserve",'AT-Ing Terr'!$R$7:$R$11)</f>
        <v>0</v>
      </c>
      <c r="AP30" s="3">
        <f>SUMIF('AT-Ing Terr'!$AP$7:$AP$11,"2-Favorable sous réserve",'AT-Ing Terr'!$R$7:$R$11)</f>
        <v>9000</v>
      </c>
    </row>
    <row r="31" spans="1:83" hidden="1" x14ac:dyDescent="0.25">
      <c r="D31" t="s">
        <v>22</v>
      </c>
      <c r="E31" s="3">
        <f t="shared" si="2"/>
        <v>0</v>
      </c>
      <c r="F31" s="3">
        <f t="shared" si="3"/>
        <v>0</v>
      </c>
      <c r="H31" s="3">
        <f>SUMIF('AT-Ing Terr'!$AR$7:$AR$11,"1-Favorable",'AT-Ing Terr'!$S$7:$S$11)</f>
        <v>0</v>
      </c>
      <c r="I31" s="3">
        <f>SUMIF('AT-Ing Terr'!$AP$7:$AP$11,"1-Favorable",'AT-Ing Terr'!$S$7:$S$11)</f>
        <v>0</v>
      </c>
      <c r="AO31" s="3">
        <f>SUMIF('AT-Ing Terr'!$AR$7:$AR$11,"2-Favorable sous réserve",'AT-Ing Terr'!$S$7:$S$11)</f>
        <v>0</v>
      </c>
      <c r="AP31" s="3">
        <f>SUMIF('AT-Ing Terr'!$AP$7:$AP$11,"2-Favorable sous réserve",'AT-Ing Terr'!$S$7:$S$11)</f>
        <v>0</v>
      </c>
    </row>
    <row r="32" spans="1:83" hidden="1" x14ac:dyDescent="0.25">
      <c r="D32" t="s">
        <v>23</v>
      </c>
      <c r="E32" s="3">
        <f t="shared" si="2"/>
        <v>0</v>
      </c>
      <c r="F32" s="3">
        <f t="shared" si="3"/>
        <v>0</v>
      </c>
      <c r="H32" s="3">
        <f>SUMIF('AT-Ing Terr'!$AR$7:$AR$11,"1-Favorable",'AT-Ing Terr'!$T$7:$T$11)</f>
        <v>0</v>
      </c>
      <c r="I32" s="3">
        <f>SUMIF('AT-Ing Terr'!$AP$7:$AP$11,"1-Favorable",'AT-Ing Terr'!$T$7:$T$11)</f>
        <v>0</v>
      </c>
      <c r="AO32" s="3">
        <f>SUMIF('AT-Ing Terr'!$AR$7:$AR$11,"2-Favorable sous réserve",'AT-Ing Terr'!$T$7:$T$11)</f>
        <v>0</v>
      </c>
      <c r="AP32" s="3">
        <f>SUMIF('AT-Ing Terr'!$AP$7:$AP$11,"2-Favorable sous réserve",'AT-Ing Terr'!$T$7:$T$11)</f>
        <v>0</v>
      </c>
    </row>
    <row r="33" spans="4:42" hidden="1" x14ac:dyDescent="0.25">
      <c r="D33" t="s">
        <v>24</v>
      </c>
      <c r="E33" s="3">
        <f t="shared" si="2"/>
        <v>0</v>
      </c>
      <c r="F33" s="3">
        <f t="shared" si="3"/>
        <v>0</v>
      </c>
      <c r="H33" s="3">
        <f>SUMIF('AT-Ing Terr'!$AR$7:$AR$11,"1-Favorable",'AT-Ing Terr'!$U$7:$U$11)</f>
        <v>0</v>
      </c>
      <c r="I33" s="3">
        <f>SUMIF('AT-Ing Terr'!$AP$7:$AP$11,"1-Favorable",'AT-Ing Terr'!$U$7:$U$11)</f>
        <v>0</v>
      </c>
      <c r="AO33" s="3">
        <f>SUMIF('AT-Ing Terr'!$AR$7:$AR$11,"2-Favorable sous réserve",'AT-Ing Terr'!$U$7:$U$11)</f>
        <v>0</v>
      </c>
      <c r="AP33" s="3">
        <f>SUMIF('AT-Ing Terr'!$AP$7:$AP$11,"2-Favorable sous réserve",'AT-Ing Terr'!$U$7:$U$11)</f>
        <v>0</v>
      </c>
    </row>
    <row r="34" spans="4:42" hidden="1" x14ac:dyDescent="0.25">
      <c r="D34" t="s">
        <v>25</v>
      </c>
      <c r="E34" s="3">
        <f t="shared" si="2"/>
        <v>0</v>
      </c>
      <c r="F34" s="3">
        <f t="shared" si="3"/>
        <v>0</v>
      </c>
      <c r="H34" s="3">
        <f>SUMIF('AT-Ing Terr'!$AR$7:$AR$11,"1-Favorable",'AT-Ing Terr'!$V$7:$V$11)</f>
        <v>0</v>
      </c>
      <c r="I34" s="3">
        <f>SUMIF('AT-Ing Terr'!$AP$7:$AP$11,"1-Favorable",'AT-Ing Terr'!$V$7:$V$11)</f>
        <v>0</v>
      </c>
      <c r="AO34" s="3">
        <f>SUMIF('AT-Ing Terr'!$AR$7:$AR$11,"2-Favorable sous réserve",'AT-Ing Terr'!$V$7:$V$11)</f>
        <v>0</v>
      </c>
      <c r="AP34" s="3">
        <f>SUMIF('AT-Ing Terr'!$AP$7:$AP$11,"2-Favorable sous réserve",'AT-Ing Terr'!$V$7:$V$11)</f>
        <v>0</v>
      </c>
    </row>
    <row r="35" spans="4:42" hidden="1" x14ac:dyDescent="0.25">
      <c r="D35" t="s">
        <v>26</v>
      </c>
      <c r="E35" s="3">
        <f t="shared" si="2"/>
        <v>0</v>
      </c>
      <c r="F35" s="3">
        <f t="shared" si="3"/>
        <v>0</v>
      </c>
      <c r="H35" s="3">
        <f>SUMIF('AT-Ing Terr'!$AR$7:$AR$11,"1-Favorable",'AT-Ing Terr'!$W$7:$W$11)</f>
        <v>0</v>
      </c>
      <c r="I35" s="3">
        <f>SUMIF('AT-Ing Terr'!$AP$7:$AP$11,"1-Favorable",'AT-Ing Terr'!$W$7:$W$11)</f>
        <v>0</v>
      </c>
      <c r="AO35" s="3">
        <f>SUMIF('AT-Ing Terr'!$AR$7:$AR$11,"2-Favorable sous réserve",'AT-Ing Terr'!$W$7:$W$11)</f>
        <v>0</v>
      </c>
      <c r="AP35" s="3">
        <f>SUMIF('AT-Ing Terr'!$AP$7:$AP$11,"2-Favorable sous réserve",'AT-Ing Terr'!$W$7:$W$11)</f>
        <v>0</v>
      </c>
    </row>
    <row r="36" spans="4:42" hidden="1" x14ac:dyDescent="0.25">
      <c r="D36" t="s">
        <v>27</v>
      </c>
      <c r="E36" s="3">
        <f t="shared" si="2"/>
        <v>9000</v>
      </c>
      <c r="F36" s="3">
        <f t="shared" si="3"/>
        <v>9000</v>
      </c>
      <c r="H36" s="3">
        <f>SUMIF('AT-Ing Terr'!$AR$7:$AR$11,"1-Favorable",'AT-Ing Terr'!$X$7:$X$11)</f>
        <v>9000</v>
      </c>
      <c r="I36" s="3">
        <f>SUMIF('AT-Ing Terr'!$AP$7:$AP$11,"1-Favorable",'AT-Ing Terr'!$X$7:$X$11)</f>
        <v>0</v>
      </c>
      <c r="AO36" s="3">
        <f>SUMIF('AT-Ing Terr'!$AR$7:$AR$11,"2-Favorable sous réserve",'AT-Ing Terr'!$X$7:$X$11)</f>
        <v>0</v>
      </c>
      <c r="AP36" s="3">
        <f>SUMIF('AT-Ing Terr'!$AP$7:$AP$11,"2-Favorable sous réserve",'AT-Ing Terr'!$X$7:$X$11)</f>
        <v>9000</v>
      </c>
    </row>
    <row r="37" spans="4:42" hidden="1" x14ac:dyDescent="0.25">
      <c r="D37" t="s">
        <v>28</v>
      </c>
      <c r="E37" s="3">
        <f t="shared" si="2"/>
        <v>0</v>
      </c>
      <c r="F37" s="3">
        <f t="shared" si="3"/>
        <v>0</v>
      </c>
      <c r="H37" s="3">
        <f>SUMIF('AT-Ing Terr'!$AR$7:$AR$11,"1-Favorable",'AT-Ing Terr'!$Y$7:$Y$11)</f>
        <v>0</v>
      </c>
      <c r="I37" s="3">
        <f>SUMIF('AT-Ing Terr'!$AP$7:$AP$11,"1-Favorable",'AT-Ing Terr'!$Y$7:$Y$11)</f>
        <v>0</v>
      </c>
      <c r="AO37" s="3">
        <f>SUMIF('AT-Ing Terr'!$AR$7:$AR$11,"2-Favorable sous réserve",'AT-Ing Terr'!$Y$7:$Y$11)</f>
        <v>0</v>
      </c>
      <c r="AP37" s="3">
        <f>SUMIF('AT-Ing Terr'!$AP$7:$AP$11,"2-Favorable sous réserve",'AT-Ing Terr'!$Y$7:$Y$11)</f>
        <v>0</v>
      </c>
    </row>
    <row r="38" spans="4:42" hidden="1" x14ac:dyDescent="0.25">
      <c r="D38" t="s">
        <v>29</v>
      </c>
      <c r="E38" s="3">
        <f t="shared" si="2"/>
        <v>0</v>
      </c>
      <c r="F38" s="3">
        <f t="shared" si="3"/>
        <v>0</v>
      </c>
      <c r="H38" s="3">
        <f>SUMIF('AT-Ing Terr'!$AR$7:$AR$11,"1-Favorable",'AT-Ing Terr'!$Z$7:$Z$11)</f>
        <v>0</v>
      </c>
      <c r="I38" s="3">
        <f>SUMIF('AT-Ing Terr'!$AP$7:$AP$11,"1-Favorable",'AT-Ing Terr'!$Z$7:$Z$11)</f>
        <v>0</v>
      </c>
      <c r="AO38" s="3">
        <f>SUMIF('AT-Ing Terr'!$AR$7:$AR$11,"2-Favorable sous réserve",'AT-Ing Terr'!$Z$7:$Z$11)</f>
        <v>0</v>
      </c>
      <c r="AP38" s="3">
        <f>SUMIF('AT-Ing Terr'!$AP$7:$AP$11,"2-Favorable sous réserve",'AT-Ing Terr'!$Z$7:$Z$11)</f>
        <v>0</v>
      </c>
    </row>
    <row r="39" spans="4:42" hidden="1" x14ac:dyDescent="0.25">
      <c r="D39" t="s">
        <v>30</v>
      </c>
      <c r="E39" s="3">
        <f t="shared" si="2"/>
        <v>0</v>
      </c>
      <c r="F39" s="3">
        <f t="shared" si="3"/>
        <v>0</v>
      </c>
      <c r="H39" s="3">
        <f>SUMIF('AT-Ing Terr'!$AR$7:$AR$11,"1-Favorable",'AT-Ing Terr'!$AA$7:$AA$11)</f>
        <v>0</v>
      </c>
      <c r="I39" s="3">
        <f>SUMIF('AT-Ing Terr'!$AP$7:$AP$11,"1-Favorable",'AT-Ing Terr'!$AA$7:$AA$11)</f>
        <v>0</v>
      </c>
      <c r="AO39" s="3">
        <f>SUMIF('AT-Ing Terr'!$AR$7:$AR$11,"2-Favorable sous réserve",'AT-Ing Terr'!$AA$7:$AA$11)</f>
        <v>0</v>
      </c>
      <c r="AP39" s="3">
        <f>SUMIF('AT-Ing Terr'!$AP$7:$AP$11,"2-Favorable sous réserve",'AT-Ing Terr'!$AA$7:$AA$11)</f>
        <v>0</v>
      </c>
    </row>
    <row r="40" spans="4:42" hidden="1" x14ac:dyDescent="0.25">
      <c r="D40" t="s">
        <v>31</v>
      </c>
      <c r="E40" s="3">
        <f t="shared" si="2"/>
        <v>0</v>
      </c>
      <c r="F40" s="3">
        <f t="shared" si="3"/>
        <v>0</v>
      </c>
      <c r="H40" s="3">
        <f>SUMIF('AT-Ing Terr'!$AR$7:$AR$11,"1-Favorable",'AT-Ing Terr'!$AB$7:$AB$11)</f>
        <v>0</v>
      </c>
      <c r="I40" s="3">
        <f>SUMIF('AT-Ing Terr'!$AP$7:$AP$11,"1-Favorable",'AT-Ing Terr'!$AB$7:$AB$11)</f>
        <v>0</v>
      </c>
      <c r="AO40" s="3">
        <f>SUMIF('AT-Ing Terr'!$AR$7:$AR$11,"2-Favorable sous réserve",'AT-Ing Terr'!$AB$7:$AB$11)</f>
        <v>0</v>
      </c>
      <c r="AP40" s="3">
        <f>SUMIF('AT-Ing Terr'!$AP$7:$AP$11,"2-Favorable sous réserve",'AT-Ing Terr'!$AB$7:$AB$11)</f>
        <v>0</v>
      </c>
    </row>
    <row r="41" spans="4:42" hidden="1" x14ac:dyDescent="0.25">
      <c r="D41" t="s">
        <v>32</v>
      </c>
      <c r="E41" s="3">
        <f t="shared" si="2"/>
        <v>0</v>
      </c>
      <c r="F41" s="3">
        <f t="shared" si="3"/>
        <v>0</v>
      </c>
      <c r="H41" s="3">
        <f>SUMIF('AT-Ing Terr'!$AR$7:$AR$11,"1-Favorable",'AT-Ing Terr'!$AC$7:$AC$11)</f>
        <v>0</v>
      </c>
      <c r="I41" s="3">
        <f>SUMIF('AT-Ing Terr'!$AP$7:$AP$11,"1-Favorable",'AT-Ing Terr'!$AC$7:$AC$11)</f>
        <v>0</v>
      </c>
      <c r="AO41" s="3">
        <f>SUMIF('AT-Ing Terr'!$AR$7:$AR$11,"2-Favorable sous réserve",'AT-Ing Terr'!$AC$7:$AC$11)</f>
        <v>0</v>
      </c>
      <c r="AP41" s="3">
        <f>SUMIF('AT-Ing Terr'!$AP$7:$AP$11,"2-Favorable sous réserve",'AT-Ing Terr'!$AC$7:$AC$11)</f>
        <v>0</v>
      </c>
    </row>
    <row r="42" spans="4:42" hidden="1" x14ac:dyDescent="0.25">
      <c r="D42" t="s">
        <v>33</v>
      </c>
      <c r="E42" s="3">
        <f t="shared" si="2"/>
        <v>0</v>
      </c>
      <c r="F42" s="3">
        <f t="shared" si="3"/>
        <v>0</v>
      </c>
      <c r="H42" s="3">
        <f>SUMIF('AT-Ing Terr'!$AR$7:$AR$11,"1-Favorable",'AT-Ing Terr'!$AD$7:$AD$11)</f>
        <v>0</v>
      </c>
      <c r="I42" s="3">
        <f>SUMIF('AT-Ing Terr'!$AP$7:$AP$11,"1-Favorable",'AT-Ing Terr'!$AD$7:$AD$11)</f>
        <v>0</v>
      </c>
      <c r="AO42" s="3">
        <f>SUMIF('AT-Ing Terr'!$AR$7:$AR$11,"2-Favorable sous réserve",'AT-Ing Terr'!$AD$7:$AD$11)</f>
        <v>0</v>
      </c>
      <c r="AP42" s="3">
        <f>SUMIF('AT-Ing Terr'!$AP$7:$AP$11,"2-Favorable sous réserve",'AT-Ing Terr'!$AD$7:$AD$11)</f>
        <v>0</v>
      </c>
    </row>
    <row r="43" spans="4:42" hidden="1" x14ac:dyDescent="0.25">
      <c r="D43" t="s">
        <v>34</v>
      </c>
      <c r="E43" s="3">
        <f t="shared" si="2"/>
        <v>0</v>
      </c>
      <c r="F43" s="3">
        <f t="shared" si="3"/>
        <v>0</v>
      </c>
      <c r="H43" s="3">
        <f>SUMIF('AT-Ing Terr'!$AR$7:$AR$11,"1-Favorable",'AT-Ing Terr'!$AE$7:$AE$11)</f>
        <v>0</v>
      </c>
      <c r="I43" s="3">
        <f>SUMIF('AT-Ing Terr'!$AP$7:$AP$11,"1-Favorable",'AT-Ing Terr'!$AE$7:$AE$11)</f>
        <v>0</v>
      </c>
      <c r="AO43" s="3">
        <f>SUMIF('AT-Ing Terr'!$AR$7:$AR$11,"2-Favorable sous réserve",'AT-Ing Terr'!$AE$7:$AE$11)</f>
        <v>0</v>
      </c>
      <c r="AP43" s="3">
        <f>SUMIF('AT-Ing Terr'!$AP$7:$AP$11,"2-Favorable sous réserve",'AT-Ing Terr'!$AE$7:$AE$11)</f>
        <v>0</v>
      </c>
    </row>
    <row r="44" spans="4:42" hidden="1" x14ac:dyDescent="0.25">
      <c r="D44" t="s">
        <v>35</v>
      </c>
      <c r="E44" s="3">
        <f t="shared" si="2"/>
        <v>0</v>
      </c>
      <c r="F44" s="3">
        <f t="shared" si="3"/>
        <v>0</v>
      </c>
      <c r="H44" s="3">
        <f>SUMIF('AT-Ing Terr'!$AR$7:$AR$11,"1-Favorable",'AT-Ing Terr'!$AF$7:$AF$11)</f>
        <v>0</v>
      </c>
      <c r="I44" s="3">
        <f>SUMIF('AT-Ing Terr'!$AP$7:$AP$11,"1-Favorable",'AT-Ing Terr'!$AF$7:$AF$11)</f>
        <v>0</v>
      </c>
      <c r="AO44" s="3">
        <f>SUMIF('AT-Ing Terr'!$AR$7:$AR$11,"2-Favorable sous réserve",'AT-Ing Terr'!$AF$7:$AF$11)</f>
        <v>0</v>
      </c>
      <c r="AP44" s="3">
        <f>SUMIF('AT-Ing Terr'!$AP$7:$AP$11,"2-Favorable sous réserve",'AT-Ing Terr'!$AF$7:$AF$11)</f>
        <v>0</v>
      </c>
    </row>
    <row r="45" spans="4:42" hidden="1" x14ac:dyDescent="0.25">
      <c r="D45" t="s">
        <v>36</v>
      </c>
      <c r="E45" s="3">
        <f t="shared" si="2"/>
        <v>0</v>
      </c>
      <c r="F45" s="3">
        <f t="shared" si="3"/>
        <v>0</v>
      </c>
      <c r="H45" s="3">
        <f>SUMIF('AT-Ing Terr'!$AR$7:$AR$11,"1-Favorable",'AT-Ing Terr'!$AG$7:$AG$11)</f>
        <v>0</v>
      </c>
      <c r="I45" s="3">
        <f>SUMIF('AT-Ing Terr'!$AP$7:$AP$11,"1-Favorable",'AT-Ing Terr'!$AG$7:$AG$11)</f>
        <v>0</v>
      </c>
      <c r="AO45" s="3">
        <f>SUMIF('AT-Ing Terr'!$AR$7:$AR$11,"2-Favorable sous réserve",'AT-Ing Terr'!$AG$7:$AG$11)</f>
        <v>0</v>
      </c>
      <c r="AP45" s="3">
        <f>SUMIF('AT-Ing Terr'!$AP$7:$AP$11,"2-Favorable sous réserve",'AT-Ing Terr'!$AG$7:$AG$11)</f>
        <v>0</v>
      </c>
    </row>
    <row r="46" spans="4:42" hidden="1" x14ac:dyDescent="0.25">
      <c r="D46" t="s">
        <v>37</v>
      </c>
      <c r="E46" s="3">
        <f t="shared" si="2"/>
        <v>0</v>
      </c>
      <c r="F46" s="3">
        <f t="shared" si="3"/>
        <v>0</v>
      </c>
      <c r="H46" s="3">
        <f>SUMIF('AT-Ing Terr'!$AR$7:$AR$11,"1-Favorable",'AT-Ing Terr'!$AH$7:$AH$11)</f>
        <v>0</v>
      </c>
      <c r="I46" s="3">
        <f>SUMIF('AT-Ing Terr'!$AP$7:$AP$11,"1-Favorable",'AT-Ing Terr'!$AH$7:$AH$11)</f>
        <v>0</v>
      </c>
      <c r="AO46" s="3">
        <f>SUMIF('AT-Ing Terr'!$AR$7:$AR$11,"2-Favorable sous réserve",'AT-Ing Terr'!$AH$7:$AH$11)</f>
        <v>0</v>
      </c>
      <c r="AP46" s="3">
        <f>SUMIF('AT-Ing Terr'!$AP$7:$AP$11,"2-Favorable sous réserve",'AT-Ing Terr'!$AH$7:$AH$11)</f>
        <v>0</v>
      </c>
    </row>
    <row r="47" spans="4:42" hidden="1" x14ac:dyDescent="0.25">
      <c r="D47" t="s">
        <v>38</v>
      </c>
      <c r="E47" s="3">
        <f t="shared" si="2"/>
        <v>0</v>
      </c>
      <c r="F47" s="3">
        <f t="shared" si="3"/>
        <v>0</v>
      </c>
      <c r="H47" s="3">
        <f>SUMIF('AT-Ing Terr'!$AR$7:$AR$11,"1-Favorable",'AT-Ing Terr'!$AI$7:$AI$11)</f>
        <v>0</v>
      </c>
      <c r="I47" s="3">
        <f>SUMIF('AT-Ing Terr'!$AP$7:$AP$11,"1-Favorable",'AT-Ing Terr'!$AI$7:$AI$11)</f>
        <v>0</v>
      </c>
      <c r="AO47" s="3">
        <f>SUMIF('AT-Ing Terr'!$AR$7:$AR$11,"2-Favorable sous réserve",'AT-Ing Terr'!$AI$7:$AI$11)</f>
        <v>0</v>
      </c>
      <c r="AP47" s="3">
        <f>SUMIF('AT-Ing Terr'!$AP$7:$AP$11,"2-Favorable sous réserve",'AT-Ing Terr'!$AI$7:$AI$11)</f>
        <v>0</v>
      </c>
    </row>
    <row r="48" spans="4:42" hidden="1" x14ac:dyDescent="0.25">
      <c r="D48" t="s">
        <v>39</v>
      </c>
      <c r="E48" s="3">
        <f t="shared" si="2"/>
        <v>0</v>
      </c>
      <c r="F48" s="3">
        <f t="shared" si="3"/>
        <v>0</v>
      </c>
      <c r="H48" s="3">
        <f>SUMIF('AT-Ing Terr'!$AR$7:$AR$11,"1-Favorable",'AT-Ing Terr'!$AJ$7:$AJ$11)</f>
        <v>0</v>
      </c>
      <c r="I48" s="3">
        <f>SUMIF('AT-Ing Terr'!$AP$7:$AP$11,"1-Favorable",'AT-Ing Terr'!$AJ$7:$AJ$11)</f>
        <v>0</v>
      </c>
      <c r="AO48" s="3">
        <f>SUMIF('AT-Ing Terr'!$AR$7:$AR$11,"2-Favorable sous réserve",'AT-Ing Terr'!$AJ$7:$AJ$11)</f>
        <v>0</v>
      </c>
      <c r="AP48" s="3">
        <f>SUMIF('AT-Ing Terr'!$AP$7:$AP$11,"2-Favorable sous réserve",'AT-Ing Terr'!$AJ$7:$AJ$11)</f>
        <v>0</v>
      </c>
    </row>
    <row r="49" spans="4:42" hidden="1" x14ac:dyDescent="0.25">
      <c r="D49" t="s">
        <v>40</v>
      </c>
      <c r="E49" s="3">
        <f t="shared" si="2"/>
        <v>0</v>
      </c>
      <c r="F49" s="3">
        <f t="shared" si="3"/>
        <v>0</v>
      </c>
      <c r="H49" s="3">
        <f>SUMIF('AT-Ing Terr'!$AR$7:$AR$11,"1-Favorable",'AT-Ing Terr'!$AK$7:$AK$11)</f>
        <v>0</v>
      </c>
      <c r="I49" s="3">
        <f>SUMIF('AT-Ing Terr'!$AP$7:$AP$11,"1-Favorable",'AT-Ing Terr'!$AK$7:$AK$11)</f>
        <v>0</v>
      </c>
      <c r="AO49" s="3">
        <f>SUMIF('AT-Ing Terr'!$AR$7:$AR$11,"2-Favorable sous réserve",'AT-Ing Terr'!$AK$7:$AK$11)</f>
        <v>0</v>
      </c>
      <c r="AP49" s="3">
        <f>SUMIF('AT-Ing Terr'!$AP$7:$AP$11,"2-Favorable sous réserve",'AT-Ing Terr'!$AK$7:$AK$11)</f>
        <v>0</v>
      </c>
    </row>
    <row r="50" spans="4:42" hidden="1" x14ac:dyDescent="0.25">
      <c r="D50" t="s">
        <v>41</v>
      </c>
      <c r="E50" s="3">
        <f t="shared" si="2"/>
        <v>0</v>
      </c>
      <c r="F50" s="3">
        <f t="shared" si="3"/>
        <v>0</v>
      </c>
      <c r="H50" s="3">
        <f>SUMIF('AT-Ing Terr'!$AR$7:$AR$11,"1-Favorable",'AT-Ing Terr'!$AL$7:$AL$11)</f>
        <v>0</v>
      </c>
      <c r="I50" s="3">
        <f>SUMIF('AT-Ing Terr'!$AP$7:$AP$11,"1-Favorable",'AT-Ing Terr'!$AL$7:$AL$11)</f>
        <v>0</v>
      </c>
      <c r="AO50" s="3">
        <f>SUMIF('AT-Ing Terr'!$AR$7:$AR$11,"2-Favorable sous réserve",'AT-Ing Terr'!$AL$7:$AL$11)</f>
        <v>0</v>
      </c>
      <c r="AP50" s="3">
        <f>SUMIF('AT-Ing Terr'!$AP$7:$AP$11,"2-Favorable sous réserve",'AT-Ing Terr'!$AL$7:$AL$11)</f>
        <v>0</v>
      </c>
    </row>
    <row r="51" spans="4:42" hidden="1" x14ac:dyDescent="0.25">
      <c r="D51" t="s">
        <v>42</v>
      </c>
      <c r="E51" s="3">
        <f t="shared" si="2"/>
        <v>0</v>
      </c>
      <c r="F51" s="3">
        <f t="shared" si="3"/>
        <v>0</v>
      </c>
      <c r="H51" s="3">
        <f>SUMIF('AT-Ing Terr'!$AR$7:$AR$11,"1-Favorable",'AT-Ing Terr'!$AM$7:$AM$11)</f>
        <v>0</v>
      </c>
      <c r="I51" s="3">
        <f>SUMIF('AT-Ing Terr'!$AP$7:$AP$11,"1-Favorable",'AT-Ing Terr'!$AM$7:$AM$11)</f>
        <v>0</v>
      </c>
      <c r="AO51" s="3">
        <f>SUMIF('AT-Ing Terr'!$AR$7:$AR$11,"2-Favorable sous réserve",'AT-Ing Terr'!$AM$7:$AM$11)</f>
        <v>0</v>
      </c>
      <c r="AP51" s="3">
        <f>SUMIF('AT-Ing Terr'!$AP$7:$AP$11,"2-Favorable sous réserve",'AT-Ing Terr'!$AM$7:$AM$11)</f>
        <v>0</v>
      </c>
    </row>
    <row r="52" spans="4:42" hidden="1" x14ac:dyDescent="0.25">
      <c r="D52" t="s">
        <v>43</v>
      </c>
      <c r="E52" s="3">
        <f t="shared" si="2"/>
        <v>0</v>
      </c>
      <c r="F52" s="3">
        <f t="shared" si="3"/>
        <v>0</v>
      </c>
      <c r="H52" s="3">
        <f>SUMIF('AT-Ing Terr'!$AR$7:$AR$11,"1-Favorable",'AT-Ing Terr'!$AN$7:$AN$11)</f>
        <v>0</v>
      </c>
      <c r="I52" s="3">
        <f>SUMIF('AT-Ing Terr'!$AP$7:$AP$11,"1-Favorable",'AT-Ing Terr'!$AN$7:$AN$11)</f>
        <v>0</v>
      </c>
      <c r="AO52" s="3">
        <f>SUMIF('AT-Ing Terr'!$AR$7:$AR$11,"2-Favorable sous réserve",'AT-Ing Terr'!$AN$7:$AN$11)</f>
        <v>0</v>
      </c>
      <c r="AP52" s="3">
        <f>SUMIF('AT-Ing Terr'!$AP$7:$AP$11,"2-Favorable sous réserve",'AT-Ing Terr'!$AN$7:$AN$11)</f>
        <v>0</v>
      </c>
    </row>
  </sheetData>
  <conditionalFormatting sqref="AP7:AP8 AR7:AR8 AR10:AR11 AP10:AP11">
    <cfRule type="cellIs" dxfId="361" priority="6" operator="equal">
      <formula>"2-Favorable sous réserve"</formula>
    </cfRule>
    <cfRule type="cellIs" dxfId="360" priority="19" operator="equal">
      <formula>"6-Retiré/Abandon"</formula>
    </cfRule>
    <cfRule type="cellIs" dxfId="359" priority="20" operator="equal">
      <formula>"5-Défavorable"</formula>
    </cfRule>
    <cfRule type="cellIs" dxfId="358" priority="21" operator="equal">
      <formula>"4-Ajournement"</formula>
    </cfRule>
    <cfRule type="cellIs" dxfId="357" priority="22" operator="equal">
      <formula>"1-Favorable"</formula>
    </cfRule>
  </conditionalFormatting>
  <conditionalFormatting sqref="AT7:AT8 AT10:AT11">
    <cfRule type="cellIs" dxfId="356" priority="1" operator="equal">
      <formula>"2-Favorable sous réserve"</formula>
    </cfRule>
    <cfRule type="cellIs" dxfId="355" priority="2" operator="equal">
      <formula>"6-Retiré/Abandon"</formula>
    </cfRule>
    <cfRule type="cellIs" dxfId="354" priority="3" operator="equal">
      <formula>"5-Défavorable"</formula>
    </cfRule>
    <cfRule type="cellIs" dxfId="353" priority="4" operator="equal">
      <formula>"4-Ajournement"</formula>
    </cfRule>
    <cfRule type="cellIs" dxfId="352" priority="5" operator="equal">
      <formula>"1-Favorable"</formula>
    </cfRule>
  </conditionalFormatting>
  <dataValidations count="1">
    <dataValidation type="list" allowBlank="1" showInputMessage="1" showErrorMessage="1" sqref="AR7:AR8 AR10:AR11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6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92"/>
  <sheetViews>
    <sheetView zoomScale="70" zoomScaleNormal="70" zoomScaleSheetLayoutView="80" workbookViewId="0">
      <selection activeCell="C7" sqref="C7"/>
    </sheetView>
  </sheetViews>
  <sheetFormatPr baseColWidth="10" defaultRowHeight="15" outlineLevelCol="1" x14ac:dyDescent="0.25"/>
  <cols>
    <col min="1" max="1" width="14.5703125" style="31" customWidth="1"/>
    <col min="2" max="2" width="12.140625" style="31" hidden="1" customWidth="1"/>
    <col min="3" max="3" width="16.28515625" style="31" bestFit="1" customWidth="1"/>
    <col min="4" max="4" width="39.85546875" style="31" customWidth="1"/>
    <col min="5" max="5" width="46" style="31" customWidth="1"/>
    <col min="6" max="6" width="11.28515625" style="31" hidden="1" customWidth="1"/>
    <col min="7" max="7" width="8" style="31" hidden="1" customWidth="1"/>
    <col min="8" max="8" width="16" style="31" bestFit="1" customWidth="1"/>
    <col min="9" max="9" width="21" style="31" customWidth="1"/>
    <col min="10" max="10" width="13" style="31" customWidth="1"/>
    <col min="11" max="11" width="15.5703125" style="31" customWidth="1"/>
    <col min="12" max="12" width="16.140625" style="31" customWidth="1"/>
    <col min="13" max="13" width="14.5703125" style="31" customWidth="1"/>
    <col min="14" max="14" width="22.5703125" style="31" hidden="1" customWidth="1" outlineLevel="1"/>
    <col min="15" max="15" width="17.28515625" style="31" hidden="1" customWidth="1" outlineLevel="1" collapsed="1"/>
    <col min="16" max="16" width="14.7109375" style="31" customWidth="1" collapsed="1"/>
    <col min="17" max="20" width="22.5703125" style="31" hidden="1" customWidth="1" outlineLevel="1"/>
    <col min="21" max="21" width="18.85546875" style="31" bestFit="1" customWidth="1" collapsed="1"/>
    <col min="22" max="43" width="22.5703125" style="31" hidden="1" customWidth="1" outlineLevel="1"/>
    <col min="44" max="44" width="16.7109375" style="31" customWidth="1" collapsed="1"/>
    <col min="45" max="45" width="17.7109375" style="31" bestFit="1" customWidth="1"/>
    <col min="46" max="46" width="14.140625" style="31" bestFit="1" customWidth="1"/>
    <col min="47" max="47" width="2.42578125" style="34" customWidth="1"/>
    <col min="48" max="48" width="77.28515625" style="40" customWidth="1"/>
    <col min="49" max="49" width="24.28515625" style="34" customWidth="1"/>
    <col min="50" max="50" width="14.140625" style="31" customWidth="1"/>
    <col min="51" max="51" width="22.5703125" style="31" customWidth="1"/>
    <col min="52" max="52" width="17.28515625" style="31" hidden="1" customWidth="1" outlineLevel="1" collapsed="1"/>
    <col min="53" max="53" width="12.85546875" style="31" hidden="1" customWidth="1" outlineLevel="1"/>
    <col min="54" max="54" width="22.5703125" style="31" customWidth="1" collapsed="1"/>
    <col min="55" max="57" width="22.5703125" style="31" customWidth="1" outlineLevel="1"/>
    <col min="58" max="58" width="18.85546875" style="31" customWidth="1" outlineLevel="1" collapsed="1"/>
    <col min="59" max="59" width="22.5703125" style="31" customWidth="1"/>
    <col min="60" max="80" width="22.5703125" style="31" hidden="1" customWidth="1" outlineLevel="1"/>
    <col min="81" max="81" width="12.42578125" style="31" hidden="1" customWidth="1" outlineLevel="1" collapsed="1"/>
    <col min="82" max="82" width="14.28515625" style="31" customWidth="1" collapsed="1"/>
    <col min="83" max="83" width="17.42578125" style="31" customWidth="1" collapsed="1"/>
    <col min="84" max="84" width="11.42578125" style="31" customWidth="1" collapsed="1"/>
    <col min="85" max="85" width="11.42578125" style="31" customWidth="1"/>
    <col min="86" max="86" width="15.5703125" style="31" customWidth="1"/>
    <col min="87" max="87" width="36.85546875" style="31" customWidth="1"/>
    <col min="88" max="88" width="10" style="31" customWidth="1"/>
    <col min="89" max="89" width="19.28515625" style="31" customWidth="1"/>
    <col min="90" max="90" width="21.5703125" style="31" customWidth="1" collapsed="1"/>
    <col min="91" max="91" width="9.7109375" style="35" customWidth="1" collapsed="1"/>
    <col min="92" max="112" width="9.7109375" style="35" customWidth="1"/>
    <col min="113" max="113" width="12" style="31" customWidth="1" collapsed="1"/>
    <col min="114" max="114" width="14.28515625" style="31" bestFit="1" customWidth="1" collapsed="1"/>
    <col min="115" max="115" width="17.42578125" style="31" bestFit="1" customWidth="1"/>
    <col min="116" max="116" width="17" style="31" bestFit="1" customWidth="1"/>
    <col min="117" max="117" width="14.7109375" style="31" bestFit="1" customWidth="1"/>
    <col min="118" max="16384" width="11.42578125" style="31"/>
  </cols>
  <sheetData>
    <row r="1" spans="1:112" ht="18.75" x14ac:dyDescent="0.3">
      <c r="D1" s="32" t="s">
        <v>75</v>
      </c>
      <c r="E1" s="33">
        <f>Itinérance!C1</f>
        <v>42696</v>
      </c>
      <c r="H1" s="33"/>
    </row>
    <row r="5" spans="1:112" x14ac:dyDescent="0.25">
      <c r="C5" s="36" t="s">
        <v>76</v>
      </c>
    </row>
    <row r="6" spans="1:112" s="38" customFormat="1" ht="60" x14ac:dyDescent="0.25">
      <c r="A6" s="37" t="s">
        <v>0</v>
      </c>
      <c r="B6" s="37" t="s">
        <v>10</v>
      </c>
      <c r="C6" s="37" t="s">
        <v>7</v>
      </c>
      <c r="D6" s="37" t="s">
        <v>1</v>
      </c>
      <c r="E6" s="37" t="s">
        <v>2</v>
      </c>
      <c r="F6" s="37" t="s">
        <v>3</v>
      </c>
      <c r="G6" s="37" t="s">
        <v>14</v>
      </c>
      <c r="H6" s="37" t="s">
        <v>15</v>
      </c>
      <c r="I6" s="37" t="s">
        <v>13</v>
      </c>
      <c r="J6" s="37" t="s">
        <v>6</v>
      </c>
      <c r="K6" s="37" t="s">
        <v>252</v>
      </c>
      <c r="L6" s="37" t="s">
        <v>4</v>
      </c>
      <c r="M6" s="37" t="s">
        <v>46</v>
      </c>
      <c r="N6" s="37" t="s">
        <v>16</v>
      </c>
      <c r="O6" s="37" t="s">
        <v>17</v>
      </c>
      <c r="P6" s="37" t="s">
        <v>47</v>
      </c>
      <c r="Q6" s="37" t="s">
        <v>20</v>
      </c>
      <c r="R6" s="37" t="s">
        <v>18</v>
      </c>
      <c r="S6" s="37" t="s">
        <v>19</v>
      </c>
      <c r="T6" s="37" t="s">
        <v>21</v>
      </c>
      <c r="U6" s="37" t="s">
        <v>48</v>
      </c>
      <c r="V6" s="37" t="s">
        <v>22</v>
      </c>
      <c r="W6" s="37" t="s">
        <v>23</v>
      </c>
      <c r="X6" s="37" t="s">
        <v>24</v>
      </c>
      <c r="Y6" s="37" t="s">
        <v>25</v>
      </c>
      <c r="Z6" s="37" t="s">
        <v>26</v>
      </c>
      <c r="AA6" s="37" t="s">
        <v>27</v>
      </c>
      <c r="AB6" s="37" t="s">
        <v>28</v>
      </c>
      <c r="AC6" s="37" t="s">
        <v>29</v>
      </c>
      <c r="AD6" s="37" t="s">
        <v>30</v>
      </c>
      <c r="AE6" s="37" t="s">
        <v>31</v>
      </c>
      <c r="AF6" s="37" t="s">
        <v>32</v>
      </c>
      <c r="AG6" s="37" t="s">
        <v>33</v>
      </c>
      <c r="AH6" s="37" t="s">
        <v>34</v>
      </c>
      <c r="AI6" s="37" t="s">
        <v>35</v>
      </c>
      <c r="AJ6" s="37" t="s">
        <v>36</v>
      </c>
      <c r="AK6" s="37" t="s">
        <v>37</v>
      </c>
      <c r="AL6" s="37" t="s">
        <v>38</v>
      </c>
      <c r="AM6" s="37" t="s">
        <v>39</v>
      </c>
      <c r="AN6" s="37" t="s">
        <v>40</v>
      </c>
      <c r="AO6" s="37" t="s">
        <v>41</v>
      </c>
      <c r="AP6" s="37" t="s">
        <v>42</v>
      </c>
      <c r="AQ6" s="37" t="s">
        <v>43</v>
      </c>
      <c r="AR6" s="37" t="s">
        <v>44</v>
      </c>
      <c r="AS6" s="37" t="s">
        <v>45</v>
      </c>
      <c r="AT6" s="37" t="s">
        <v>56</v>
      </c>
      <c r="AV6" s="81" t="s">
        <v>12</v>
      </c>
      <c r="AX6" s="38" t="s">
        <v>62</v>
      </c>
      <c r="AY6" s="37" t="s">
        <v>46</v>
      </c>
      <c r="AZ6" s="37" t="s">
        <v>16</v>
      </c>
      <c r="BA6" s="37" t="s">
        <v>17</v>
      </c>
      <c r="BB6" s="37" t="s">
        <v>47</v>
      </c>
      <c r="BC6" s="37" t="s">
        <v>20</v>
      </c>
      <c r="BD6" s="37" t="s">
        <v>18</v>
      </c>
      <c r="BE6" s="37" t="s">
        <v>19</v>
      </c>
      <c r="BF6" s="37" t="s">
        <v>21</v>
      </c>
      <c r="BG6" s="37" t="s">
        <v>48</v>
      </c>
      <c r="BH6" s="37" t="s">
        <v>22</v>
      </c>
      <c r="BI6" s="37" t="s">
        <v>23</v>
      </c>
      <c r="BJ6" s="37" t="s">
        <v>24</v>
      </c>
      <c r="BK6" s="37" t="s">
        <v>25</v>
      </c>
      <c r="BL6" s="37" t="s">
        <v>26</v>
      </c>
      <c r="BM6" s="37" t="s">
        <v>27</v>
      </c>
      <c r="BN6" s="37" t="s">
        <v>28</v>
      </c>
      <c r="BO6" s="37" t="s">
        <v>29</v>
      </c>
      <c r="BP6" s="37" t="s">
        <v>30</v>
      </c>
      <c r="BQ6" s="37" t="s">
        <v>31</v>
      </c>
      <c r="BR6" s="37" t="s">
        <v>32</v>
      </c>
      <c r="BS6" s="37" t="s">
        <v>33</v>
      </c>
      <c r="BT6" s="37" t="s">
        <v>34</v>
      </c>
      <c r="BU6" s="37" t="s">
        <v>35</v>
      </c>
      <c r="BV6" s="37" t="s">
        <v>36</v>
      </c>
      <c r="BW6" s="37" t="s">
        <v>37</v>
      </c>
      <c r="BX6" s="37" t="s">
        <v>38</v>
      </c>
      <c r="BY6" s="37" t="s">
        <v>39</v>
      </c>
      <c r="BZ6" s="37" t="s">
        <v>40</v>
      </c>
      <c r="CA6" s="37" t="s">
        <v>41</v>
      </c>
      <c r="CB6" s="37" t="s">
        <v>42</v>
      </c>
      <c r="CC6" s="37" t="s">
        <v>43</v>
      </c>
      <c r="CD6" s="37" t="s">
        <v>44</v>
      </c>
      <c r="CE6" s="38" t="s">
        <v>63</v>
      </c>
    </row>
    <row r="7" spans="1:112" ht="45" x14ac:dyDescent="0.25">
      <c r="A7" s="37" t="s">
        <v>132</v>
      </c>
      <c r="B7" s="39" t="s">
        <v>236</v>
      </c>
      <c r="C7" s="39" t="s">
        <v>245</v>
      </c>
      <c r="D7" s="40" t="s">
        <v>74</v>
      </c>
      <c r="E7" s="40" t="s">
        <v>246</v>
      </c>
      <c r="F7" s="41">
        <v>163477.92561202601</v>
      </c>
      <c r="G7" s="41"/>
      <c r="H7" s="41">
        <v>180850.77</v>
      </c>
      <c r="I7" s="41">
        <f>Tableau_Lancer_la_requête_à_partir_de_Excel_Files3[[#This Row],[Aide Massif Obtenue]]+Tableau_Lancer_la_requête_à_partir_de_Excel_Files3[[#This Row],[''Autre Public'']]</f>
        <v>155608.27000000002</v>
      </c>
      <c r="J7" s="42">
        <f>Tableau_Lancer_la_requête_à_partir_de_Excel_Files3[[#This Row],[Aide Publique Obtenue]]/Tableau_Lancer_la_requête_à_partir_de_Excel_Files3[[#This Row],[Coût total]]</f>
        <v>0.86042359675880853</v>
      </c>
      <c r="K7" s="41">
        <f>Tableau_Lancer_la_requête_à_partir_de_Excel_Files3[[#This Row],[Etat]]+Tableau_Lancer_la_requête_à_partir_de_Excel_Files3[[#This Row],[Régions]]+Tableau_Lancer_la_requête_à_partir_de_Excel_Files3[[#This Row],[Départements]]+Tableau_Lancer_la_requête_à_partir_de_Excel_Files3[[#This Row],[''FEDER'']]</f>
        <v>155608.27000000002</v>
      </c>
      <c r="L7" s="42">
        <f>Tableau_Lancer_la_requête_à_partir_de_Excel_Files3[[#This Row],[Aide Massif Obtenue]]/Tableau_Lancer_la_requête_à_partir_de_Excel_Files3[[#This Row],[Coût total]]</f>
        <v>0.86042359675880853</v>
      </c>
      <c r="M7" s="43">
        <f>Tableau_Lancer_la_requête_à_partir_de_Excel_Files3[[#This Row],[''FNADT'']]+Tableau_Lancer_la_requête_à_partir_de_Excel_Files3[[#This Row],[''Agriculture'']]</f>
        <v>20286.97</v>
      </c>
      <c r="N7" s="41">
        <v>20286.97</v>
      </c>
      <c r="O7" s="41"/>
      <c r="P7" s="43">
        <f>Tableau_Lancer_la_requête_à_partir_de_Excel_Files3[[#This Row],[''ALPC'']]+Tableau_Lancer_la_requête_à_partir_de_Excel_Files3[[#This Row],[''AURA'']]+Tableau_Lancer_la_requête_à_partir_de_Excel_Files3[[#This Row],[''BFC'']]+Tableau_Lancer_la_requête_à_partir_de_Excel_Files3[[#This Row],[''LRMP'']]</f>
        <v>44896</v>
      </c>
      <c r="Q7" s="41">
        <v>3000</v>
      </c>
      <c r="R7" s="41">
        <v>24566</v>
      </c>
      <c r="S7" s="41">
        <v>4520</v>
      </c>
      <c r="T7" s="41">
        <v>12810</v>
      </c>
      <c r="U7" s="43">
        <f>Tableau_Lancer_la_requête_à_partir_de_Excel_Files3[[#This Row],[''03'']]+Tableau_Lancer_la_requête_à_partir_de_Excel_Files3[[#This Row],[''07'']]+Tableau_Lancer_la_requête_à_partir_de_Excel_Files3[[#This Row],[''11'']]+Tableau_Lancer_la_requête_à_partir_de_Excel_Files3[[#This Row],[''12'']]+Tableau_Lancer_la_requête_à_partir_de_Excel_Files3[[#This Row],[''15'']]+Tableau_Lancer_la_requête_à_partir_de_Excel_Files3[[#This Row],[''21'']]+Tableau_Lancer_la_requête_à_partir_de_Excel_Files3[[#This Row],[''19'']]+Tableau_Lancer_la_requête_à_partir_de_Excel_Files3[[#This Row],[''23'']]+Tableau_Lancer_la_requête_à_partir_de_Excel_Files3[[#This Row],[''30'']]+Tableau_Lancer_la_requête_à_partir_de_Excel_Files3[[#This Row],[''34'']]+Tableau_Lancer_la_requête_à_partir_de_Excel_Files3[[#This Row],[''42'']]+Tableau_Lancer_la_requête_à_partir_de_Excel_Files3[[#This Row],[''43'']]+Tableau_Lancer_la_requête_à_partir_de_Excel_Files3[[#This Row],[''46'']]+Tableau_Lancer_la_requête_à_partir_de_Excel_Files3[[#This Row],[''48'']]+Tableau_Lancer_la_requête_à_partir_de_Excel_Files3[[#This Row],[''58'']]+Tableau_Lancer_la_requête_à_partir_de_Excel_Files3[[#This Row],[''63'']]+Tableau_Lancer_la_requête_à_partir_de_Excel_Files3[[#This Row],[''69'']]+Tableau_Lancer_la_requête_à_partir_de_Excel_Files3[[#This Row],[''71'']]+Tableau_Lancer_la_requête_à_partir_de_Excel_Files3[[#This Row],[''81'']]+Tableau_Lancer_la_requête_à_partir_de_Excel_Files3[[#This Row],[''82'']]+Tableau_Lancer_la_requête_à_partir_de_Excel_Files3[[#This Row],[''87'']]+Tableau_Lancer_la_requête_à_partir_de_Excel_Files3[[#This Row],[''89'']]</f>
        <v>0</v>
      </c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>
        <v>90425.3</v>
      </c>
      <c r="AS7" s="41">
        <v>0</v>
      </c>
      <c r="AT7" s="44" t="s">
        <v>149</v>
      </c>
      <c r="AU7" s="31"/>
      <c r="AV7" s="66"/>
      <c r="AX7" s="34" t="s">
        <v>245</v>
      </c>
      <c r="AY7" s="43">
        <f t="shared" ref="AY7:AY23" si="0">SUM(AZ7:BA7)</f>
        <v>0</v>
      </c>
      <c r="AZ7" s="43"/>
      <c r="BA7" s="43"/>
      <c r="BB7" s="43">
        <f t="shared" ref="BB7:BB23" si="1">SUM(BC7:BF7)</f>
        <v>2713.5</v>
      </c>
      <c r="BC7" s="43"/>
      <c r="BD7" s="43">
        <v>2713.5</v>
      </c>
      <c r="BE7" s="43"/>
      <c r="BF7" s="43"/>
      <c r="BG7" s="43">
        <f t="shared" ref="BG7:BG23" si="2">SUM(BH7:CC7)</f>
        <v>0</v>
      </c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31" t="str">
        <f>VLOOKUP(Tableau3[[#This Row],[NumSym]],Tableau_Lancer_la_requête_à_partir_de_Excel_Files3[[ID_Synergie]:[Avis Prog]],44)</f>
        <v>1-Favorable</v>
      </c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</row>
    <row r="8" spans="1:112" ht="45" x14ac:dyDescent="0.25">
      <c r="A8" s="37" t="s">
        <v>132</v>
      </c>
      <c r="B8" s="39" t="s">
        <v>240</v>
      </c>
      <c r="C8" s="39" t="s">
        <v>237</v>
      </c>
      <c r="D8" s="40" t="s">
        <v>238</v>
      </c>
      <c r="E8" s="40" t="s">
        <v>239</v>
      </c>
      <c r="F8" s="41">
        <v>172000</v>
      </c>
      <c r="G8" s="41">
        <v>159975.03</v>
      </c>
      <c r="H8" s="41">
        <f>IF(Tableau_Lancer_la_requête_à_partir_de_Excel_Files3[[#This Row],[Coût total Eligible FEDER]]="",Tableau_Lancer_la_requête_à_partir_de_Excel_Files3[[#This Row],[Coût total déposé]],Tableau_Lancer_la_requête_à_partir_de_Excel_Files3[[#This Row],[Coût total Eligible FEDER]])</f>
        <v>159975.03</v>
      </c>
      <c r="I8" s="41">
        <f>Tableau_Lancer_la_requête_à_partir_de_Excel_Files3[[#This Row],[Aide Massif Obtenue]]+Tableau_Lancer_la_requête_à_partir_de_Excel_Files3[[#This Row],[''Autre Public'']]</f>
        <v>111982.01</v>
      </c>
      <c r="J8" s="42">
        <f>Tableau_Lancer_la_requête_à_partir_de_Excel_Files3[[#This Row],[Aide Publique Obtenue]]/Tableau_Lancer_la_requête_à_partir_de_Excel_Files3[[#This Row],[Coût total]]</f>
        <v>0.69999680575149759</v>
      </c>
      <c r="K8" s="41">
        <f>Tableau_Lancer_la_requête_à_partir_de_Excel_Files3[[#This Row],[Etat]]+Tableau_Lancer_la_requête_à_partir_de_Excel_Files3[[#This Row],[Régions]]+Tableau_Lancer_la_requête_à_partir_de_Excel_Files3[[#This Row],[Départements]]+Tableau_Lancer_la_requête_à_partir_de_Excel_Files3[[#This Row],[''FEDER'']]</f>
        <v>111982.01</v>
      </c>
      <c r="L8" s="42">
        <f>Tableau_Lancer_la_requête_à_partir_de_Excel_Files3[[#This Row],[Aide Massif Obtenue]]/Tableau_Lancer_la_requête_à_partir_de_Excel_Files3[[#This Row],[Coût total]]</f>
        <v>0.69999680575149759</v>
      </c>
      <c r="M8" s="43">
        <f>Tableau_Lancer_la_requête_à_partir_de_Excel_Files3[[#This Row],[''FNADT'']]+Tableau_Lancer_la_requête_à_partir_de_Excel_Files3[[#This Row],[''Agriculture'']]</f>
        <v>31995.01</v>
      </c>
      <c r="N8" s="41">
        <v>31995.01</v>
      </c>
      <c r="O8" s="41"/>
      <c r="P8" s="43">
        <f>Tableau_Lancer_la_requête_à_partir_de_Excel_Files3[[#This Row],[''ALPC'']]+Tableau_Lancer_la_requête_à_partir_de_Excel_Files3[[#This Row],[''AURA'']]+Tableau_Lancer_la_requête_à_partir_de_Excel_Files3[[#This Row],[''BFC'']]+Tableau_Lancer_la_requête_à_partir_de_Excel_Files3[[#This Row],[''LRMP'']]</f>
        <v>0</v>
      </c>
      <c r="Q8" s="41"/>
      <c r="R8" s="41"/>
      <c r="S8" s="41"/>
      <c r="T8" s="41"/>
      <c r="U8" s="43">
        <f>Tableau_Lancer_la_requête_à_partir_de_Excel_Files3[[#This Row],[''03'']]+Tableau_Lancer_la_requête_à_partir_de_Excel_Files3[[#This Row],[''07'']]+Tableau_Lancer_la_requête_à_partir_de_Excel_Files3[[#This Row],[''11'']]+Tableau_Lancer_la_requête_à_partir_de_Excel_Files3[[#This Row],[''12'']]+Tableau_Lancer_la_requête_à_partir_de_Excel_Files3[[#This Row],[''15'']]+Tableau_Lancer_la_requête_à_partir_de_Excel_Files3[[#This Row],[''21'']]+Tableau_Lancer_la_requête_à_partir_de_Excel_Files3[[#This Row],[''19'']]+Tableau_Lancer_la_requête_à_partir_de_Excel_Files3[[#This Row],[''23'']]+Tableau_Lancer_la_requête_à_partir_de_Excel_Files3[[#This Row],[''30'']]+Tableau_Lancer_la_requête_à_partir_de_Excel_Files3[[#This Row],[''34'']]+Tableau_Lancer_la_requête_à_partir_de_Excel_Files3[[#This Row],[''42'']]+Tableau_Lancer_la_requête_à_partir_de_Excel_Files3[[#This Row],[''43'']]+Tableau_Lancer_la_requête_à_partir_de_Excel_Files3[[#This Row],[''46'']]+Tableau_Lancer_la_requête_à_partir_de_Excel_Files3[[#This Row],[''48'']]+Tableau_Lancer_la_requête_à_partir_de_Excel_Files3[[#This Row],[''58'']]+Tableau_Lancer_la_requête_à_partir_de_Excel_Files3[[#This Row],[''63'']]+Tableau_Lancer_la_requête_à_partir_de_Excel_Files3[[#This Row],[''69'']]+Tableau_Lancer_la_requête_à_partir_de_Excel_Files3[[#This Row],[''71'']]+Tableau_Lancer_la_requête_à_partir_de_Excel_Files3[[#This Row],[''81'']]+Tableau_Lancer_la_requête_à_partir_de_Excel_Files3[[#This Row],[''82'']]+Tableau_Lancer_la_requête_à_partir_de_Excel_Files3[[#This Row],[''87'']]+Tableau_Lancer_la_requête_à_partir_de_Excel_Files3[[#This Row],[''89'']]</f>
        <v>0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>
        <v>79987</v>
      </c>
      <c r="AS8" s="41">
        <v>0</v>
      </c>
      <c r="AT8" s="85" t="s">
        <v>149</v>
      </c>
      <c r="AU8" s="31"/>
      <c r="AV8" s="159"/>
      <c r="AX8" s="34"/>
      <c r="AY8" s="43">
        <f t="shared" si="0"/>
        <v>0</v>
      </c>
      <c r="AZ8" s="43"/>
      <c r="BA8" s="43"/>
      <c r="BB8" s="43">
        <f t="shared" si="1"/>
        <v>0</v>
      </c>
      <c r="BC8" s="43"/>
      <c r="BD8" s="43"/>
      <c r="BE8" s="43"/>
      <c r="BF8" s="43"/>
      <c r="BG8" s="43">
        <f t="shared" si="2"/>
        <v>0</v>
      </c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31" t="e">
        <f>VLOOKUP(Tableau3[[#This Row],[NumSym]],Tableau_Lancer_la_requête_à_partir_de_Excel_Files3[[ID_Synergie]:[Avis Prog]],44)</f>
        <v>#N/A</v>
      </c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</row>
    <row r="9" spans="1:112" ht="15.75" thickBot="1" x14ac:dyDescent="0.3">
      <c r="A9" s="37" t="s">
        <v>132</v>
      </c>
      <c r="B9" s="39" t="s">
        <v>244</v>
      </c>
      <c r="C9" s="39" t="s">
        <v>241</v>
      </c>
      <c r="D9" s="40" t="s">
        <v>242</v>
      </c>
      <c r="E9" s="40" t="s">
        <v>243</v>
      </c>
      <c r="F9" s="41">
        <v>84000</v>
      </c>
      <c r="G9" s="41">
        <v>60266.58</v>
      </c>
      <c r="H9" s="41">
        <f>IF(Tableau_Lancer_la_requête_à_partir_de_Excel_Files3[[#This Row],[Coût total Eligible FEDER]]="",Tableau_Lancer_la_requête_à_partir_de_Excel_Files3[[#This Row],[Coût total déposé]],Tableau_Lancer_la_requête_à_partir_de_Excel_Files3[[#This Row],[Coût total Eligible FEDER]])</f>
        <v>60266.58</v>
      </c>
      <c r="I9" s="41">
        <f>Tableau_Lancer_la_requête_à_partir_de_Excel_Files3[[#This Row],[Aide Massif Obtenue]]+Tableau_Lancer_la_requête_à_partir_de_Excel_Files3[[#This Row],[''Autre Public'']]</f>
        <v>47856.75</v>
      </c>
      <c r="J9" s="42">
        <f>Tableau_Lancer_la_requête_à_partir_de_Excel_Files3[[#This Row],[Aide Publique Obtenue]]/Tableau_Lancer_la_requête_à_partir_de_Excel_Files3[[#This Row],[Coût total]]</f>
        <v>0.79408438308594909</v>
      </c>
      <c r="K9" s="41">
        <f>Tableau_Lancer_la_requête_à_partir_de_Excel_Files3[[#This Row],[Etat]]+Tableau_Lancer_la_requête_à_partir_de_Excel_Files3[[#This Row],[Régions]]+Tableau_Lancer_la_requête_à_partir_de_Excel_Files3[[#This Row],[Départements]]+Tableau_Lancer_la_requête_à_partir_de_Excel_Files3[[#This Row],[''FEDER'']]</f>
        <v>37686.75</v>
      </c>
      <c r="L9" s="42">
        <f>Tableau_Lancer_la_requête_à_partir_de_Excel_Files3[[#This Row],[Aide Massif Obtenue]]/Tableau_Lancer_la_requête_à_partir_de_Excel_Files3[[#This Row],[Coût total]]</f>
        <v>0.62533414041413993</v>
      </c>
      <c r="M9" s="43">
        <f>Tableau_Lancer_la_requête_à_partir_de_Excel_Files3[[#This Row],[''FNADT'']]+Tableau_Lancer_la_requête_à_partir_de_Excel_Files3[[#This Row],[''Agriculture'']]</f>
        <v>0</v>
      </c>
      <c r="N9" s="41"/>
      <c r="O9" s="41"/>
      <c r="P9" s="43">
        <f>Tableau_Lancer_la_requête_à_partir_de_Excel_Files3[[#This Row],[''ALPC'']]+Tableau_Lancer_la_requête_à_partir_de_Excel_Files3[[#This Row],[''AURA'']]+Tableau_Lancer_la_requête_à_partir_de_Excel_Files3[[#This Row],[''BFC'']]+Tableau_Lancer_la_requête_à_partir_de_Excel_Files3[[#This Row],[''LRMP'']]</f>
        <v>6500</v>
      </c>
      <c r="Q9" s="41"/>
      <c r="R9" s="41"/>
      <c r="S9" s="41"/>
      <c r="T9" s="41">
        <v>6500</v>
      </c>
      <c r="U9" s="43">
        <f>Tableau_Lancer_la_requête_à_partir_de_Excel_Files3[[#This Row],[''03'']]+Tableau_Lancer_la_requête_à_partir_de_Excel_Files3[[#This Row],[''07'']]+Tableau_Lancer_la_requête_à_partir_de_Excel_Files3[[#This Row],[''11'']]+Tableau_Lancer_la_requête_à_partir_de_Excel_Files3[[#This Row],[''12'']]+Tableau_Lancer_la_requête_à_partir_de_Excel_Files3[[#This Row],[''15'']]+Tableau_Lancer_la_requête_à_partir_de_Excel_Files3[[#This Row],[''21'']]+Tableau_Lancer_la_requête_à_partir_de_Excel_Files3[[#This Row],[''19'']]+Tableau_Lancer_la_requête_à_partir_de_Excel_Files3[[#This Row],[''23'']]+Tableau_Lancer_la_requête_à_partir_de_Excel_Files3[[#This Row],[''30'']]+Tableau_Lancer_la_requête_à_partir_de_Excel_Files3[[#This Row],[''34'']]+Tableau_Lancer_la_requête_à_partir_de_Excel_Files3[[#This Row],[''42'']]+Tableau_Lancer_la_requête_à_partir_de_Excel_Files3[[#This Row],[''43'']]+Tableau_Lancer_la_requête_à_partir_de_Excel_Files3[[#This Row],[''46'']]+Tableau_Lancer_la_requête_à_partir_de_Excel_Files3[[#This Row],[''48'']]+Tableau_Lancer_la_requête_à_partir_de_Excel_Files3[[#This Row],[''58'']]+Tableau_Lancer_la_requête_à_partir_de_Excel_Files3[[#This Row],[''63'']]+Tableau_Lancer_la_requête_à_partir_de_Excel_Files3[[#This Row],[''69'']]+Tableau_Lancer_la_requête_à_partir_de_Excel_Files3[[#This Row],[''71'']]+Tableau_Lancer_la_requête_à_partir_de_Excel_Files3[[#This Row],[''81'']]+Tableau_Lancer_la_requête_à_partir_de_Excel_Files3[[#This Row],[''82'']]+Tableau_Lancer_la_requête_à_partir_de_Excel_Files3[[#This Row],[''87'']]+Tableau_Lancer_la_requête_à_partir_de_Excel_Files3[[#This Row],[''89'']]</f>
        <v>1053.75</v>
      </c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>
        <v>1053.75</v>
      </c>
      <c r="AJ9" s="41"/>
      <c r="AK9" s="41"/>
      <c r="AL9" s="41"/>
      <c r="AM9" s="41"/>
      <c r="AN9" s="41"/>
      <c r="AO9" s="41"/>
      <c r="AP9" s="41"/>
      <c r="AQ9" s="41"/>
      <c r="AR9" s="41">
        <v>30133</v>
      </c>
      <c r="AS9" s="41">
        <v>10170</v>
      </c>
      <c r="AT9" s="85" t="s">
        <v>149</v>
      </c>
      <c r="AU9" s="31"/>
      <c r="AV9" s="66"/>
      <c r="AX9" s="34"/>
      <c r="AY9" s="43">
        <f t="shared" si="0"/>
        <v>0</v>
      </c>
      <c r="AZ9" s="43"/>
      <c r="BA9" s="43"/>
      <c r="BB9" s="43">
        <f t="shared" si="1"/>
        <v>0</v>
      </c>
      <c r="BC9" s="43"/>
      <c r="BD9" s="43"/>
      <c r="BE9" s="43"/>
      <c r="BF9" s="43"/>
      <c r="BG9" s="43">
        <f t="shared" si="2"/>
        <v>0</v>
      </c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31" t="e">
        <f>VLOOKUP(Tableau3[[#This Row],[NumSym]],Tableau_Lancer_la_requête_à_partir_de_Excel_Files3[[ID_Synergie]:[Avis Prog]],44)</f>
        <v>#N/A</v>
      </c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</row>
    <row r="10" spans="1:112" ht="15.75" thickTop="1" x14ac:dyDescent="0.25">
      <c r="A10" s="40" t="s">
        <v>8</v>
      </c>
      <c r="B10" s="40"/>
      <c r="C10" s="40">
        <f>SUBTOTAL(103,Tableau_Lancer_la_requête_à_partir_de_Excel_Files3[ID_Synergie])</f>
        <v>3</v>
      </c>
      <c r="D10" s="40"/>
      <c r="E10" s="40"/>
      <c r="F10" s="41">
        <f>SUBTOTAL(109,Tableau_Lancer_la_requête_à_partir_de_Excel_Files3[Coût total déposé])</f>
        <v>419477.92561202601</v>
      </c>
      <c r="G10" s="41"/>
      <c r="H10" s="41">
        <f>SUBTOTAL(109,Tableau_Lancer_la_requête_à_partir_de_Excel_Files3[Coût total])</f>
        <v>401092.38</v>
      </c>
      <c r="I10" s="41">
        <f>SUBTOTAL(109,Tableau_Lancer_la_requête_à_partir_de_Excel_Files3[Aide Publique Obtenue])</f>
        <v>315447.03000000003</v>
      </c>
      <c r="J10" s="41"/>
      <c r="K10" s="41">
        <f>SUBTOTAL(109,Tableau_Lancer_la_requête_à_partir_de_Excel_Files3[Aide Massif Obtenue])</f>
        <v>305277.03000000003</v>
      </c>
      <c r="L10" s="40"/>
      <c r="M10" s="41">
        <f>SUBTOTAL(109,Tableau_Lancer_la_requête_à_partir_de_Excel_Files3[Etat])</f>
        <v>52281.979999999996</v>
      </c>
      <c r="N10" s="41"/>
      <c r="O10" s="41"/>
      <c r="P10" s="41">
        <f>SUBTOTAL(109,Tableau_Lancer_la_requête_à_partir_de_Excel_Files3[Régions])</f>
        <v>51396</v>
      </c>
      <c r="Q10" s="41"/>
      <c r="R10" s="41"/>
      <c r="S10" s="41"/>
      <c r="T10" s="41"/>
      <c r="U10" s="41">
        <f>SUBTOTAL(109,Tableau_Lancer_la_requête_à_partir_de_Excel_Files3[Départements])</f>
        <v>1053.75</v>
      </c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>
        <f>SUBTOTAL(109,Tableau_Lancer_la_requête_à_partir_de_Excel_Files3[''FEDER''])</f>
        <v>200545.3</v>
      </c>
      <c r="AS10" s="41">
        <f>SUBTOTAL(109,Tableau_Lancer_la_requête_à_partir_de_Excel_Files3[''Autre Public''])</f>
        <v>10170</v>
      </c>
      <c r="AT10" s="40"/>
      <c r="AU10" s="31"/>
      <c r="AV10" s="62"/>
      <c r="AX10" s="34"/>
      <c r="AY10" s="43">
        <f t="shared" si="0"/>
        <v>0</v>
      </c>
      <c r="AZ10" s="43"/>
      <c r="BA10" s="43"/>
      <c r="BB10" s="43">
        <f t="shared" si="1"/>
        <v>0</v>
      </c>
      <c r="BC10" s="43"/>
      <c r="BD10" s="43"/>
      <c r="BE10" s="43"/>
      <c r="BF10" s="43"/>
      <c r="BG10" s="43">
        <f t="shared" si="2"/>
        <v>0</v>
      </c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31" t="e">
        <f>VLOOKUP(Tableau3[[#This Row],[NumSym]],Tableau_Lancer_la_requête_à_partir_de_Excel_Files3[[ID_Synergie]:[Avis Prog]],44)</f>
        <v>#N/A</v>
      </c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</row>
    <row r="11" spans="1:112" x14ac:dyDescent="0.25">
      <c r="AU11" s="31"/>
      <c r="AX11" s="34"/>
      <c r="AY11" s="43">
        <f t="shared" si="0"/>
        <v>0</v>
      </c>
      <c r="AZ11" s="43"/>
      <c r="BA11" s="43"/>
      <c r="BB11" s="43">
        <f t="shared" si="1"/>
        <v>0</v>
      </c>
      <c r="BC11" s="43"/>
      <c r="BD11" s="43"/>
      <c r="BE11" s="43"/>
      <c r="BF11" s="43"/>
      <c r="BG11" s="43">
        <f t="shared" si="2"/>
        <v>0</v>
      </c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31" t="e">
        <f>VLOOKUP(Tableau3[[#This Row],[NumSym]],Tableau_Lancer_la_requête_à_partir_de_Excel_Files3[[ID_Synergie]:[Avis Prog]],44)</f>
        <v>#N/A</v>
      </c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</row>
    <row r="12" spans="1:112" x14ac:dyDescent="0.25">
      <c r="AU12" s="31"/>
      <c r="AX12" s="34"/>
      <c r="AY12" s="43">
        <f t="shared" si="0"/>
        <v>0</v>
      </c>
      <c r="AZ12" s="43"/>
      <c r="BA12" s="43"/>
      <c r="BB12" s="43">
        <f t="shared" si="1"/>
        <v>0</v>
      </c>
      <c r="BC12" s="43"/>
      <c r="BD12" s="43"/>
      <c r="BE12" s="43"/>
      <c r="BF12" s="43"/>
      <c r="BG12" s="43">
        <f t="shared" si="2"/>
        <v>0</v>
      </c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31" t="e">
        <f>VLOOKUP(Tableau3[[#This Row],[NumSym]],Tableau_Lancer_la_requête_à_partir_de_Excel_Files3[[ID_Synergie]:[Avis Prog]],44)</f>
        <v>#N/A</v>
      </c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</row>
    <row r="13" spans="1:112" x14ac:dyDescent="0.25">
      <c r="AU13" s="31"/>
      <c r="AX13" s="34"/>
      <c r="AY13" s="43">
        <f t="shared" si="0"/>
        <v>0</v>
      </c>
      <c r="AZ13" s="43"/>
      <c r="BA13" s="43"/>
      <c r="BB13" s="43">
        <f t="shared" si="1"/>
        <v>0</v>
      </c>
      <c r="BC13" s="43"/>
      <c r="BD13" s="43"/>
      <c r="BE13" s="43"/>
      <c r="BF13" s="43"/>
      <c r="BG13" s="43">
        <f t="shared" si="2"/>
        <v>0</v>
      </c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31" t="e">
        <f>VLOOKUP(Tableau3[[#This Row],[NumSym]],Tableau_Lancer_la_requête_à_partir_de_Excel_Files3[[ID_Synergie]:[Avis Prog]],44)</f>
        <v>#N/A</v>
      </c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</row>
    <row r="14" spans="1:112" x14ac:dyDescent="0.25">
      <c r="AU14" s="31"/>
      <c r="AX14" s="34"/>
      <c r="AY14" s="43">
        <f t="shared" si="0"/>
        <v>0</v>
      </c>
      <c r="AZ14" s="41"/>
      <c r="BA14" s="41"/>
      <c r="BB14" s="43">
        <f t="shared" si="1"/>
        <v>0</v>
      </c>
      <c r="BC14" s="41"/>
      <c r="BD14" s="41"/>
      <c r="BE14" s="41"/>
      <c r="BF14" s="41"/>
      <c r="BG14" s="43">
        <f t="shared" si="2"/>
        <v>0</v>
      </c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31" t="e">
        <f>VLOOKUP(Tableau3[[#This Row],[NumSym]],Tableau_Lancer_la_requête_à_partir_de_Excel_Files3[[ID_Synergie]:[Avis Prog]],44)</f>
        <v>#N/A</v>
      </c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</row>
    <row r="15" spans="1:112" x14ac:dyDescent="0.25">
      <c r="AX15" s="43"/>
      <c r="AY15" s="43">
        <f t="shared" si="0"/>
        <v>0</v>
      </c>
      <c r="BA15" s="43"/>
      <c r="BB15" s="43">
        <f t="shared" si="1"/>
        <v>0</v>
      </c>
      <c r="BF15" s="43"/>
      <c r="BG15" s="43">
        <f t="shared" si="2"/>
        <v>0</v>
      </c>
      <c r="CE15" s="31" t="e">
        <f>VLOOKUP(Tableau3[[#This Row],[NumSym]],Tableau_Lancer_la_requête_à_partir_de_Excel_Files3[[ID_Synergie]:[Avis Prog]],44)</f>
        <v>#N/A</v>
      </c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</row>
    <row r="16" spans="1:112" x14ac:dyDescent="0.25">
      <c r="AX16" s="43"/>
      <c r="AY16" s="43">
        <f t="shared" si="0"/>
        <v>0</v>
      </c>
      <c r="BA16" s="43"/>
      <c r="BB16" s="43">
        <f t="shared" si="1"/>
        <v>0</v>
      </c>
      <c r="BF16" s="43"/>
      <c r="BG16" s="43">
        <f t="shared" si="2"/>
        <v>0</v>
      </c>
      <c r="CE16" s="31" t="e">
        <f>VLOOKUP(Tableau3[[#This Row],[NumSym]],Tableau_Lancer_la_requête_à_partir_de_Excel_Files3[[ID_Synergie]:[Avis Prog]],44)</f>
        <v>#N/A</v>
      </c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</row>
    <row r="17" spans="50:112" x14ac:dyDescent="0.25">
      <c r="AX17" s="43"/>
      <c r="AY17" s="43">
        <f t="shared" si="0"/>
        <v>0</v>
      </c>
      <c r="BA17" s="43"/>
      <c r="BB17" s="43">
        <f t="shared" si="1"/>
        <v>0</v>
      </c>
      <c r="BF17" s="43"/>
      <c r="BG17" s="43">
        <f t="shared" si="2"/>
        <v>0</v>
      </c>
      <c r="CE17" s="31" t="e">
        <f>VLOOKUP(Tableau3[[#This Row],[NumSym]],Tableau_Lancer_la_requête_à_partir_de_Excel_Files3[[ID_Synergie]:[Avis Prog]],44)</f>
        <v>#N/A</v>
      </c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</row>
    <row r="18" spans="50:112" x14ac:dyDescent="0.25">
      <c r="AX18" s="43"/>
      <c r="AY18" s="43">
        <f t="shared" si="0"/>
        <v>0</v>
      </c>
      <c r="BA18" s="43"/>
      <c r="BB18" s="43">
        <f t="shared" si="1"/>
        <v>0</v>
      </c>
      <c r="BF18" s="43"/>
      <c r="BG18" s="43">
        <f t="shared" si="2"/>
        <v>0</v>
      </c>
      <c r="CE18" s="31" t="e">
        <f>VLOOKUP(Tableau3[[#This Row],[NumSym]],Tableau_Lancer_la_requête_à_partir_de_Excel_Files3[[ID_Synergie]:[Avis Prog]],44)</f>
        <v>#N/A</v>
      </c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</row>
    <row r="19" spans="50:112" x14ac:dyDescent="0.25">
      <c r="AX19" s="43"/>
      <c r="AY19" s="43">
        <f t="shared" si="0"/>
        <v>0</v>
      </c>
      <c r="BA19" s="43"/>
      <c r="BB19" s="43">
        <f t="shared" si="1"/>
        <v>0</v>
      </c>
      <c r="BF19" s="43"/>
      <c r="BG19" s="43">
        <f t="shared" si="2"/>
        <v>0</v>
      </c>
      <c r="CE19" s="31" t="e">
        <f>VLOOKUP(Tableau3[[#This Row],[NumSym]],Tableau_Lancer_la_requête_à_partir_de_Excel_Files3[[ID_Synergie]:[Avis Prog]],44)</f>
        <v>#N/A</v>
      </c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</row>
    <row r="20" spans="50:112" x14ac:dyDescent="0.25">
      <c r="AX20" s="43"/>
      <c r="AY20" s="43">
        <f t="shared" si="0"/>
        <v>0</v>
      </c>
      <c r="BA20" s="43"/>
      <c r="BB20" s="43">
        <f t="shared" si="1"/>
        <v>0</v>
      </c>
      <c r="BF20" s="43"/>
      <c r="BG20" s="43">
        <f t="shared" si="2"/>
        <v>0</v>
      </c>
      <c r="CE20" s="31" t="e">
        <f>VLOOKUP(Tableau3[[#This Row],[NumSym]],Tableau_Lancer_la_requête_à_partir_de_Excel_Files3[[ID_Synergie]:[Avis Prog]],44)</f>
        <v>#N/A</v>
      </c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</row>
    <row r="21" spans="50:112" x14ac:dyDescent="0.25">
      <c r="AX21" s="43"/>
      <c r="AY21" s="43">
        <f t="shared" si="0"/>
        <v>0</v>
      </c>
      <c r="BA21" s="43"/>
      <c r="BB21" s="43">
        <f t="shared" si="1"/>
        <v>0</v>
      </c>
      <c r="BF21" s="43"/>
      <c r="BG21" s="43">
        <f t="shared" si="2"/>
        <v>0</v>
      </c>
      <c r="CE21" s="31" t="e">
        <f>VLOOKUP(Tableau3[[#This Row],[NumSym]],Tableau_Lancer_la_requête_à_partir_de_Excel_Files3[[ID_Synergie]:[Avis Prog]],44)</f>
        <v>#N/A</v>
      </c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</row>
    <row r="22" spans="50:112" x14ac:dyDescent="0.25">
      <c r="AX22" s="43"/>
      <c r="AY22" s="43">
        <f t="shared" si="0"/>
        <v>0</v>
      </c>
      <c r="BA22" s="43"/>
      <c r="BB22" s="43">
        <f t="shared" si="1"/>
        <v>0</v>
      </c>
      <c r="BF22" s="43"/>
      <c r="BG22" s="43">
        <f t="shared" si="2"/>
        <v>0</v>
      </c>
      <c r="CE22" s="31" t="e">
        <f>VLOOKUP(Tableau3[[#This Row],[NumSym]],Tableau_Lancer_la_requête_à_partir_de_Excel_Files3[[ID_Synergie]:[Avis Prog]],44)</f>
        <v>#N/A</v>
      </c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</row>
    <row r="23" spans="50:112" x14ac:dyDescent="0.25">
      <c r="AX23" s="43"/>
      <c r="AY23" s="43">
        <f t="shared" si="0"/>
        <v>0</v>
      </c>
      <c r="BA23" s="43"/>
      <c r="BB23" s="43">
        <f t="shared" si="1"/>
        <v>0</v>
      </c>
      <c r="BF23" s="43"/>
      <c r="BG23" s="43">
        <f t="shared" si="2"/>
        <v>0</v>
      </c>
      <c r="CE23" s="31" t="e">
        <f>VLOOKUP(Tableau3[[#This Row],[NumSym]],Tableau_Lancer_la_requête_à_partir_de_Excel_Files3[[ID_Synergie]:[Avis Prog]],44)</f>
        <v>#N/A</v>
      </c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</row>
    <row r="24" spans="50:112" x14ac:dyDescent="0.25">
      <c r="AX24" s="45" t="s">
        <v>8</v>
      </c>
      <c r="AY24" s="43">
        <f>SUBTOTAL(109,Tableau3[Etat])</f>
        <v>0</v>
      </c>
      <c r="AZ24" s="43">
        <f>SUBTOTAL(109,Tableau3[''FNADT''])</f>
        <v>0</v>
      </c>
      <c r="BA24" s="43">
        <f>SUBTOTAL(109,Tableau3[''Agriculture''])</f>
        <v>0</v>
      </c>
      <c r="BB24" s="43">
        <f>SUBTOTAL(109,Tableau3[Régions])</f>
        <v>2713.5</v>
      </c>
      <c r="BC24" s="43">
        <f>SUBTOTAL(109,Tableau3[''ALPC''])</f>
        <v>0</v>
      </c>
      <c r="BD24" s="43">
        <f>SUBTOTAL(109,Tableau3[''AURA''])</f>
        <v>2713.5</v>
      </c>
      <c r="BE24" s="43">
        <f>SUBTOTAL(109,Tableau3[''BFC''])</f>
        <v>0</v>
      </c>
      <c r="BF24" s="43">
        <f>SUBTOTAL(109,Tableau3[''LRMP''])</f>
        <v>0</v>
      </c>
      <c r="BG24" s="43">
        <f>SUBTOTAL(109,Tableau3[Départements])</f>
        <v>0</v>
      </c>
      <c r="BH24" s="43">
        <f>SUBTOTAL(109,Tableau3[''03''])</f>
        <v>0</v>
      </c>
      <c r="BI24" s="43">
        <f>SUBTOTAL(109,Tableau3[''07''])</f>
        <v>0</v>
      </c>
      <c r="BJ24" s="43">
        <f>SUBTOTAL(109,Tableau3[''11''])</f>
        <v>0</v>
      </c>
      <c r="BK24" s="43">
        <f>SUBTOTAL(109,Tableau3[''12''])</f>
        <v>0</v>
      </c>
      <c r="BL24" s="43">
        <f>SUBTOTAL(109,Tableau3[''15''])</f>
        <v>0</v>
      </c>
      <c r="BM24" s="43">
        <f>SUBTOTAL(109,Tableau3[''19''])</f>
        <v>0</v>
      </c>
      <c r="BN24" s="43">
        <f>SUBTOTAL(109,Tableau3[''21''])</f>
        <v>0</v>
      </c>
      <c r="BO24" s="43">
        <f>SUBTOTAL(109,Tableau3[''23''])</f>
        <v>0</v>
      </c>
      <c r="BP24" s="43">
        <f>SUBTOTAL(109,Tableau3[''30''])</f>
        <v>0</v>
      </c>
      <c r="BQ24" s="43">
        <f>SUBTOTAL(109,Tableau3[''34''])</f>
        <v>0</v>
      </c>
      <c r="BR24" s="43">
        <f>SUBTOTAL(109,Tableau3[''42''])</f>
        <v>0</v>
      </c>
      <c r="BS24" s="43">
        <f>SUBTOTAL(109,Tableau3[''43''])</f>
        <v>0</v>
      </c>
      <c r="BT24" s="43">
        <f>SUBTOTAL(109,Tableau3[''46''])</f>
        <v>0</v>
      </c>
      <c r="BU24" s="43">
        <f>SUBTOTAL(109,Tableau3[''48''])</f>
        <v>0</v>
      </c>
      <c r="BV24" s="43">
        <f>SUBTOTAL(109,Tableau3[''58''])</f>
        <v>0</v>
      </c>
      <c r="BW24" s="43">
        <f>SUBTOTAL(109,Tableau3[''63''])</f>
        <v>0</v>
      </c>
      <c r="BX24" s="43">
        <f>SUBTOTAL(109,Tableau3[''69''])</f>
        <v>0</v>
      </c>
      <c r="BY24" s="43">
        <f>SUBTOTAL(109,Tableau3[''71''])</f>
        <v>0</v>
      </c>
      <c r="BZ24" s="43">
        <f>SUBTOTAL(109,Tableau3[''81''])</f>
        <v>0</v>
      </c>
      <c r="CA24" s="43">
        <f>SUBTOTAL(109,Tableau3[''82''])</f>
        <v>0</v>
      </c>
      <c r="CB24" s="43">
        <f>SUBTOTAL(109,Tableau3[''87''])</f>
        <v>0</v>
      </c>
      <c r="CC24" s="43">
        <f>SUBTOTAL(109,Tableau3[''89''])</f>
        <v>0</v>
      </c>
      <c r="CD24" s="43">
        <f>SUBTOTAL(109,Tableau3[''FEDER''])</f>
        <v>0</v>
      </c>
      <c r="CE24" s="31">
        <f>SUBTOTAL(103,Tableau3[Avis])</f>
        <v>17</v>
      </c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</row>
    <row r="25" spans="50:112" x14ac:dyDescent="0.25"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</row>
    <row r="26" spans="50:112" x14ac:dyDescent="0.25"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</row>
    <row r="27" spans="50:112" x14ac:dyDescent="0.25"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</row>
    <row r="28" spans="50:112" x14ac:dyDescent="0.25"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</row>
    <row r="29" spans="50:112" x14ac:dyDescent="0.25"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</row>
    <row r="30" spans="50:112" x14ac:dyDescent="0.25">
      <c r="BB30" s="31" t="s">
        <v>82</v>
      </c>
      <c r="BG30" s="31" t="s">
        <v>81</v>
      </c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</row>
    <row r="31" spans="50:112" x14ac:dyDescent="0.25">
      <c r="AY31" s="34" t="s">
        <v>57</v>
      </c>
      <c r="AZ31" s="46">
        <f>SUMIF(Tableau_Lancer_la_requête_à_partir_de_Excel_Files3[Avis Prog],"1-Favorable",Tableau3[''FEDER''])</f>
        <v>0</v>
      </c>
      <c r="BB31" s="31">
        <f>SUMIF(Tableau3[Avis],"1-Favorable",Tableau3[''FEDER''])</f>
        <v>0</v>
      </c>
      <c r="BG31" s="31">
        <f>SUMIF(Tableau3[Avis],"0",Tableau3[''FEDER''])</f>
        <v>0</v>
      </c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</row>
    <row r="32" spans="50:112" x14ac:dyDescent="0.25">
      <c r="AY32" s="34" t="s">
        <v>46</v>
      </c>
      <c r="AZ32" s="46">
        <f>SUMIF(Tableau_Lancer_la_requête_à_partir_de_Excel_Files3[Avis Prog],"1-Favorable",Tableau3[Etat])</f>
        <v>0</v>
      </c>
      <c r="BB32" s="31">
        <f>SUMIF(Tableau3[Avis],"1-Favorable",Tableau3[Etat])</f>
        <v>0</v>
      </c>
      <c r="BG32" s="31">
        <f>SUMIF(Tableau3[Avis],"0",Tableau3[Etat])</f>
        <v>0</v>
      </c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</row>
    <row r="33" spans="51:112" x14ac:dyDescent="0.25">
      <c r="AY33" s="34" t="s">
        <v>47</v>
      </c>
      <c r="AZ33" s="46">
        <f>SUMIF(Tableau_Lancer_la_requête_à_partir_de_Excel_Files3[Avis Prog],"1-Favorable",Tableau3[Régions])</f>
        <v>2713.5</v>
      </c>
      <c r="BB33" s="31">
        <f>SUMIF(Tableau3[Avis],"1-Favorable",Tableau3[Régions])</f>
        <v>2713.5</v>
      </c>
      <c r="BG33" s="31">
        <f>SUMIF(Tableau3[Avis],"0",Tableau3[Régions])</f>
        <v>0</v>
      </c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</row>
    <row r="34" spans="51:112" x14ac:dyDescent="0.25">
      <c r="AY34" s="46" t="s">
        <v>58</v>
      </c>
      <c r="AZ34" s="46">
        <f>SUMIF(Tableau_Lancer_la_requête_à_partir_de_Excel_Files3[Avis Prog],"1-Favorable",Tableau3[''ALPC''])</f>
        <v>0</v>
      </c>
      <c r="BB34" s="31">
        <f>SUMIF(Tableau3[Avis],"1-Favorable",Tableau3[''ALPC''])</f>
        <v>0</v>
      </c>
      <c r="BG34" s="31">
        <f>SUMIF(Tableau3[Avis],"0",Tableau3[''ALPC''])</f>
        <v>0</v>
      </c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</row>
    <row r="35" spans="51:112" x14ac:dyDescent="0.25">
      <c r="AY35" s="46" t="s">
        <v>59</v>
      </c>
      <c r="AZ35" s="46">
        <f>SUMIF(Tableau_Lancer_la_requête_à_partir_de_Excel_Files3[Avis Prog],"1-Favorable",Tableau3[''AURA''])</f>
        <v>2713.5</v>
      </c>
      <c r="BB35" s="31">
        <f>SUMIF(Tableau3[Avis],"1-Favorable",Tableau3[''AURA''])</f>
        <v>2713.5</v>
      </c>
      <c r="BG35" s="31">
        <f>SUMIF(Tableau3[Avis],"0",Tableau3[''AURA''])</f>
        <v>0</v>
      </c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</row>
    <row r="36" spans="51:112" x14ac:dyDescent="0.25">
      <c r="AY36" s="46" t="s">
        <v>60</v>
      </c>
      <c r="AZ36" s="46">
        <f>SUMIF(Tableau_Lancer_la_requête_à_partir_de_Excel_Files3[Avis Prog],"1-Favorable",Tableau3[''BFC''])</f>
        <v>0</v>
      </c>
      <c r="BB36" s="31">
        <f>SUMIF(Tableau3[Avis],"1-Favorable",Tableau3[''BFC''])</f>
        <v>0</v>
      </c>
      <c r="BG36" s="31">
        <f>SUMIF(Tableau3[Avis],"0",Tableau3[''BFC''])</f>
        <v>0</v>
      </c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</row>
    <row r="37" spans="51:112" x14ac:dyDescent="0.25">
      <c r="AY37" s="46" t="s">
        <v>61</v>
      </c>
      <c r="AZ37" s="46">
        <f>SUMIF(Tableau_Lancer_la_requête_à_partir_de_Excel_Files3[Avis Prog],"1-Favorable",Tableau3[''LRMP''])</f>
        <v>0</v>
      </c>
      <c r="BB37" s="31">
        <f>SUMIF(Tableau3[Avis],"1-Favorable",Tableau3[''LRMP''])</f>
        <v>0</v>
      </c>
      <c r="BG37" s="31">
        <f>SUMIF(Tableau3[Avis],"0",Tableau3[''LRMP''])</f>
        <v>0</v>
      </c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</row>
    <row r="38" spans="51:112" x14ac:dyDescent="0.25">
      <c r="AY38" s="34" t="s">
        <v>48</v>
      </c>
      <c r="AZ38" s="46">
        <f>SUMIF(Tableau_Lancer_la_requête_à_partir_de_Excel_Files3[Avis Prog],"1-Favorable",Tableau3[Départements])</f>
        <v>0</v>
      </c>
      <c r="BB38" s="31">
        <f>SUMIF(Tableau3[Avis],"1-Favorable",Tableau3[Départements])</f>
        <v>0</v>
      </c>
      <c r="BG38" s="31">
        <f>SUMIF(Tableau3[Avis],"0",Tableau3[Départements])</f>
        <v>0</v>
      </c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</row>
    <row r="39" spans="51:112" x14ac:dyDescent="0.25">
      <c r="AY39" s="34" t="s">
        <v>22</v>
      </c>
      <c r="AZ39" s="46">
        <f>SUMIF(Tableau_Lancer_la_requête_à_partir_de_Excel_Files3[Avis Prog],"1-Favorable",Tableau3[''03''])</f>
        <v>0</v>
      </c>
      <c r="BB39" s="31">
        <f>SUMIF(Tableau3[Avis],"1-Favorable",Tableau3[''03''])</f>
        <v>0</v>
      </c>
      <c r="BG39" s="31">
        <f>SUMIF(Tableau3[Avis],"0",Tableau3[''03''])</f>
        <v>0</v>
      </c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</row>
    <row r="40" spans="51:112" x14ac:dyDescent="0.25">
      <c r="AY40" s="34" t="s">
        <v>24</v>
      </c>
      <c r="AZ40" s="46">
        <f>SUMIF(Tableau_Lancer_la_requête_à_partir_de_Excel_Files3[Avis Prog],"1-Favorable",Tableau3[''11''])</f>
        <v>0</v>
      </c>
      <c r="BB40" s="31">
        <f>SUMIF(Tableau3[Avis],"1-Favorable",Tableau3[''11''])</f>
        <v>0</v>
      </c>
      <c r="BG40" s="31">
        <f>SUMIF(Tableau3[Avis],"0",Tableau3[''11''])</f>
        <v>0</v>
      </c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</row>
    <row r="41" spans="51:112" x14ac:dyDescent="0.25">
      <c r="AY41" s="34" t="s">
        <v>25</v>
      </c>
      <c r="AZ41" s="46">
        <f>SUMIF(Tableau_Lancer_la_requête_à_partir_de_Excel_Files3[Avis Prog],"1-Favorable",Tableau3[''12''])</f>
        <v>0</v>
      </c>
      <c r="BB41" s="31">
        <f>SUMIF(Tableau3[Avis],"1-Favorable",Tableau3[''12''])</f>
        <v>0</v>
      </c>
      <c r="BG41" s="31">
        <f>SUMIF(Tableau3[Avis],"0",Tableau3[''12''])</f>
        <v>0</v>
      </c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</row>
    <row r="42" spans="51:112" x14ac:dyDescent="0.25">
      <c r="AY42" s="34" t="s">
        <v>26</v>
      </c>
      <c r="AZ42" s="46">
        <f>SUMIF(Tableau_Lancer_la_requête_à_partir_de_Excel_Files3[Avis Prog],"1-Favorable",Tableau3[''15''])</f>
        <v>0</v>
      </c>
      <c r="BB42" s="31">
        <f>SUMIF(Tableau3[Avis],"1-Favorable",Tableau3[''15''])</f>
        <v>0</v>
      </c>
      <c r="BG42" s="31">
        <f>SUMIF(Tableau3[Avis],"0",Tableau3[''15''])</f>
        <v>0</v>
      </c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</row>
    <row r="43" spans="51:112" x14ac:dyDescent="0.25">
      <c r="AY43" s="34" t="s">
        <v>27</v>
      </c>
      <c r="AZ43" s="46">
        <f>SUMIF(Tableau_Lancer_la_requête_à_partir_de_Excel_Files3[Avis Prog],"1-Favorable",Tableau3[''19''])</f>
        <v>0</v>
      </c>
      <c r="BB43" s="31">
        <f>SUMIF(Tableau3[Avis],"1-Favorable",Tableau3[''19''])</f>
        <v>0</v>
      </c>
      <c r="BG43" s="31">
        <f>SUMIF(Tableau3[Avis],"0",Tableau3[''19''])</f>
        <v>0</v>
      </c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</row>
    <row r="44" spans="51:112" x14ac:dyDescent="0.25">
      <c r="AY44" s="34" t="s">
        <v>28</v>
      </c>
      <c r="AZ44" s="46">
        <f>SUMIF(Tableau_Lancer_la_requête_à_partir_de_Excel_Files3[Avis Prog],"1-Favorable",Tableau3[''21''])</f>
        <v>0</v>
      </c>
      <c r="BB44" s="31">
        <f>SUMIF(Tableau3[Avis],"1-Favorable",Tableau3[''21''])</f>
        <v>0</v>
      </c>
      <c r="BG44" s="31">
        <f>SUMIF(Tableau3[Avis],"0",Tableau3[''21''])</f>
        <v>0</v>
      </c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</row>
    <row r="45" spans="51:112" x14ac:dyDescent="0.25">
      <c r="AY45" s="34" t="s">
        <v>29</v>
      </c>
      <c r="AZ45" s="46">
        <f>SUMIF(Tableau_Lancer_la_requête_à_partir_de_Excel_Files3[Avis Prog],"1-Favorable",Tableau3[''23''])</f>
        <v>0</v>
      </c>
      <c r="BB45" s="31">
        <f>SUMIF(Tableau3[Avis],"1-Favorable",Tableau3[''23''])</f>
        <v>0</v>
      </c>
      <c r="BG45" s="31">
        <f>SUMIF(Tableau3[Avis],"0",Tableau3[''23''])</f>
        <v>0</v>
      </c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</row>
    <row r="46" spans="51:112" x14ac:dyDescent="0.25">
      <c r="AY46" s="34" t="s">
        <v>30</v>
      </c>
      <c r="AZ46" s="46">
        <f>SUMIF(Tableau_Lancer_la_requête_à_partir_de_Excel_Files3[Avis Prog],"1-Favorable",Tableau3[''30''])</f>
        <v>0</v>
      </c>
      <c r="BB46" s="31">
        <f>SUMIF(Tableau3[Avis],"1-Favorable",Tableau3[''30''])</f>
        <v>0</v>
      </c>
      <c r="BG46" s="31">
        <f>SUMIF(Tableau3[Avis],"0",Tableau3[''30''])</f>
        <v>0</v>
      </c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</row>
    <row r="47" spans="51:112" x14ac:dyDescent="0.25">
      <c r="AY47" s="34" t="s">
        <v>31</v>
      </c>
      <c r="AZ47" s="46">
        <f>SUMIF(Tableau_Lancer_la_requête_à_partir_de_Excel_Files3[Avis Prog],"1-Favorable",Tableau3[''34''])</f>
        <v>0</v>
      </c>
      <c r="BB47" s="31">
        <f>SUMIF(Tableau3[Avis],"1-Favorable",Tableau3[''34''])</f>
        <v>0</v>
      </c>
      <c r="BG47" s="31">
        <f>SUMIF(Tableau3[Avis],"0",Tableau3[''34''])</f>
        <v>0</v>
      </c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</row>
    <row r="48" spans="51:112" x14ac:dyDescent="0.25">
      <c r="AY48" s="34" t="s">
        <v>32</v>
      </c>
      <c r="AZ48" s="46">
        <f>SUMIF(Tableau_Lancer_la_requête_à_partir_de_Excel_Files3[Avis Prog],"1-Favorable",Tableau3[''42''])</f>
        <v>0</v>
      </c>
      <c r="BB48" s="31">
        <f>SUMIF(Tableau3[Avis],"1-Favorable",Tableau3[''42''])</f>
        <v>0</v>
      </c>
      <c r="BG48" s="31">
        <f>SUMIF(Tableau3[Avis],"0",Tableau3[''42''])</f>
        <v>0</v>
      </c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</row>
    <row r="49" spans="51:112" x14ac:dyDescent="0.25">
      <c r="AY49" s="34" t="s">
        <v>33</v>
      </c>
      <c r="AZ49" s="46">
        <f>SUMIF(Tableau_Lancer_la_requête_à_partir_de_Excel_Files3[Avis Prog],"1-Favorable",Tableau3[''43''])</f>
        <v>0</v>
      </c>
      <c r="BB49" s="31">
        <f>SUMIF(Tableau3[Avis],"1-Favorable",Tableau3[''43''])</f>
        <v>0</v>
      </c>
      <c r="BG49" s="31">
        <f>SUMIF(Tableau3[Avis],"0",Tableau3[''43''])</f>
        <v>0</v>
      </c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</row>
    <row r="50" spans="51:112" x14ac:dyDescent="0.25">
      <c r="AY50" s="34" t="s">
        <v>34</v>
      </c>
      <c r="AZ50" s="46">
        <f>SUMIF(Tableau_Lancer_la_requête_à_partir_de_Excel_Files3[Avis Prog],"1-Favorable",Tableau3[''46''])</f>
        <v>0</v>
      </c>
      <c r="BB50" s="31">
        <f>SUMIF(Tableau3[Avis],"1-Favorable",Tableau3[''46''])</f>
        <v>0</v>
      </c>
      <c r="BG50" s="31">
        <f>SUMIF(Tableau3[Avis],"0",Tableau3[''46''])</f>
        <v>0</v>
      </c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</row>
    <row r="51" spans="51:112" x14ac:dyDescent="0.25">
      <c r="AY51" s="34" t="s">
        <v>35</v>
      </c>
      <c r="AZ51" s="46">
        <f>SUMIF(Tableau_Lancer_la_requête_à_partir_de_Excel_Files3[Avis Prog],"1-Favorable",Tableau3[''48''])</f>
        <v>0</v>
      </c>
      <c r="BB51" s="31">
        <f>SUMIF(Tableau3[Avis],"1-Favorable",Tableau3[''48''])</f>
        <v>0</v>
      </c>
      <c r="BG51" s="31">
        <f>SUMIF(Tableau3[Avis],"0",Tableau3[''48''])</f>
        <v>0</v>
      </c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</row>
    <row r="52" spans="51:112" x14ac:dyDescent="0.25">
      <c r="AY52" s="34" t="s">
        <v>36</v>
      </c>
      <c r="AZ52" s="46">
        <f>SUMIF(Tableau_Lancer_la_requête_à_partir_de_Excel_Files3[Avis Prog],"1-Favorable",Tableau3[''58''])</f>
        <v>0</v>
      </c>
      <c r="BB52" s="31">
        <f>SUMIF(Tableau3[Avis],"1-Favorable",Tableau3[''58''])</f>
        <v>0</v>
      </c>
      <c r="BG52" s="31">
        <f>SUMIF(Tableau3[Avis],"0",Tableau3[''58''])</f>
        <v>0</v>
      </c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</row>
    <row r="53" spans="51:112" x14ac:dyDescent="0.25">
      <c r="AY53" s="34" t="s">
        <v>37</v>
      </c>
      <c r="AZ53" s="46">
        <f>SUMIF(Tableau_Lancer_la_requête_à_partir_de_Excel_Files3[Avis Prog],"1-Favorable",Tableau3[''63''])</f>
        <v>0</v>
      </c>
      <c r="BB53" s="31">
        <f>SUMIF(Tableau3[Avis],"1-Favorable",Tableau3[''63''])</f>
        <v>0</v>
      </c>
      <c r="BG53" s="31">
        <f>SUMIF(Tableau3[Avis],"0",Tableau3[''63''])</f>
        <v>0</v>
      </c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</row>
    <row r="54" spans="51:112" x14ac:dyDescent="0.25">
      <c r="AY54" s="34" t="s">
        <v>38</v>
      </c>
      <c r="AZ54" s="46">
        <f>SUMIF(Tableau_Lancer_la_requête_à_partir_de_Excel_Files3[Avis Prog],"1-Favorable",Tableau3[''69''])</f>
        <v>0</v>
      </c>
      <c r="BB54" s="31">
        <f>SUMIF(Tableau3[Avis],"1-Favorable",Tableau3[''69''])</f>
        <v>0</v>
      </c>
      <c r="BG54" s="31">
        <f>SUMIF(Tableau3[Avis],"0",Tableau3[''69''])</f>
        <v>0</v>
      </c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</row>
    <row r="55" spans="51:112" x14ac:dyDescent="0.25">
      <c r="AY55" s="34" t="s">
        <v>39</v>
      </c>
      <c r="AZ55" s="46">
        <f>SUMIF(Tableau_Lancer_la_requête_à_partir_de_Excel_Files3[Avis Prog],"1-Favorable",Tableau3[''71''])</f>
        <v>0</v>
      </c>
      <c r="BB55" s="31">
        <f>SUMIF(Tableau3[Avis],"1-Favorable",Tableau3[''71''])</f>
        <v>0</v>
      </c>
      <c r="BG55" s="31">
        <f>SUMIF(Tableau3[Avis],"0",Tableau3[''71''])</f>
        <v>0</v>
      </c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</row>
    <row r="56" spans="51:112" x14ac:dyDescent="0.25">
      <c r="AY56" s="34" t="s">
        <v>40</v>
      </c>
      <c r="AZ56" s="46">
        <f>SUMIF(Tableau_Lancer_la_requête_à_partir_de_Excel_Files3[Avis Prog],"1-Favorable",Tableau3[''81''])</f>
        <v>0</v>
      </c>
      <c r="BB56" s="31">
        <f>SUMIF(Tableau3[Avis],"1-Favorable",Tableau3[''81''])</f>
        <v>0</v>
      </c>
      <c r="BG56" s="31">
        <f>SUMIF(Tableau3[Avis],"0",Tableau3[''81''])</f>
        <v>0</v>
      </c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</row>
    <row r="57" spans="51:112" x14ac:dyDescent="0.25">
      <c r="AY57" s="34" t="s">
        <v>41</v>
      </c>
      <c r="AZ57" s="46">
        <f>SUMIF(Tableau_Lancer_la_requête_à_partir_de_Excel_Files3[Avis Prog],"1-Favorable",Tableau3[''82''])</f>
        <v>0</v>
      </c>
      <c r="BB57" s="31">
        <f>SUMIF(Tableau3[Avis],"1-Favorable",Tableau3[''82''])</f>
        <v>0</v>
      </c>
      <c r="BG57" s="31">
        <f>SUMIF(Tableau3[Avis],"0",Tableau3[''82''])</f>
        <v>0</v>
      </c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</row>
    <row r="58" spans="51:112" x14ac:dyDescent="0.25">
      <c r="AY58" s="34" t="s">
        <v>42</v>
      </c>
      <c r="AZ58" s="46">
        <f>SUMIF(Tableau_Lancer_la_requête_à_partir_de_Excel_Files3[Avis Prog],"1-Favorable",Tableau3[''87''])</f>
        <v>0</v>
      </c>
      <c r="BB58" s="31">
        <f>SUMIF(Tableau3[Avis],"1-Favorable",Tableau3[''87''])</f>
        <v>0</v>
      </c>
      <c r="BG58" s="31">
        <f>SUMIF(Tableau3[Avis],"0",Tableau3[''87''])</f>
        <v>0</v>
      </c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</row>
    <row r="59" spans="51:112" x14ac:dyDescent="0.25">
      <c r="AY59" s="34" t="s">
        <v>43</v>
      </c>
      <c r="AZ59" s="46">
        <f>SUMIF(Tableau_Lancer_la_requête_à_partir_de_Excel_Files3[Avis Prog],"1-Favorable",Tableau3[''89''])</f>
        <v>0</v>
      </c>
      <c r="BB59" s="31">
        <f>SUMIF(Tableau3[Avis],"1-Favorable",Tableau3[''89''])</f>
        <v>0</v>
      </c>
      <c r="BG59" s="31">
        <f>SUMIF(Tableau3[Avis],"0",Tableau3[''89''])</f>
        <v>0</v>
      </c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</row>
    <row r="60" spans="51:112" x14ac:dyDescent="0.25"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</row>
    <row r="61" spans="51:112" x14ac:dyDescent="0.25"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</row>
    <row r="62" spans="51:112" x14ac:dyDescent="0.25"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</row>
    <row r="63" spans="51:112" x14ac:dyDescent="0.25"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</row>
    <row r="64" spans="51:112" x14ac:dyDescent="0.25"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</row>
    <row r="65" spans="84:112" x14ac:dyDescent="0.25"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</row>
    <row r="66" spans="84:112" x14ac:dyDescent="0.25"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</row>
    <row r="67" spans="84:112" x14ac:dyDescent="0.25"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</row>
    <row r="68" spans="84:112" x14ac:dyDescent="0.25"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</row>
    <row r="69" spans="84:112" x14ac:dyDescent="0.25"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</row>
    <row r="70" spans="84:112" x14ac:dyDescent="0.25"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</row>
    <row r="71" spans="84:112" x14ac:dyDescent="0.25"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</row>
    <row r="72" spans="84:112" x14ac:dyDescent="0.25">
      <c r="CF72" s="35"/>
      <c r="CG72" s="35"/>
      <c r="CH72" s="35"/>
      <c r="CI72" s="35"/>
      <c r="CJ72" s="35"/>
      <c r="CK72" s="35"/>
      <c r="CL72" s="35"/>
      <c r="DB72" s="31"/>
      <c r="DC72" s="31"/>
      <c r="DD72" s="31"/>
      <c r="DE72" s="31"/>
      <c r="DF72" s="31"/>
      <c r="DG72" s="31"/>
      <c r="DH72" s="31"/>
    </row>
    <row r="73" spans="84:112" x14ac:dyDescent="0.25">
      <c r="CF73" s="35"/>
      <c r="CG73" s="35"/>
      <c r="CH73" s="35"/>
      <c r="CI73" s="35"/>
      <c r="CJ73" s="35"/>
      <c r="CK73" s="35"/>
      <c r="CL73" s="35"/>
      <c r="DB73" s="31"/>
      <c r="DC73" s="31"/>
      <c r="DD73" s="31"/>
      <c r="DE73" s="31"/>
      <c r="DF73" s="31"/>
      <c r="DG73" s="31"/>
      <c r="DH73" s="31"/>
    </row>
    <row r="74" spans="84:112" x14ac:dyDescent="0.25">
      <c r="CF74" s="35"/>
      <c r="CG74" s="35"/>
      <c r="CH74" s="35"/>
      <c r="CI74" s="35"/>
      <c r="CJ74" s="35"/>
      <c r="CK74" s="35"/>
      <c r="CL74" s="35"/>
      <c r="DB74" s="31"/>
      <c r="DC74" s="31"/>
      <c r="DD74" s="31"/>
      <c r="DE74" s="31"/>
      <c r="DF74" s="31"/>
      <c r="DG74" s="31"/>
      <c r="DH74" s="31"/>
    </row>
    <row r="75" spans="84:112" x14ac:dyDescent="0.25">
      <c r="CF75" s="35"/>
      <c r="CG75" s="35"/>
      <c r="CH75" s="35"/>
      <c r="CI75" s="35"/>
      <c r="CJ75" s="35"/>
      <c r="CK75" s="35"/>
      <c r="CL75" s="35"/>
      <c r="DB75" s="31"/>
      <c r="DC75" s="31"/>
      <c r="DD75" s="31"/>
      <c r="DE75" s="31"/>
      <c r="DF75" s="31"/>
      <c r="DG75" s="31"/>
      <c r="DH75" s="31"/>
    </row>
    <row r="76" spans="84:112" x14ac:dyDescent="0.25">
      <c r="CF76" s="35"/>
      <c r="CG76" s="35"/>
      <c r="CH76" s="35"/>
      <c r="CI76" s="35"/>
      <c r="CJ76" s="35"/>
      <c r="CK76" s="35"/>
      <c r="CL76" s="35"/>
      <c r="DB76" s="31"/>
      <c r="DC76" s="31"/>
      <c r="DD76" s="31"/>
      <c r="DE76" s="31"/>
      <c r="DF76" s="31"/>
      <c r="DG76" s="31"/>
      <c r="DH76" s="31"/>
    </row>
    <row r="77" spans="84:112" x14ac:dyDescent="0.25">
      <c r="CF77" s="35"/>
      <c r="CG77" s="35"/>
      <c r="CH77" s="35"/>
      <c r="CI77" s="35"/>
      <c r="CJ77" s="35"/>
      <c r="CK77" s="35"/>
      <c r="CL77" s="35"/>
      <c r="DB77" s="31"/>
      <c r="DC77" s="31"/>
      <c r="DD77" s="31"/>
      <c r="DE77" s="31"/>
      <c r="DF77" s="31"/>
      <c r="DG77" s="31"/>
      <c r="DH77" s="31"/>
    </row>
    <row r="78" spans="84:112" x14ac:dyDescent="0.25">
      <c r="CF78" s="35"/>
      <c r="CG78" s="35"/>
      <c r="CH78" s="35"/>
      <c r="CI78" s="35"/>
      <c r="CJ78" s="35"/>
      <c r="CK78" s="35"/>
      <c r="CL78" s="35"/>
      <c r="DB78" s="31"/>
      <c r="DC78" s="31"/>
      <c r="DD78" s="31"/>
      <c r="DE78" s="31"/>
      <c r="DF78" s="31"/>
      <c r="DG78" s="31"/>
      <c r="DH78" s="31"/>
    </row>
    <row r="79" spans="84:112" x14ac:dyDescent="0.25">
      <c r="CF79" s="35"/>
      <c r="CG79" s="35"/>
      <c r="CH79" s="35"/>
      <c r="CI79" s="35"/>
      <c r="CJ79" s="35"/>
      <c r="CK79" s="35"/>
      <c r="CL79" s="35"/>
      <c r="DB79" s="31"/>
      <c r="DC79" s="31"/>
      <c r="DD79" s="31"/>
      <c r="DE79" s="31"/>
      <c r="DF79" s="31"/>
      <c r="DG79" s="31"/>
      <c r="DH79" s="31"/>
    </row>
    <row r="80" spans="84:112" x14ac:dyDescent="0.25">
      <c r="CF80" s="35"/>
      <c r="CG80" s="35"/>
      <c r="CH80" s="35"/>
      <c r="CI80" s="35"/>
      <c r="CJ80" s="35"/>
      <c r="CK80" s="35"/>
      <c r="CL80" s="35"/>
      <c r="DB80" s="31"/>
      <c r="DC80" s="31"/>
      <c r="DD80" s="31"/>
      <c r="DE80" s="31"/>
      <c r="DF80" s="31"/>
      <c r="DG80" s="31"/>
      <c r="DH80" s="31"/>
    </row>
    <row r="81" spans="84:112" x14ac:dyDescent="0.25">
      <c r="CF81" s="35"/>
      <c r="CG81" s="35"/>
      <c r="CH81" s="35"/>
      <c r="CI81" s="35"/>
      <c r="CJ81" s="35"/>
      <c r="CK81" s="35"/>
      <c r="CL81" s="35"/>
      <c r="DB81" s="31"/>
      <c r="DC81" s="31"/>
      <c r="DD81" s="31"/>
      <c r="DE81" s="31"/>
      <c r="DF81" s="31"/>
      <c r="DG81" s="31"/>
      <c r="DH81" s="31"/>
    </row>
    <row r="82" spans="84:112" x14ac:dyDescent="0.25">
      <c r="CF82" s="35"/>
      <c r="CG82" s="35"/>
      <c r="CH82" s="35"/>
      <c r="CI82" s="35"/>
      <c r="CJ82" s="35"/>
      <c r="CK82" s="35"/>
      <c r="CL82" s="35"/>
      <c r="DB82" s="31"/>
      <c r="DC82" s="31"/>
      <c r="DD82" s="31"/>
      <c r="DE82" s="31"/>
      <c r="DF82" s="31"/>
      <c r="DG82" s="31"/>
      <c r="DH82" s="31"/>
    </row>
    <row r="83" spans="84:112" x14ac:dyDescent="0.25">
      <c r="CF83" s="35"/>
      <c r="CG83" s="35"/>
      <c r="CH83" s="35"/>
      <c r="CI83" s="35"/>
      <c r="CJ83" s="35"/>
      <c r="CK83" s="35"/>
      <c r="CL83" s="35"/>
      <c r="DB83" s="31"/>
      <c r="DC83" s="31"/>
      <c r="DD83" s="31"/>
      <c r="DE83" s="31"/>
      <c r="DF83" s="31"/>
      <c r="DG83" s="31"/>
      <c r="DH83" s="31"/>
    </row>
    <row r="84" spans="84:112" x14ac:dyDescent="0.25">
      <c r="CF84" s="35"/>
      <c r="CG84" s="35"/>
      <c r="CH84" s="35"/>
      <c r="CI84" s="35"/>
      <c r="CJ84" s="35"/>
      <c r="CK84" s="35"/>
      <c r="CL84" s="35"/>
      <c r="DB84" s="31"/>
      <c r="DC84" s="31"/>
      <c r="DD84" s="31"/>
      <c r="DE84" s="31"/>
      <c r="DF84" s="31"/>
      <c r="DG84" s="31"/>
      <c r="DH84" s="31"/>
    </row>
    <row r="85" spans="84:112" x14ac:dyDescent="0.25">
      <c r="CF85" s="35"/>
      <c r="CG85" s="35"/>
      <c r="CH85" s="35"/>
      <c r="CI85" s="35"/>
      <c r="CJ85" s="35"/>
      <c r="CK85" s="35"/>
      <c r="CL85" s="35"/>
      <c r="DB85" s="31"/>
      <c r="DC85" s="31"/>
      <c r="DD85" s="31"/>
      <c r="DE85" s="31"/>
      <c r="DF85" s="31"/>
      <c r="DG85" s="31"/>
      <c r="DH85" s="31"/>
    </row>
    <row r="86" spans="84:112" x14ac:dyDescent="0.25">
      <c r="CF86" s="35"/>
      <c r="CG86" s="35"/>
      <c r="CH86" s="35"/>
      <c r="CI86" s="35"/>
      <c r="CJ86" s="35"/>
      <c r="CK86" s="35"/>
      <c r="CL86" s="35"/>
      <c r="DB86" s="31"/>
      <c r="DC86" s="31"/>
      <c r="DD86" s="31"/>
      <c r="DE86" s="31"/>
      <c r="DF86" s="31"/>
      <c r="DG86" s="31"/>
      <c r="DH86" s="31"/>
    </row>
    <row r="87" spans="84:112" x14ac:dyDescent="0.25">
      <c r="CF87" s="35"/>
      <c r="CG87" s="35"/>
      <c r="CH87" s="35"/>
      <c r="CI87" s="35"/>
      <c r="CJ87" s="35"/>
      <c r="CK87" s="35"/>
      <c r="CL87" s="35"/>
      <c r="DB87" s="31"/>
      <c r="DC87" s="31"/>
      <c r="DD87" s="31"/>
      <c r="DE87" s="31"/>
      <c r="DF87" s="31"/>
      <c r="DG87" s="31"/>
      <c r="DH87" s="31"/>
    </row>
    <row r="88" spans="84:112" x14ac:dyDescent="0.25">
      <c r="CF88" s="35"/>
      <c r="CG88" s="35"/>
      <c r="CH88" s="35"/>
      <c r="CI88" s="35"/>
      <c r="CJ88" s="35"/>
      <c r="CK88" s="35"/>
      <c r="CL88" s="35"/>
      <c r="DB88" s="31"/>
      <c r="DC88" s="31"/>
      <c r="DD88" s="31"/>
      <c r="DE88" s="31"/>
      <c r="DF88" s="31"/>
      <c r="DG88" s="31"/>
      <c r="DH88" s="31"/>
    </row>
    <row r="89" spans="84:112" x14ac:dyDescent="0.25">
      <c r="CF89" s="35"/>
      <c r="CG89" s="35"/>
      <c r="CH89" s="35"/>
      <c r="CI89" s="35"/>
      <c r="CJ89" s="35"/>
      <c r="CK89" s="35"/>
      <c r="CL89" s="35"/>
      <c r="DB89" s="31"/>
      <c r="DC89" s="31"/>
      <c r="DD89" s="31"/>
      <c r="DE89" s="31"/>
      <c r="DF89" s="31"/>
      <c r="DG89" s="31"/>
      <c r="DH89" s="31"/>
    </row>
    <row r="90" spans="84:112" x14ac:dyDescent="0.25">
      <c r="CF90" s="35"/>
      <c r="CG90" s="35"/>
      <c r="CH90" s="35"/>
      <c r="CI90" s="35"/>
      <c r="CJ90" s="35"/>
      <c r="CK90" s="35"/>
      <c r="CL90" s="35"/>
      <c r="DB90" s="31"/>
      <c r="DC90" s="31"/>
      <c r="DD90" s="31"/>
      <c r="DE90" s="31"/>
      <c r="DF90" s="31"/>
      <c r="DG90" s="31"/>
      <c r="DH90" s="31"/>
    </row>
    <row r="91" spans="84:112" x14ac:dyDescent="0.25">
      <c r="CF91" s="35"/>
      <c r="CG91" s="35"/>
      <c r="CH91" s="35"/>
      <c r="CI91" s="35"/>
      <c r="CJ91" s="35"/>
      <c r="CK91" s="35"/>
      <c r="CL91" s="35"/>
      <c r="DB91" s="31"/>
      <c r="DC91" s="31"/>
      <c r="DD91" s="31"/>
      <c r="DE91" s="31"/>
      <c r="DF91" s="31"/>
      <c r="DG91" s="31"/>
      <c r="DH91" s="31"/>
    </row>
    <row r="92" spans="84:112" x14ac:dyDescent="0.25">
      <c r="CF92" s="35"/>
      <c r="CG92" s="35"/>
      <c r="CH92" s="35"/>
      <c r="CI92" s="35"/>
      <c r="CJ92" s="35"/>
      <c r="CK92" s="35"/>
      <c r="CL92" s="35"/>
      <c r="DB92" s="31"/>
      <c r="DC92" s="31"/>
      <c r="DD92" s="31"/>
      <c r="DE92" s="31"/>
      <c r="DF92" s="31"/>
      <c r="DG92" s="31"/>
      <c r="DH92" s="31"/>
    </row>
  </sheetData>
  <conditionalFormatting sqref="I11:I1048576">
    <cfRule type="cellIs" dxfId="351" priority="43" operator="greaterThan">
      <formula>0</formula>
    </cfRule>
    <cfRule type="cellIs" dxfId="350" priority="44" operator="lessThan">
      <formula>0</formula>
    </cfRule>
  </conditionalFormatting>
  <conditionalFormatting sqref="AT7:AT10">
    <cfRule type="cellIs" dxfId="349" priority="37" operator="equal">
      <formula>"6-Retiré/Abandon"</formula>
    </cfRule>
    <cfRule type="cellIs" dxfId="348" priority="38" operator="equal">
      <formula>"5-Défavorable"</formula>
    </cfRule>
    <cfRule type="cellIs" dxfId="347" priority="39" operator="equal">
      <formula>"4-Ajournement"</formula>
    </cfRule>
    <cfRule type="cellIs" dxfId="346" priority="40" operator="equal">
      <formula>"1-Favorable"</formula>
    </cfRule>
  </conditionalFormatting>
  <conditionalFormatting sqref="AV7:AV10">
    <cfRule type="cellIs" dxfId="345" priority="1" operator="equal">
      <formula>"6-Retiré/Abandon"</formula>
    </cfRule>
    <cfRule type="cellIs" dxfId="344" priority="2" operator="equal">
      <formula>"5-Défavorable"</formula>
    </cfRule>
    <cfRule type="cellIs" dxfId="343" priority="3" operator="equal">
      <formula>"4-Ajournement"</formula>
    </cfRule>
    <cfRule type="cellIs" dxfId="342" priority="4" operator="equal">
      <formula>"1-Favorable"</formula>
    </cfRule>
  </conditionalFormatting>
  <dataValidations count="1">
    <dataValidation type="list" allowBlank="1" showInputMessage="1" showErrorMessage="1" sqref="AT7:AT9">
      <formula1>"1-Favorable,4-Ajournement,5-Défavorable,6-Retiré/Abandon"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55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11</vt:i4>
      </vt:variant>
    </vt:vector>
  </HeadingPairs>
  <TitlesOfParts>
    <vt:vector size="23" baseType="lpstr">
      <vt:lpstr>Itinérance</vt:lpstr>
      <vt:lpstr>Tourisme</vt:lpstr>
      <vt:lpstr>Bois</vt:lpstr>
      <vt:lpstr>Pierre</vt:lpstr>
      <vt:lpstr>Attractivité</vt:lpstr>
      <vt:lpstr>Biodiversité</vt:lpstr>
      <vt:lpstr>Agriculture</vt:lpstr>
      <vt:lpstr>AT-Ing Terr</vt:lpstr>
      <vt:lpstr>Reprog (en cours)</vt:lpstr>
      <vt:lpstr>Abandon</vt:lpstr>
      <vt:lpstr>Recap Financier</vt:lpstr>
      <vt:lpstr>Feuil1</vt:lpstr>
      <vt:lpstr>Abandon!Impression_des_titres</vt:lpstr>
      <vt:lpstr>'Reprog (en cours)'!Impression_des_titres</vt:lpstr>
      <vt:lpstr>Agriculture!Zone_d_impression</vt:lpstr>
      <vt:lpstr>'AT-Ing Terr'!Zone_d_impression</vt:lpstr>
      <vt:lpstr>Attractivité!Zone_d_impression</vt:lpstr>
      <vt:lpstr>Biodiversité!Zone_d_impression</vt:lpstr>
      <vt:lpstr>Bois!Zone_d_impression</vt:lpstr>
      <vt:lpstr>Itinérance!Zone_d_impression</vt:lpstr>
      <vt:lpstr>Pierre!Zone_d_impression</vt:lpstr>
      <vt:lpstr>'Reprog (en cours)'!Zone_d_impression</vt:lpstr>
      <vt:lpstr>Tourisme!Zone_d_impression</vt:lpstr>
    </vt:vector>
  </TitlesOfParts>
  <Company>cra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pe.melac</dc:creator>
  <cp:lastModifiedBy>pe.melac</cp:lastModifiedBy>
  <cp:lastPrinted>2016-11-22T09:47:03Z</cp:lastPrinted>
  <dcterms:created xsi:type="dcterms:W3CDTF">2016-01-13T16:44:12Z</dcterms:created>
  <dcterms:modified xsi:type="dcterms:W3CDTF">2016-11-23T08:42:34Z</dcterms:modified>
</cp:coreProperties>
</file>