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drawings/drawing2.xml" ContentType="application/vnd.openxmlformats-officedocument.drawing+xml"/>
  <Override PartName="/xl/tables/table5.xml" ContentType="application/vnd.openxmlformats-officedocument.spreadsheetml.table+xml"/>
  <Override PartName="/xl/queryTables/queryTable5.xml" ContentType="application/vnd.openxmlformats-officedocument.spreadsheetml.queryTable+xml"/>
  <Override PartName="/xl/drawings/drawing3.xml" ContentType="application/vnd.openxmlformats-officedocument.drawing+xml"/>
  <Override PartName="/xl/tables/table6.xml" ContentType="application/vnd.openxmlformats-officedocument.spreadsheetml.table+xml"/>
  <Override PartName="/xl/queryTables/queryTable6.xml" ContentType="application/vnd.openxmlformats-officedocument.spreadsheetml.queryTable+xml"/>
  <Override PartName="/xl/drawings/drawing4.xml" ContentType="application/vnd.openxmlformats-officedocument.drawing+xml"/>
  <Override PartName="/xl/tables/table7.xml" ContentType="application/vnd.openxmlformats-officedocument.spreadsheetml.table+xml"/>
  <Override PartName="/xl/queryTables/queryTable7.xml" ContentType="application/vnd.openxmlformats-officedocument.spreadsheetml.queryTable+xml"/>
  <Override PartName="/xl/drawings/drawing5.xml" ContentType="application/vnd.openxmlformats-officedocument.drawing+xml"/>
  <Override PartName="/xl/tables/table8.xml" ContentType="application/vnd.openxmlformats-officedocument.spreadsheetml.table+xml"/>
  <Override PartName="/xl/queryTables/queryTable8.xml" ContentType="application/vnd.openxmlformats-officedocument.spreadsheetml.queryTable+xml"/>
  <Override PartName="/xl/drawings/drawing6.xml" ContentType="application/vnd.openxmlformats-officedocument.drawing+xml"/>
  <Override PartName="/xl/tables/table9.xml" ContentType="application/vnd.openxmlformats-officedocument.spreadsheetml.table+xml"/>
  <Override PartName="/xl/queryTables/queryTable9.xml" ContentType="application/vnd.openxmlformats-officedocument.spreadsheetml.queryTable+xml"/>
  <Override PartName="/xl/drawings/drawing7.xml" ContentType="application/vnd.openxmlformats-officedocument.drawing+xml"/>
  <Override PartName="/xl/tables/table10.xml" ContentType="application/vnd.openxmlformats-officedocument.spreadsheetml.table+xml"/>
  <Override PartName="/xl/queryTables/queryTable10.xml" ContentType="application/vnd.openxmlformats-officedocument.spreadsheetml.queryTable+xml"/>
  <Override PartName="/xl/drawings/drawing8.xml" ContentType="application/vnd.openxmlformats-officedocument.drawing+xml"/>
  <Override PartName="/xl/tables/table11.xml" ContentType="application/vnd.openxmlformats-officedocument.spreadsheetml.table+xml"/>
  <Override PartName="/xl/queryTables/queryTable11.xml" ContentType="application/vnd.openxmlformats-officedocument.spreadsheetml.queryTable+xml"/>
  <Override PartName="/xl/drawings/drawing9.xml" ContentType="application/vnd.openxmlformats-officedocument.drawing+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drawings/drawing10.xml" ContentType="application/vnd.openxmlformats-officedocument.drawing+xml"/>
  <Override PartName="/xl/tables/table14.xml" ContentType="application/vnd.openxmlformats-officedocument.spreadsheetml.table+xml"/>
  <Override PartName="/xl/queryTables/queryTable13.xml" ContentType="application/vnd.openxmlformats-officedocument.spreadsheetml.queryTable+xml"/>
  <Override PartName="/xl/tables/table15.xml" ContentType="application/vnd.openxmlformats-officedocument.spreadsheetml.table+xml"/>
  <Override PartName="/xl/drawings/drawing1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15" windowWidth="19320" windowHeight="6210" firstSheet="2" activeTab="10"/>
  </bookViews>
  <sheets>
    <sheet name="Itinérance" sheetId="12" r:id="rId1"/>
    <sheet name="Tourisme" sheetId="9" r:id="rId2"/>
    <sheet name="Bois" sheetId="2" r:id="rId3"/>
    <sheet name="Pierre" sheetId="5" state="hidden" r:id="rId4"/>
    <sheet name="Attractivité" sheetId="6" r:id="rId5"/>
    <sheet name="Biodiversité" sheetId="7" r:id="rId6"/>
    <sheet name="Agriculture" sheetId="8" r:id="rId7"/>
    <sheet name="AT-Ing Terr" sheetId="10" state="hidden" r:id="rId8"/>
    <sheet name="Reprog (en cours)" sheetId="4" r:id="rId9"/>
    <sheet name="Abandon" sheetId="14" r:id="rId10"/>
    <sheet name="Recap Financier" sheetId="3" r:id="rId11"/>
    <sheet name="Feuil1" sheetId="11" r:id="rId12"/>
  </sheets>
  <definedNames>
    <definedName name="_xlnm.Print_Titles" localSheetId="9">Abandon!$1:$6</definedName>
    <definedName name="_xlnm.Print_Titles" localSheetId="8">'Reprog (en cours)'!$1:$6</definedName>
    <definedName name="Lancer_la_requête_à_partir_de_Excel_Files" localSheetId="9" hidden="1">Abandon!$A$6:$AS$14</definedName>
    <definedName name="Lancer_la_requête_à_partir_de_Excel_Files" localSheetId="6" hidden="1">Agriculture!#REF!</definedName>
    <definedName name="Lancer_la_requête_à_partir_de_Excel_Files" localSheetId="7" hidden="1">'AT-Ing Terr'!#REF!</definedName>
    <definedName name="Lancer_la_requête_à_partir_de_Excel_Files" localSheetId="4" hidden="1">Attractivité!#REF!</definedName>
    <definedName name="Lancer_la_requête_à_partir_de_Excel_Files" localSheetId="5" hidden="1">Biodiversité!#REF!</definedName>
    <definedName name="Lancer_la_requête_à_partir_de_Excel_Files" localSheetId="2" hidden="1">Bois!#REF!</definedName>
    <definedName name="Lancer_la_requête_à_partir_de_Excel_Files" localSheetId="0" hidden="1">Itinérance!#REF!</definedName>
    <definedName name="Lancer_la_requête_à_partir_de_Excel_Files" localSheetId="3" hidden="1">Pierre!#REF!</definedName>
    <definedName name="Lancer_la_requête_à_partir_de_Excel_Files" localSheetId="8" hidden="1">'Reprog (en cours)'!$A$6:$AS$21</definedName>
    <definedName name="Lancer_la_requête_à_partir_de_Excel_Files" localSheetId="1" hidden="1">Tourisme!#REF!</definedName>
    <definedName name="Lancer_la_requête_à_partir_de_Excel_Files_1" localSheetId="6" hidden="1">Agriculture!#REF!</definedName>
    <definedName name="Lancer_la_requête_à_partir_de_Excel_Files_1" localSheetId="7" hidden="1">'AT-Ing Terr'!#REF!</definedName>
    <definedName name="Lancer_la_requête_à_partir_de_Excel_Files_1" localSheetId="4" hidden="1">Attractivité!#REF!</definedName>
    <definedName name="Lancer_la_requête_à_partir_de_Excel_Files_1" localSheetId="5" hidden="1">Biodiversité!#REF!</definedName>
    <definedName name="Lancer_la_requête_à_partir_de_Excel_Files_1" localSheetId="2" hidden="1">Bois!#REF!</definedName>
    <definedName name="Lancer_la_requête_à_partir_de_Excel_Files_1" localSheetId="0" hidden="1">Itinérance!#REF!</definedName>
    <definedName name="Lancer_la_requête_à_partir_de_Excel_Files_1" localSheetId="3" hidden="1">Pierre!#REF!</definedName>
    <definedName name="Lancer_la_requête_à_partir_de_Excel_Files_1" localSheetId="1" hidden="1">Tourisme!#REF!</definedName>
    <definedName name="Lancer_la_requête_à_partir_de_Excel_Files_10" localSheetId="0" hidden="1">Itinérance!$A$14:$AQ$27</definedName>
    <definedName name="Lancer_la_requête_à_partir_de_Excel_Files_11" localSheetId="0" hidden="1">Itinérance!$A$32:$AQ$47</definedName>
    <definedName name="Lancer_la_requête_à_partir_de_Excel_Files_2" localSheetId="6" hidden="1">Agriculture!#REF!</definedName>
    <definedName name="Lancer_la_requête_à_partir_de_Excel_Files_2" localSheetId="7" hidden="1">'AT-Ing Terr'!#REF!</definedName>
    <definedName name="Lancer_la_requête_à_partir_de_Excel_Files_2" localSheetId="4" hidden="1">Attractivité!#REF!</definedName>
    <definedName name="Lancer_la_requête_à_partir_de_Excel_Files_2" localSheetId="5" hidden="1">Biodiversité!#REF!</definedName>
    <definedName name="Lancer_la_requête_à_partir_de_Excel_Files_2" localSheetId="2" hidden="1">Bois!#REF!</definedName>
    <definedName name="Lancer_la_requête_à_partir_de_Excel_Files_2" localSheetId="0" hidden="1">Itinérance!#REF!</definedName>
    <definedName name="Lancer_la_requête_à_partir_de_Excel_Files_2" localSheetId="3" hidden="1">Pierre!#REF!</definedName>
    <definedName name="Lancer_la_requête_à_partir_de_Excel_Files_2" localSheetId="1" hidden="1">Tourisme!#REF!</definedName>
    <definedName name="Lancer_la_requête_à_partir_de_Excel_Files_3" localSheetId="6" hidden="1">Agriculture!#REF!</definedName>
    <definedName name="Lancer_la_requête_à_partir_de_Excel_Files_3" localSheetId="7" hidden="1">'AT-Ing Terr'!#REF!</definedName>
    <definedName name="Lancer_la_requête_à_partir_de_Excel_Files_3" localSheetId="4" hidden="1">Attractivité!#REF!</definedName>
    <definedName name="Lancer_la_requête_à_partir_de_Excel_Files_3" localSheetId="5" hidden="1">Biodiversité!#REF!</definedName>
    <definedName name="Lancer_la_requête_à_partir_de_Excel_Files_3" localSheetId="2" hidden="1">Bois!#REF!</definedName>
    <definedName name="Lancer_la_requête_à_partir_de_Excel_Files_3" localSheetId="0" hidden="1">Itinérance!#REF!</definedName>
    <definedName name="Lancer_la_requête_à_partir_de_Excel_Files_3" localSheetId="3" hidden="1">Pierre!#REF!</definedName>
    <definedName name="Lancer_la_requête_à_partir_de_Excel_Files_3" localSheetId="1" hidden="1">Tourisme!#REF!</definedName>
    <definedName name="Lancer_la_requête_à_partir_de_Excel_Files_4" localSheetId="6" hidden="1">Agriculture!#REF!</definedName>
    <definedName name="Lancer_la_requête_à_partir_de_Excel_Files_4" localSheetId="7" hidden="1">'AT-Ing Terr'!#REF!</definedName>
    <definedName name="Lancer_la_requête_à_partir_de_Excel_Files_4" localSheetId="4" hidden="1">Attractivité!#REF!</definedName>
    <definedName name="Lancer_la_requête_à_partir_de_Excel_Files_4" localSheetId="5" hidden="1">Biodiversité!#REF!</definedName>
    <definedName name="Lancer_la_requête_à_partir_de_Excel_Files_4" localSheetId="2" hidden="1">Bois!#REF!</definedName>
    <definedName name="Lancer_la_requête_à_partir_de_Excel_Files_4" localSheetId="0" hidden="1">Itinérance!#REF!</definedName>
    <definedName name="Lancer_la_requête_à_partir_de_Excel_Files_4" localSheetId="3" hidden="1">Pierre!#REF!</definedName>
    <definedName name="Lancer_la_requête_à_partir_de_Excel_Files_4" localSheetId="1" hidden="1">Tourisme!#REF!</definedName>
    <definedName name="Lancer_la_requête_à_partir_de_Excel_Files_5" localSheetId="6" hidden="1">Agriculture!#REF!</definedName>
    <definedName name="Lancer_la_requête_à_partir_de_Excel_Files_5" localSheetId="7" hidden="1">'AT-Ing Terr'!#REF!</definedName>
    <definedName name="Lancer_la_requête_à_partir_de_Excel_Files_5" localSheetId="4" hidden="1">Attractivité!#REF!</definedName>
    <definedName name="Lancer_la_requête_à_partir_de_Excel_Files_5" localSheetId="5" hidden="1">Biodiversité!#REF!</definedName>
    <definedName name="Lancer_la_requête_à_partir_de_Excel_Files_5" localSheetId="2" hidden="1">Bois!#REF!</definedName>
    <definedName name="Lancer_la_requête_à_partir_de_Excel_Files_5" localSheetId="0" hidden="1">Itinérance!#REF!</definedName>
    <definedName name="Lancer_la_requête_à_partir_de_Excel_Files_5" localSheetId="3" hidden="1">Pierre!#REF!</definedName>
    <definedName name="Lancer_la_requête_à_partir_de_Excel_Files_5" localSheetId="1" hidden="1">Tourisme!#REF!</definedName>
    <definedName name="Lancer_la_requête_à_partir_de_Excel_Files_6" localSheetId="6" hidden="1">Agriculture!#REF!</definedName>
    <definedName name="Lancer_la_requête_à_partir_de_Excel_Files_6" localSheetId="7" hidden="1">'AT-Ing Terr'!#REF!</definedName>
    <definedName name="Lancer_la_requête_à_partir_de_Excel_Files_6" localSheetId="4" hidden="1">Attractivité!#REF!</definedName>
    <definedName name="Lancer_la_requête_à_partir_de_Excel_Files_6" localSheetId="5" hidden="1">Biodiversité!#REF!</definedName>
    <definedName name="Lancer_la_requête_à_partir_de_Excel_Files_6" localSheetId="2" hidden="1">Bois!#REF!</definedName>
    <definedName name="Lancer_la_requête_à_partir_de_Excel_Files_6" localSheetId="0" hidden="1">Itinérance!#REF!</definedName>
    <definedName name="Lancer_la_requête_à_partir_de_Excel_Files_6" localSheetId="3" hidden="1">Pierre!#REF!</definedName>
    <definedName name="Lancer_la_requête_à_partir_de_Excel_Files_6" localSheetId="1" hidden="1">Tourisme!#REF!</definedName>
    <definedName name="Lancer_la_requête_à_partir_de_Excel_Files_7" localSheetId="6" hidden="1">Agriculture!#REF!</definedName>
    <definedName name="Lancer_la_requête_à_partir_de_Excel_Files_7" localSheetId="7" hidden="1">'AT-Ing Terr'!#REF!</definedName>
    <definedName name="Lancer_la_requête_à_partir_de_Excel_Files_7" localSheetId="4" hidden="1">Attractivité!#REF!</definedName>
    <definedName name="Lancer_la_requête_à_partir_de_Excel_Files_7" localSheetId="5" hidden="1">Biodiversité!#REF!</definedName>
    <definedName name="Lancer_la_requête_à_partir_de_Excel_Files_7" localSheetId="2" hidden="1">Bois!#REF!</definedName>
    <definedName name="Lancer_la_requête_à_partir_de_Excel_Files_7" localSheetId="0" hidden="1">Itinérance!#REF!</definedName>
    <definedName name="Lancer_la_requête_à_partir_de_Excel_Files_7" localSheetId="3" hidden="1">Pierre!#REF!</definedName>
    <definedName name="Lancer_la_requête_à_partir_de_Excel_Files_7" localSheetId="1" hidden="1">Tourisme!#REF!</definedName>
    <definedName name="Lancer_la_requête_à_partir_de_Excel_Files_8" localSheetId="6" hidden="1">Agriculture!$A$6:$AQ$54</definedName>
    <definedName name="Lancer_la_requête_à_partir_de_Excel_Files_8" localSheetId="7" hidden="1">'AT-Ing Terr'!$A$6:$AQ$7</definedName>
    <definedName name="Lancer_la_requête_à_partir_de_Excel_Files_8" localSheetId="4" hidden="1">Attractivité!$A$6:$AQ$19</definedName>
    <definedName name="Lancer_la_requête_à_partir_de_Excel_Files_8" localSheetId="5" hidden="1">Biodiversité!$A$6:$AR$29</definedName>
    <definedName name="Lancer_la_requête_à_partir_de_Excel_Files_8" localSheetId="2" hidden="1">Bois!$A$6:$AQ$18</definedName>
    <definedName name="Lancer_la_requête_à_partir_de_Excel_Files_8" localSheetId="0" hidden="1">Itinérance!$A$6:$AQ$9</definedName>
    <definedName name="Lancer_la_requête_à_partir_de_Excel_Files_8" localSheetId="3" hidden="1">Pierre!$A$6:$AP$7</definedName>
    <definedName name="Lancer_la_requête_à_partir_de_Excel_Files_8" localSheetId="1" hidden="1">Tourisme!$A$6:$AQ$7</definedName>
    <definedName name="Lancer_la_requête_à_partir_de_Excel_Files_9" localSheetId="0" hidden="1">Itinérance!$A$52:$AQ$54</definedName>
    <definedName name="_xlnm.Print_Area" localSheetId="6">Agriculture!$A$1:$AT$60</definedName>
    <definedName name="_xlnm.Print_Area" localSheetId="7">'AT-Ing Terr'!$A$1:$AT$10</definedName>
    <definedName name="_xlnm.Print_Area" localSheetId="4">Attractivité!$A$1:$AT$20</definedName>
    <definedName name="_xlnm.Print_Area" localSheetId="5">Biodiversité!$A$1:$AU$30</definedName>
    <definedName name="_xlnm.Print_Area" localSheetId="2">Bois!$A$1:$AT$21</definedName>
    <definedName name="_xlnm.Print_Area" localSheetId="0">Itinérance!$A$1:$AT$64</definedName>
    <definedName name="_xlnm.Print_Area" localSheetId="3">Pierre!$A$1:$AS$18</definedName>
    <definedName name="_xlnm.Print_Area" localSheetId="1">Tourisme!$A$1:$AT$9</definedName>
  </definedNames>
  <calcPr calcId="145621"/>
</workbook>
</file>

<file path=xl/calcChain.xml><?xml version="1.0" encoding="utf-8"?>
<calcChain xmlns="http://schemas.openxmlformats.org/spreadsheetml/2006/main">
  <c r="C15" i="14" l="1"/>
  <c r="F15" i="14"/>
  <c r="AR15" i="14"/>
  <c r="H11" i="14"/>
  <c r="H13" i="14"/>
  <c r="H7" i="14"/>
  <c r="H8" i="14"/>
  <c r="H9" i="14"/>
  <c r="H12" i="14"/>
  <c r="H10" i="14"/>
  <c r="H14" i="14"/>
  <c r="M11" i="14"/>
  <c r="M13" i="14"/>
  <c r="M7" i="14"/>
  <c r="M8" i="14"/>
  <c r="M9" i="14"/>
  <c r="M12" i="14"/>
  <c r="M10" i="14"/>
  <c r="M14" i="14"/>
  <c r="P11" i="14"/>
  <c r="P13" i="14"/>
  <c r="P7" i="14"/>
  <c r="P8" i="14"/>
  <c r="P9" i="14"/>
  <c r="P12" i="14"/>
  <c r="P10" i="14"/>
  <c r="P14" i="14"/>
  <c r="U11" i="14"/>
  <c r="U13" i="14"/>
  <c r="U7" i="14"/>
  <c r="U8" i="14"/>
  <c r="U9" i="14"/>
  <c r="U12" i="14"/>
  <c r="U10" i="14"/>
  <c r="U14" i="14"/>
  <c r="C22" i="4"/>
  <c r="F22" i="4"/>
  <c r="AR22" i="4"/>
  <c r="H11" i="4"/>
  <c r="H17" i="4"/>
  <c r="H18" i="4"/>
  <c r="H12" i="4"/>
  <c r="H19" i="4"/>
  <c r="H20" i="4"/>
  <c r="H21" i="4"/>
  <c r="H13" i="4"/>
  <c r="H14" i="4"/>
  <c r="H15" i="4"/>
  <c r="H16" i="4"/>
  <c r="H7" i="4"/>
  <c r="H10" i="4"/>
  <c r="H8" i="4"/>
  <c r="H9" i="4"/>
  <c r="M11" i="4"/>
  <c r="M17" i="4"/>
  <c r="M18" i="4"/>
  <c r="M12" i="4"/>
  <c r="M19" i="4"/>
  <c r="M20" i="4"/>
  <c r="M21" i="4"/>
  <c r="M13" i="4"/>
  <c r="M14" i="4"/>
  <c r="M15" i="4"/>
  <c r="M16" i="4"/>
  <c r="M7" i="4"/>
  <c r="M10" i="4"/>
  <c r="M8" i="4"/>
  <c r="M9" i="4"/>
  <c r="P11" i="4"/>
  <c r="P17" i="4"/>
  <c r="P18" i="4"/>
  <c r="P12" i="4"/>
  <c r="P19" i="4"/>
  <c r="P20" i="4"/>
  <c r="P21" i="4"/>
  <c r="P13" i="4"/>
  <c r="P14" i="4"/>
  <c r="P15" i="4"/>
  <c r="P16" i="4"/>
  <c r="P7" i="4"/>
  <c r="P10" i="4"/>
  <c r="P8" i="4"/>
  <c r="P9" i="4"/>
  <c r="U11" i="4"/>
  <c r="U17" i="4"/>
  <c r="U18" i="4"/>
  <c r="U12" i="4"/>
  <c r="U19" i="4"/>
  <c r="U20" i="4"/>
  <c r="U21" i="4"/>
  <c r="U13" i="4"/>
  <c r="U14" i="4"/>
  <c r="U15" i="4"/>
  <c r="U16" i="4"/>
  <c r="U7" i="4"/>
  <c r="U10" i="4"/>
  <c r="U8" i="4"/>
  <c r="U9" i="4"/>
  <c r="B8" i="10"/>
  <c r="D8" i="10"/>
  <c r="I8" i="10"/>
  <c r="L8" i="10"/>
  <c r="N8" i="10"/>
  <c r="O8" i="10"/>
  <c r="P8" i="10"/>
  <c r="Q8" i="10"/>
  <c r="S8" i="10"/>
  <c r="T8" i="10"/>
  <c r="U8" i="10"/>
  <c r="V8" i="10"/>
  <c r="W8" i="10"/>
  <c r="X8" i="10"/>
  <c r="Y8" i="10"/>
  <c r="Z8" i="10"/>
  <c r="AA8" i="10"/>
  <c r="AB8" i="10"/>
  <c r="AC8" i="10"/>
  <c r="AD8" i="10"/>
  <c r="AE8" i="10"/>
  <c r="AF8" i="10"/>
  <c r="AG8" i="10"/>
  <c r="AH8" i="10"/>
  <c r="AI8" i="10"/>
  <c r="AJ8" i="10"/>
  <c r="AK8" i="10"/>
  <c r="AL8" i="10"/>
  <c r="AM8" i="10"/>
  <c r="AN8" i="10"/>
  <c r="AO8" i="10"/>
  <c r="B55" i="8"/>
  <c r="D55" i="8"/>
  <c r="I55" i="8"/>
  <c r="L55" i="8"/>
  <c r="N55" i="8"/>
  <c r="O55" i="8"/>
  <c r="P55" i="8"/>
  <c r="Q55" i="8"/>
  <c r="S55" i="8"/>
  <c r="T55" i="8"/>
  <c r="U55" i="8"/>
  <c r="V55" i="8"/>
  <c r="W55" i="8"/>
  <c r="X55" i="8"/>
  <c r="Y55" i="8"/>
  <c r="Z55" i="8"/>
  <c r="AA55" i="8"/>
  <c r="AB55" i="8"/>
  <c r="AC55" i="8"/>
  <c r="AD55" i="8"/>
  <c r="AE55" i="8"/>
  <c r="AF55" i="8"/>
  <c r="AG55" i="8"/>
  <c r="AH55" i="8"/>
  <c r="AI55" i="8"/>
  <c r="AJ55" i="8"/>
  <c r="AK55" i="8"/>
  <c r="AL55" i="8"/>
  <c r="AM55" i="8"/>
  <c r="AN55" i="8"/>
  <c r="AO55"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C30" i="7"/>
  <c r="E30" i="7"/>
  <c r="J30" i="7"/>
  <c r="M30" i="7"/>
  <c r="O30" i="7"/>
  <c r="P30" i="7"/>
  <c r="Q30" i="7"/>
  <c r="R30" i="7"/>
  <c r="T30" i="7"/>
  <c r="U30" i="7"/>
  <c r="V30" i="7"/>
  <c r="W30" i="7"/>
  <c r="X30" i="7"/>
  <c r="Y30" i="7"/>
  <c r="Z30" i="7"/>
  <c r="AA30" i="7"/>
  <c r="AB30" i="7"/>
  <c r="AC30" i="7"/>
  <c r="AD30" i="7"/>
  <c r="AE30" i="7"/>
  <c r="AF30" i="7"/>
  <c r="AG30" i="7"/>
  <c r="AH30" i="7"/>
  <c r="AI30" i="7"/>
  <c r="AJ30" i="7"/>
  <c r="AK30" i="7"/>
  <c r="AL30" i="7"/>
  <c r="AM30" i="7"/>
  <c r="AN30" i="7"/>
  <c r="AO30" i="7"/>
  <c r="AP30" i="7"/>
  <c r="K10" i="7"/>
  <c r="K11" i="7"/>
  <c r="K12" i="7"/>
  <c r="K13" i="7"/>
  <c r="K14" i="7"/>
  <c r="K15" i="7"/>
  <c r="K16" i="7"/>
  <c r="K17" i="7"/>
  <c r="K18" i="7"/>
  <c r="K19" i="7"/>
  <c r="K20" i="7"/>
  <c r="K21" i="7"/>
  <c r="K25" i="7"/>
  <c r="K7" i="7"/>
  <c r="K8" i="7"/>
  <c r="K26" i="7"/>
  <c r="K27" i="7"/>
  <c r="K28" i="7"/>
  <c r="K22" i="7"/>
  <c r="K23" i="7"/>
  <c r="K29" i="7"/>
  <c r="K24" i="7"/>
  <c r="N10" i="7"/>
  <c r="N11" i="7"/>
  <c r="N12" i="7"/>
  <c r="N13" i="7"/>
  <c r="N14" i="7"/>
  <c r="N15" i="7"/>
  <c r="N16" i="7"/>
  <c r="N17" i="7"/>
  <c r="N18" i="7"/>
  <c r="N19" i="7"/>
  <c r="N20" i="7"/>
  <c r="N9" i="7"/>
  <c r="N21" i="7"/>
  <c r="N25" i="7"/>
  <c r="N7" i="7"/>
  <c r="N8" i="7"/>
  <c r="N26" i="7"/>
  <c r="N27" i="7"/>
  <c r="N28" i="7"/>
  <c r="N22" i="7"/>
  <c r="N23" i="7"/>
  <c r="N29" i="7"/>
  <c r="N24" i="7"/>
  <c r="S10" i="7"/>
  <c r="S11" i="7"/>
  <c r="S12" i="7"/>
  <c r="S13" i="7"/>
  <c r="S14" i="7"/>
  <c r="S15" i="7"/>
  <c r="S16" i="7"/>
  <c r="S17" i="7"/>
  <c r="S18" i="7"/>
  <c r="S19" i="7"/>
  <c r="S20" i="7"/>
  <c r="S9" i="7"/>
  <c r="S21" i="7"/>
  <c r="S25" i="7"/>
  <c r="S7" i="7"/>
  <c r="S8" i="7"/>
  <c r="S26" i="7"/>
  <c r="S27" i="7"/>
  <c r="S28" i="7"/>
  <c r="S22" i="7"/>
  <c r="S23" i="7"/>
  <c r="S29" i="7"/>
  <c r="S24" i="7"/>
  <c r="B20" i="6"/>
  <c r="D20" i="6"/>
  <c r="I20" i="6"/>
  <c r="L20" i="6"/>
  <c r="N20" i="6"/>
  <c r="O20" i="6"/>
  <c r="P20" i="6"/>
  <c r="Q20" i="6"/>
  <c r="S20" i="6"/>
  <c r="T20" i="6"/>
  <c r="U20" i="6"/>
  <c r="V20" i="6"/>
  <c r="W20" i="6"/>
  <c r="X20" i="6"/>
  <c r="Y20" i="6"/>
  <c r="Z20" i="6"/>
  <c r="AA20" i="6"/>
  <c r="AB20" i="6"/>
  <c r="AC20" i="6"/>
  <c r="AD20" i="6"/>
  <c r="AE20" i="6"/>
  <c r="AF20" i="6"/>
  <c r="AG20" i="6"/>
  <c r="AH20" i="6"/>
  <c r="AI20" i="6"/>
  <c r="AJ20" i="6"/>
  <c r="AK20" i="6"/>
  <c r="AL20" i="6"/>
  <c r="AM20" i="6"/>
  <c r="AN20" i="6"/>
  <c r="AO20" i="6"/>
  <c r="J7" i="6"/>
  <c r="J8" i="6"/>
  <c r="J9" i="6"/>
  <c r="J10" i="6"/>
  <c r="J11" i="6"/>
  <c r="J12" i="6"/>
  <c r="J13" i="6"/>
  <c r="J14" i="6"/>
  <c r="J15" i="6"/>
  <c r="J16" i="6"/>
  <c r="J17" i="6"/>
  <c r="J18" i="6"/>
  <c r="G18" i="6" s="1"/>
  <c r="J19" i="6"/>
  <c r="M7" i="6"/>
  <c r="M8" i="6"/>
  <c r="M9" i="6"/>
  <c r="M10" i="6"/>
  <c r="M11" i="6"/>
  <c r="M12" i="6"/>
  <c r="M13" i="6"/>
  <c r="M14" i="6"/>
  <c r="M15" i="6"/>
  <c r="M16" i="6"/>
  <c r="M17" i="6"/>
  <c r="M18" i="6"/>
  <c r="M19" i="6"/>
  <c r="R7" i="6"/>
  <c r="R8" i="6"/>
  <c r="R9" i="6"/>
  <c r="R10" i="6"/>
  <c r="R11" i="6"/>
  <c r="R12" i="6"/>
  <c r="R13" i="6"/>
  <c r="R14" i="6"/>
  <c r="R15" i="6"/>
  <c r="R16" i="6"/>
  <c r="R17" i="6"/>
  <c r="R18" i="6"/>
  <c r="R19" i="6"/>
  <c r="B8" i="5"/>
  <c r="D8" i="5"/>
  <c r="I8" i="5"/>
  <c r="L8" i="5"/>
  <c r="N8" i="5"/>
  <c r="O8" i="5"/>
  <c r="P8" i="5"/>
  <c r="Q8" i="5"/>
  <c r="S8" i="5"/>
  <c r="T8" i="5"/>
  <c r="U8" i="5"/>
  <c r="V8" i="5"/>
  <c r="W8" i="5"/>
  <c r="X8" i="5"/>
  <c r="Y8" i="5"/>
  <c r="Z8" i="5"/>
  <c r="AA8" i="5"/>
  <c r="AB8" i="5"/>
  <c r="AC8" i="5"/>
  <c r="AD8" i="5"/>
  <c r="AE8" i="5"/>
  <c r="AF8" i="5"/>
  <c r="AG8" i="5"/>
  <c r="AH8" i="5"/>
  <c r="AI8" i="5"/>
  <c r="AJ8" i="5"/>
  <c r="AK8" i="5"/>
  <c r="AL8" i="5"/>
  <c r="AM8" i="5"/>
  <c r="AN8" i="5"/>
  <c r="AO8" i="5"/>
  <c r="B19" i="2"/>
  <c r="D19" i="2"/>
  <c r="I19" i="2"/>
  <c r="L19" i="2"/>
  <c r="N19" i="2"/>
  <c r="O19" i="2"/>
  <c r="P19" i="2"/>
  <c r="Q19" i="2"/>
  <c r="S19" i="2"/>
  <c r="T19" i="2"/>
  <c r="U19" i="2"/>
  <c r="V19" i="2"/>
  <c r="W19" i="2"/>
  <c r="X19" i="2"/>
  <c r="Y19" i="2"/>
  <c r="Z19" i="2"/>
  <c r="AA19" i="2"/>
  <c r="AB19" i="2"/>
  <c r="AC19" i="2"/>
  <c r="AD19" i="2"/>
  <c r="AE19" i="2"/>
  <c r="AF19" i="2"/>
  <c r="AG19" i="2"/>
  <c r="AH19" i="2"/>
  <c r="AI19" i="2"/>
  <c r="AJ19" i="2"/>
  <c r="AK19" i="2"/>
  <c r="AL19" i="2"/>
  <c r="AM19" i="2"/>
  <c r="AN19" i="2"/>
  <c r="AO19" i="2"/>
  <c r="J7" i="2"/>
  <c r="J8" i="2"/>
  <c r="J9" i="2"/>
  <c r="J10" i="2"/>
  <c r="J11" i="2"/>
  <c r="J16" i="2"/>
  <c r="J17" i="2"/>
  <c r="J18" i="2"/>
  <c r="J12" i="2"/>
  <c r="J13" i="2"/>
  <c r="J14" i="2"/>
  <c r="J15" i="2"/>
  <c r="M7" i="2"/>
  <c r="M8" i="2"/>
  <c r="M9" i="2"/>
  <c r="M10" i="2"/>
  <c r="M11" i="2"/>
  <c r="M16" i="2"/>
  <c r="M17" i="2"/>
  <c r="M18" i="2"/>
  <c r="M12" i="2"/>
  <c r="M13" i="2"/>
  <c r="M14" i="2"/>
  <c r="M15" i="2"/>
  <c r="R7" i="2"/>
  <c r="R8" i="2"/>
  <c r="R9" i="2"/>
  <c r="R10" i="2"/>
  <c r="R11" i="2"/>
  <c r="R16" i="2"/>
  <c r="R17" i="2"/>
  <c r="R18" i="2"/>
  <c r="R12" i="2"/>
  <c r="R13" i="2"/>
  <c r="R14" i="2"/>
  <c r="R15" i="2"/>
  <c r="B8" i="9"/>
  <c r="D8" i="9"/>
  <c r="I8" i="9"/>
  <c r="L8" i="9"/>
  <c r="N8" i="9"/>
  <c r="O8" i="9"/>
  <c r="P8" i="9"/>
  <c r="Q8" i="9"/>
  <c r="S8" i="9"/>
  <c r="T8" i="9"/>
  <c r="U8" i="9"/>
  <c r="V8" i="9"/>
  <c r="W8" i="9"/>
  <c r="X8" i="9"/>
  <c r="Y8" i="9"/>
  <c r="Z8" i="9"/>
  <c r="AA8" i="9"/>
  <c r="AB8" i="9"/>
  <c r="AC8" i="9"/>
  <c r="AD8" i="9"/>
  <c r="AE8" i="9"/>
  <c r="AF8" i="9"/>
  <c r="AG8" i="9"/>
  <c r="AH8" i="9"/>
  <c r="AI8" i="9"/>
  <c r="AJ8" i="9"/>
  <c r="AK8" i="9"/>
  <c r="AL8" i="9"/>
  <c r="AM8" i="9"/>
  <c r="AN8" i="9"/>
  <c r="AO8" i="9"/>
  <c r="J7" i="9"/>
  <c r="M7" i="9"/>
  <c r="R7" i="9"/>
  <c r="B10" i="12"/>
  <c r="D10" i="12"/>
  <c r="I10" i="12"/>
  <c r="L10" i="12"/>
  <c r="N10" i="12"/>
  <c r="O10" i="12"/>
  <c r="P10" i="12"/>
  <c r="Q10" i="12"/>
  <c r="S10" i="12"/>
  <c r="T10" i="12"/>
  <c r="U10" i="12"/>
  <c r="V10" i="12"/>
  <c r="W10" i="12"/>
  <c r="X10" i="12"/>
  <c r="Y10" i="12"/>
  <c r="Z10" i="12"/>
  <c r="AA10" i="12"/>
  <c r="AB10" i="12"/>
  <c r="AC10" i="12"/>
  <c r="AD10" i="12"/>
  <c r="AE10" i="12"/>
  <c r="AF10" i="12"/>
  <c r="AG10" i="12"/>
  <c r="AH10" i="12"/>
  <c r="AI10" i="12"/>
  <c r="AJ10" i="12"/>
  <c r="AK10" i="12"/>
  <c r="AL10" i="12"/>
  <c r="AM10" i="12"/>
  <c r="AN10" i="12"/>
  <c r="AO10" i="12"/>
  <c r="J7" i="12"/>
  <c r="J8" i="12"/>
  <c r="J9" i="12"/>
  <c r="M7" i="12"/>
  <c r="M8" i="12"/>
  <c r="M9" i="12"/>
  <c r="R7" i="12"/>
  <c r="R8" i="12"/>
  <c r="R9" i="12"/>
  <c r="B55" i="12"/>
  <c r="D55" i="12"/>
  <c r="I55" i="12"/>
  <c r="L55" i="12"/>
  <c r="N55" i="12"/>
  <c r="O55" i="12"/>
  <c r="P55" i="12"/>
  <c r="Q55" i="12"/>
  <c r="S55" i="12"/>
  <c r="T55" i="12"/>
  <c r="U55" i="12"/>
  <c r="V55" i="12"/>
  <c r="W55" i="12"/>
  <c r="X55" i="12"/>
  <c r="Y55" i="12"/>
  <c r="Z55" i="12"/>
  <c r="AA55" i="12"/>
  <c r="AB55" i="12"/>
  <c r="AC55" i="12"/>
  <c r="AD55" i="12"/>
  <c r="AE55" i="12"/>
  <c r="AF55" i="12"/>
  <c r="AG55" i="12"/>
  <c r="AH55" i="12"/>
  <c r="AI55" i="12"/>
  <c r="AJ55" i="12"/>
  <c r="AK55" i="12"/>
  <c r="AL55" i="12"/>
  <c r="AM55" i="12"/>
  <c r="AN55" i="12"/>
  <c r="AO55" i="12"/>
  <c r="J54" i="12"/>
  <c r="J53" i="12"/>
  <c r="M54" i="12"/>
  <c r="M53" i="12"/>
  <c r="R54" i="12"/>
  <c r="R53" i="12"/>
  <c r="B28" i="12"/>
  <c r="D28" i="12"/>
  <c r="I28" i="12"/>
  <c r="L28" i="12"/>
  <c r="N28" i="12"/>
  <c r="O28" i="12"/>
  <c r="P28" i="12"/>
  <c r="Q28" i="12"/>
  <c r="S28" i="12"/>
  <c r="T28" i="12"/>
  <c r="U28" i="12"/>
  <c r="V28" i="12"/>
  <c r="W28" i="12"/>
  <c r="X28" i="12"/>
  <c r="Y28" i="12"/>
  <c r="Z28" i="12"/>
  <c r="AA28" i="12"/>
  <c r="AB28" i="12"/>
  <c r="AC28" i="12"/>
  <c r="AD28" i="12"/>
  <c r="AE28" i="12"/>
  <c r="AF28" i="12"/>
  <c r="AG28" i="12"/>
  <c r="AH28" i="12"/>
  <c r="AI28" i="12"/>
  <c r="AJ28" i="12"/>
  <c r="AK28" i="12"/>
  <c r="AL28" i="12"/>
  <c r="AM28" i="12"/>
  <c r="AN28" i="12"/>
  <c r="AO28" i="12"/>
  <c r="J15" i="12"/>
  <c r="J16" i="12"/>
  <c r="J17" i="12"/>
  <c r="J18" i="12"/>
  <c r="J19" i="12"/>
  <c r="J20" i="12"/>
  <c r="J21" i="12"/>
  <c r="J22" i="12"/>
  <c r="J23" i="12"/>
  <c r="J24" i="12"/>
  <c r="J25" i="12"/>
  <c r="J26" i="12"/>
  <c r="J27" i="12"/>
  <c r="M15" i="12"/>
  <c r="M16" i="12"/>
  <c r="M17" i="12"/>
  <c r="M18" i="12"/>
  <c r="M19" i="12"/>
  <c r="M20" i="12"/>
  <c r="M21" i="12"/>
  <c r="M22" i="12"/>
  <c r="M23" i="12"/>
  <c r="M24" i="12"/>
  <c r="M25" i="12"/>
  <c r="M26" i="12"/>
  <c r="M27" i="12"/>
  <c r="R15" i="12"/>
  <c r="R16" i="12"/>
  <c r="R17" i="12"/>
  <c r="R18" i="12"/>
  <c r="R19" i="12"/>
  <c r="R20" i="12"/>
  <c r="R21" i="12"/>
  <c r="R22" i="12"/>
  <c r="R23" i="12"/>
  <c r="R24" i="12"/>
  <c r="R25" i="12"/>
  <c r="R26" i="12"/>
  <c r="R27" i="12"/>
  <c r="B48" i="12"/>
  <c r="D48" i="12"/>
  <c r="I48" i="12"/>
  <c r="L48" i="12"/>
  <c r="N48" i="12"/>
  <c r="O48" i="12"/>
  <c r="P48" i="12"/>
  <c r="Q48" i="12"/>
  <c r="S48" i="12"/>
  <c r="T48" i="12"/>
  <c r="U48" i="12"/>
  <c r="V48" i="12"/>
  <c r="W48" i="12"/>
  <c r="X48" i="12"/>
  <c r="Y48" i="12"/>
  <c r="Z48" i="12"/>
  <c r="AA48" i="12"/>
  <c r="AB48" i="12"/>
  <c r="AC48" i="12"/>
  <c r="AD48" i="12"/>
  <c r="AE48" i="12"/>
  <c r="AF48" i="12"/>
  <c r="AG48" i="12"/>
  <c r="AH48" i="12"/>
  <c r="AI48" i="12"/>
  <c r="AJ48" i="12"/>
  <c r="AK48" i="12"/>
  <c r="AL48" i="12"/>
  <c r="AM48" i="12"/>
  <c r="AN48" i="12"/>
  <c r="AO48" i="12"/>
  <c r="J33" i="12"/>
  <c r="J34" i="12"/>
  <c r="J35" i="12"/>
  <c r="J36" i="12"/>
  <c r="J37" i="12"/>
  <c r="J38" i="12"/>
  <c r="J39" i="12"/>
  <c r="J40" i="12"/>
  <c r="J41" i="12"/>
  <c r="J42" i="12"/>
  <c r="J43" i="12"/>
  <c r="J44" i="12"/>
  <c r="J45" i="12"/>
  <c r="J46" i="12"/>
  <c r="J47" i="12"/>
  <c r="M33" i="12"/>
  <c r="M34" i="12"/>
  <c r="M35" i="12"/>
  <c r="M36" i="12"/>
  <c r="M37" i="12"/>
  <c r="M38" i="12"/>
  <c r="M39" i="12"/>
  <c r="M40" i="12"/>
  <c r="M41" i="12"/>
  <c r="M42" i="12"/>
  <c r="M43" i="12"/>
  <c r="M44" i="12"/>
  <c r="M45" i="12"/>
  <c r="M46" i="12"/>
  <c r="M47" i="12"/>
  <c r="R33" i="12"/>
  <c r="R34" i="12"/>
  <c r="R35" i="12"/>
  <c r="R36" i="12"/>
  <c r="R37" i="12"/>
  <c r="R38" i="12"/>
  <c r="R39" i="12"/>
  <c r="R40" i="12"/>
  <c r="R41" i="12"/>
  <c r="R42" i="12"/>
  <c r="R43" i="12"/>
  <c r="R44" i="12"/>
  <c r="R45" i="12"/>
  <c r="R46" i="12"/>
  <c r="R47" i="12"/>
  <c r="K9" i="14" l="1"/>
  <c r="I9" i="14" s="1"/>
  <c r="J9" i="14" s="1"/>
  <c r="K8" i="14"/>
  <c r="I8" i="14" s="1"/>
  <c r="J8" i="14" s="1"/>
  <c r="K10" i="14"/>
  <c r="K11" i="14"/>
  <c r="I11" i="14" s="1"/>
  <c r="J11" i="14" s="1"/>
  <c r="K7" i="14"/>
  <c r="K12" i="14"/>
  <c r="L12" i="14" s="1"/>
  <c r="K14" i="14"/>
  <c r="I14" i="14" s="1"/>
  <c r="J14" i="14" s="1"/>
  <c r="K13" i="14"/>
  <c r="L13" i="14" s="1"/>
  <c r="I10" i="14"/>
  <c r="J10" i="14" s="1"/>
  <c r="L10" i="14"/>
  <c r="I7" i="14"/>
  <c r="J7" i="14" s="1"/>
  <c r="L7" i="14"/>
  <c r="I12" i="14"/>
  <c r="J12" i="14" s="1"/>
  <c r="K7" i="4"/>
  <c r="K20" i="4"/>
  <c r="I20" i="4" s="1"/>
  <c r="J20" i="4" s="1"/>
  <c r="K16" i="4"/>
  <c r="L16" i="4" s="1"/>
  <c r="K19" i="4"/>
  <c r="I19" i="4" s="1"/>
  <c r="J19" i="4" s="1"/>
  <c r="K12" i="4"/>
  <c r="I12" i="4" s="1"/>
  <c r="J12" i="4" s="1"/>
  <c r="K18" i="4"/>
  <c r="I18" i="4" s="1"/>
  <c r="J18" i="4" s="1"/>
  <c r="K9" i="4"/>
  <c r="K8" i="4"/>
  <c r="K13" i="4"/>
  <c r="L13" i="4" s="1"/>
  <c r="K17" i="4"/>
  <c r="I17" i="4" s="1"/>
  <c r="J17" i="4" s="1"/>
  <c r="K15" i="4"/>
  <c r="I15" i="4" s="1"/>
  <c r="J15" i="4" s="1"/>
  <c r="K14" i="4"/>
  <c r="L14" i="4" s="1"/>
  <c r="K10" i="4"/>
  <c r="K21" i="4"/>
  <c r="L21" i="4" s="1"/>
  <c r="K11" i="4"/>
  <c r="L7" i="4"/>
  <c r="I7" i="4"/>
  <c r="J7" i="4" s="1"/>
  <c r="L20" i="4"/>
  <c r="L19" i="4"/>
  <c r="L12" i="4"/>
  <c r="I9" i="4"/>
  <c r="J9" i="4" s="1"/>
  <c r="L9" i="4"/>
  <c r="I8" i="4"/>
  <c r="J8" i="4" s="1"/>
  <c r="L8" i="4"/>
  <c r="I13" i="4"/>
  <c r="J13" i="4" s="1"/>
  <c r="I10" i="4"/>
  <c r="J10" i="4" s="1"/>
  <c r="L10" i="4"/>
  <c r="I21" i="4"/>
  <c r="J21" i="4" s="1"/>
  <c r="I11" i="4"/>
  <c r="J11" i="4" s="1"/>
  <c r="L11" i="4"/>
  <c r="G53" i="8"/>
  <c r="G23" i="8"/>
  <c r="G17" i="8"/>
  <c r="G52" i="8"/>
  <c r="G46" i="8"/>
  <c r="H46" i="8" s="1"/>
  <c r="G40" i="8"/>
  <c r="E40" i="8" s="1"/>
  <c r="F40" i="8" s="1"/>
  <c r="G34" i="8"/>
  <c r="G28" i="8"/>
  <c r="G22" i="8"/>
  <c r="G16" i="8"/>
  <c r="H16" i="8" s="1"/>
  <c r="G10" i="8"/>
  <c r="E10" i="8" s="1"/>
  <c r="F10" i="8" s="1"/>
  <c r="G29" i="8"/>
  <c r="H29" i="8" s="1"/>
  <c r="G11" i="8"/>
  <c r="G51" i="8"/>
  <c r="G45" i="8"/>
  <c r="G39" i="8"/>
  <c r="G33" i="8"/>
  <c r="E33" i="8" s="1"/>
  <c r="F33" i="8" s="1"/>
  <c r="G27" i="8"/>
  <c r="H27" i="8" s="1"/>
  <c r="G21" i="8"/>
  <c r="G15" i="8"/>
  <c r="G9" i="8"/>
  <c r="G35" i="8"/>
  <c r="E35" i="8" s="1"/>
  <c r="F35" i="8" s="1"/>
  <c r="G50" i="8"/>
  <c r="E50" i="8" s="1"/>
  <c r="F50" i="8" s="1"/>
  <c r="G44" i="8"/>
  <c r="E44" i="8" s="1"/>
  <c r="F44" i="8" s="1"/>
  <c r="G38" i="8"/>
  <c r="G32" i="8"/>
  <c r="G26" i="8"/>
  <c r="G20" i="8"/>
  <c r="E20" i="8" s="1"/>
  <c r="F20" i="8" s="1"/>
  <c r="G14" i="8"/>
  <c r="E14" i="8" s="1"/>
  <c r="F14" i="8" s="1"/>
  <c r="G8" i="8"/>
  <c r="E8" i="8" s="1"/>
  <c r="F8" i="8" s="1"/>
  <c r="G47" i="8"/>
  <c r="G49" i="8"/>
  <c r="G43" i="8"/>
  <c r="G37" i="8"/>
  <c r="E37" i="8" s="1"/>
  <c r="F37" i="8" s="1"/>
  <c r="G31" i="8"/>
  <c r="E31" i="8" s="1"/>
  <c r="F31" i="8" s="1"/>
  <c r="G25" i="8"/>
  <c r="H25" i="8" s="1"/>
  <c r="G19" i="8"/>
  <c r="G13" i="8"/>
  <c r="G7" i="8"/>
  <c r="H7" i="8" s="1"/>
  <c r="G41" i="8"/>
  <c r="H41" i="8" s="1"/>
  <c r="G54" i="8"/>
  <c r="E54" i="8" s="1"/>
  <c r="F54" i="8" s="1"/>
  <c r="G48" i="8"/>
  <c r="E48" i="8" s="1"/>
  <c r="F48" i="8" s="1"/>
  <c r="G42" i="8"/>
  <c r="G36" i="8"/>
  <c r="G30" i="8"/>
  <c r="G24" i="8"/>
  <c r="E24" i="8" s="1"/>
  <c r="F24" i="8" s="1"/>
  <c r="G18" i="8"/>
  <c r="E18" i="8" s="1"/>
  <c r="F18" i="8" s="1"/>
  <c r="G12" i="8"/>
  <c r="E12" i="8" s="1"/>
  <c r="F12" i="8" s="1"/>
  <c r="E53" i="8"/>
  <c r="F53" i="8" s="1"/>
  <c r="H53" i="8"/>
  <c r="E47" i="8"/>
  <c r="F47" i="8" s="1"/>
  <c r="H47" i="8"/>
  <c r="E41" i="8"/>
  <c r="F41" i="8" s="1"/>
  <c r="E29" i="8"/>
  <c r="F29" i="8" s="1"/>
  <c r="E23" i="8"/>
  <c r="F23" i="8" s="1"/>
  <c r="H23" i="8"/>
  <c r="E17" i="8"/>
  <c r="F17" i="8" s="1"/>
  <c r="H17" i="8"/>
  <c r="E11" i="8"/>
  <c r="F11" i="8" s="1"/>
  <c r="H11" i="8"/>
  <c r="E52" i="8"/>
  <c r="F52" i="8" s="1"/>
  <c r="H52" i="8"/>
  <c r="E34" i="8"/>
  <c r="F34" i="8" s="1"/>
  <c r="H34" i="8"/>
  <c r="H28" i="8"/>
  <c r="E28" i="8"/>
  <c r="F28" i="8" s="1"/>
  <c r="E22" i="8"/>
  <c r="F22" i="8" s="1"/>
  <c r="H22" i="8"/>
  <c r="E16" i="8"/>
  <c r="F16" i="8" s="1"/>
  <c r="H39" i="8"/>
  <c r="E39" i="8"/>
  <c r="F39" i="8" s="1"/>
  <c r="E21" i="8"/>
  <c r="F21" i="8" s="1"/>
  <c r="H21" i="8"/>
  <c r="H44" i="8"/>
  <c r="E32" i="8"/>
  <c r="F32" i="8" s="1"/>
  <c r="H32" i="8"/>
  <c r="E26" i="8"/>
  <c r="F26" i="8" s="1"/>
  <c r="H26" i="8"/>
  <c r="H8" i="8"/>
  <c r="E45" i="8"/>
  <c r="F45" i="8" s="1"/>
  <c r="H45" i="8"/>
  <c r="H9" i="8"/>
  <c r="E9" i="8"/>
  <c r="F9" i="8" s="1"/>
  <c r="E49" i="8"/>
  <c r="F49" i="8" s="1"/>
  <c r="H49" i="8"/>
  <c r="E43" i="8"/>
  <c r="F43" i="8" s="1"/>
  <c r="H43" i="8"/>
  <c r="H37" i="8"/>
  <c r="E25" i="8"/>
  <c r="F25" i="8" s="1"/>
  <c r="E19" i="8"/>
  <c r="F19" i="8" s="1"/>
  <c r="H19" i="8"/>
  <c r="E13" i="8"/>
  <c r="F13" i="8" s="1"/>
  <c r="H13" i="8"/>
  <c r="E7" i="8"/>
  <c r="F7" i="8" s="1"/>
  <c r="E51" i="8"/>
  <c r="F51" i="8" s="1"/>
  <c r="H51" i="8"/>
  <c r="H15" i="8"/>
  <c r="E15" i="8"/>
  <c r="F15" i="8" s="1"/>
  <c r="E38" i="8"/>
  <c r="F38" i="8" s="1"/>
  <c r="H38" i="8"/>
  <c r="E42" i="8"/>
  <c r="F42" i="8" s="1"/>
  <c r="H42" i="8"/>
  <c r="E36" i="8"/>
  <c r="F36" i="8" s="1"/>
  <c r="H36" i="8"/>
  <c r="E30" i="8"/>
  <c r="F30" i="8" s="1"/>
  <c r="H30" i="8"/>
  <c r="H24" i="8"/>
  <c r="H12" i="8"/>
  <c r="H22" i="7"/>
  <c r="F22" i="7" s="1"/>
  <c r="G22" i="7" s="1"/>
  <c r="H25" i="7"/>
  <c r="H17" i="7"/>
  <c r="I17" i="7" s="1"/>
  <c r="H27" i="7"/>
  <c r="F27" i="7" s="1"/>
  <c r="G27" i="7" s="1"/>
  <c r="H9" i="7"/>
  <c r="F9" i="7" s="1"/>
  <c r="G9" i="7" s="1"/>
  <c r="H15" i="7"/>
  <c r="F15" i="7" s="1"/>
  <c r="G15" i="7" s="1"/>
  <c r="H28" i="7"/>
  <c r="F28" i="7" s="1"/>
  <c r="G28" i="7" s="1"/>
  <c r="H21" i="7"/>
  <c r="F21" i="7" s="1"/>
  <c r="G21" i="7" s="1"/>
  <c r="H16" i="7"/>
  <c r="I16" i="7" s="1"/>
  <c r="H10" i="7"/>
  <c r="F10" i="7" s="1"/>
  <c r="G10" i="7" s="1"/>
  <c r="H11" i="7"/>
  <c r="I11" i="7" s="1"/>
  <c r="H24" i="7"/>
  <c r="I24" i="7" s="1"/>
  <c r="H26" i="7"/>
  <c r="F26" i="7" s="1"/>
  <c r="G26" i="7" s="1"/>
  <c r="H20" i="7"/>
  <c r="H14" i="7"/>
  <c r="F14" i="7" s="1"/>
  <c r="G14" i="7" s="1"/>
  <c r="H29" i="7"/>
  <c r="I29" i="7" s="1"/>
  <c r="H8" i="7"/>
  <c r="I8" i="7" s="1"/>
  <c r="H19" i="7"/>
  <c r="F19" i="7" s="1"/>
  <c r="G19" i="7" s="1"/>
  <c r="H13" i="7"/>
  <c r="I13" i="7" s="1"/>
  <c r="H23" i="7"/>
  <c r="F23" i="7" s="1"/>
  <c r="G23" i="7" s="1"/>
  <c r="H7" i="7"/>
  <c r="I7" i="7" s="1"/>
  <c r="H18" i="7"/>
  <c r="F18" i="7" s="1"/>
  <c r="G18" i="7" s="1"/>
  <c r="H12" i="7"/>
  <c r="I12" i="7" s="1"/>
  <c r="I22" i="7"/>
  <c r="F25" i="7"/>
  <c r="G25" i="7" s="1"/>
  <c r="I25" i="7"/>
  <c r="F17" i="7"/>
  <c r="G17" i="7" s="1"/>
  <c r="I28" i="7"/>
  <c r="I21" i="7"/>
  <c r="I10" i="7"/>
  <c r="I26" i="7"/>
  <c r="I14" i="7"/>
  <c r="F8" i="7"/>
  <c r="G8" i="7" s="1"/>
  <c r="I19" i="7"/>
  <c r="F13" i="7"/>
  <c r="G13" i="7" s="1"/>
  <c r="I20" i="7"/>
  <c r="F20" i="7"/>
  <c r="G20" i="7" s="1"/>
  <c r="F7" i="7"/>
  <c r="G7" i="7" s="1"/>
  <c r="I18" i="7"/>
  <c r="G12" i="6"/>
  <c r="H12" i="6" s="1"/>
  <c r="G19" i="6"/>
  <c r="E19" i="6" s="1"/>
  <c r="F19" i="6" s="1"/>
  <c r="G13" i="6"/>
  <c r="E13" i="6" s="1"/>
  <c r="F13" i="6" s="1"/>
  <c r="G7" i="6"/>
  <c r="E7" i="6" s="1"/>
  <c r="F7" i="6" s="1"/>
  <c r="E18" i="6"/>
  <c r="F18" i="6" s="1"/>
  <c r="H18" i="6"/>
  <c r="G16" i="6"/>
  <c r="H16" i="6" s="1"/>
  <c r="G15" i="6"/>
  <c r="H15" i="6" s="1"/>
  <c r="G9" i="6"/>
  <c r="H9" i="6" s="1"/>
  <c r="G10" i="6"/>
  <c r="E10" i="6" s="1"/>
  <c r="F10" i="6" s="1"/>
  <c r="G14" i="6"/>
  <c r="E14" i="6" s="1"/>
  <c r="F14" i="6" s="1"/>
  <c r="G8" i="6"/>
  <c r="G17" i="6"/>
  <c r="G11" i="6"/>
  <c r="H11" i="6" s="1"/>
  <c r="E16" i="6"/>
  <c r="F16" i="6" s="1"/>
  <c r="E15" i="6"/>
  <c r="F15" i="6" s="1"/>
  <c r="H8" i="6"/>
  <c r="E8" i="6"/>
  <c r="F8" i="6" s="1"/>
  <c r="H17" i="6"/>
  <c r="E17" i="6"/>
  <c r="F17" i="6" s="1"/>
  <c r="H19" i="6"/>
  <c r="H7" i="6"/>
  <c r="G14" i="2"/>
  <c r="G11" i="2"/>
  <c r="G13" i="2"/>
  <c r="E13" i="2" s="1"/>
  <c r="F13" i="2" s="1"/>
  <c r="G10" i="2"/>
  <c r="E10" i="2" s="1"/>
  <c r="F10" i="2" s="1"/>
  <c r="G12" i="2"/>
  <c r="E12" i="2" s="1"/>
  <c r="F12" i="2" s="1"/>
  <c r="G9" i="2"/>
  <c r="E9" i="2" s="1"/>
  <c r="F9" i="2" s="1"/>
  <c r="G18" i="2"/>
  <c r="G8" i="2"/>
  <c r="G17" i="2"/>
  <c r="E17" i="2" s="1"/>
  <c r="F17" i="2" s="1"/>
  <c r="G7" i="2"/>
  <c r="E7" i="2" s="1"/>
  <c r="F7" i="2" s="1"/>
  <c r="G15" i="2"/>
  <c r="E15" i="2" s="1"/>
  <c r="F15" i="2" s="1"/>
  <c r="G16" i="2"/>
  <c r="E16" i="2" s="1"/>
  <c r="F16" i="2" s="1"/>
  <c r="E14" i="2"/>
  <c r="F14" i="2" s="1"/>
  <c r="H14" i="2"/>
  <c r="E11" i="2"/>
  <c r="F11" i="2" s="1"/>
  <c r="H11" i="2"/>
  <c r="H13" i="2"/>
  <c r="E8" i="2"/>
  <c r="F8" i="2" s="1"/>
  <c r="H8" i="2"/>
  <c r="H7" i="2"/>
  <c r="E18" i="2"/>
  <c r="F18" i="2" s="1"/>
  <c r="H18" i="2"/>
  <c r="G7" i="9"/>
  <c r="E7" i="9"/>
  <c r="F7" i="9" s="1"/>
  <c r="H7" i="9"/>
  <c r="G8" i="12"/>
  <c r="G7" i="12"/>
  <c r="E7" i="12" s="1"/>
  <c r="F7" i="12" s="1"/>
  <c r="G9" i="12"/>
  <c r="E9" i="12" s="1"/>
  <c r="F9" i="12" s="1"/>
  <c r="E8" i="12"/>
  <c r="F8" i="12" s="1"/>
  <c r="H8" i="12"/>
  <c r="H9" i="12"/>
  <c r="H7" i="12"/>
  <c r="G54" i="12"/>
  <c r="G53" i="12"/>
  <c r="E53" i="12" s="1"/>
  <c r="F53" i="12" s="1"/>
  <c r="H54" i="12"/>
  <c r="E54" i="12"/>
  <c r="F54" i="12" s="1"/>
  <c r="G23" i="12"/>
  <c r="G22" i="12"/>
  <c r="G16" i="12"/>
  <c r="G17" i="12"/>
  <c r="H17" i="12" s="1"/>
  <c r="E23" i="12"/>
  <c r="F23" i="12" s="1"/>
  <c r="H23" i="12"/>
  <c r="G27" i="12"/>
  <c r="G21" i="12"/>
  <c r="H21" i="12" s="1"/>
  <c r="G15" i="12"/>
  <c r="G26" i="12"/>
  <c r="H26" i="12" s="1"/>
  <c r="G20" i="12"/>
  <c r="H20" i="12" s="1"/>
  <c r="G25" i="12"/>
  <c r="E25" i="12" s="1"/>
  <c r="F25" i="12" s="1"/>
  <c r="G19" i="12"/>
  <c r="G24" i="12"/>
  <c r="E24" i="12" s="1"/>
  <c r="F24" i="12" s="1"/>
  <c r="G18" i="12"/>
  <c r="E18" i="12" s="1"/>
  <c r="F18" i="12" s="1"/>
  <c r="E15" i="12"/>
  <c r="F15" i="12" s="1"/>
  <c r="H15" i="12"/>
  <c r="E22" i="12"/>
  <c r="F22" i="12" s="1"/>
  <c r="H22" i="12"/>
  <c r="E21" i="12"/>
  <c r="F21" i="12" s="1"/>
  <c r="E16" i="12"/>
  <c r="F16" i="12" s="1"/>
  <c r="H16" i="12"/>
  <c r="E26" i="12"/>
  <c r="F26" i="12" s="1"/>
  <c r="H24" i="12"/>
  <c r="E27" i="12"/>
  <c r="F27" i="12" s="1"/>
  <c r="H27" i="12"/>
  <c r="E19" i="12"/>
  <c r="F19" i="12" s="1"/>
  <c r="H19" i="12"/>
  <c r="E17" i="12"/>
  <c r="F17" i="12" s="1"/>
  <c r="G42" i="12"/>
  <c r="G36" i="12"/>
  <c r="H36" i="12" s="1"/>
  <c r="G37" i="12"/>
  <c r="E37" i="12" s="1"/>
  <c r="F37" i="12" s="1"/>
  <c r="G47" i="12"/>
  <c r="H47" i="12" s="1"/>
  <c r="G41" i="12"/>
  <c r="H41" i="12" s="1"/>
  <c r="G35" i="12"/>
  <c r="E35" i="12" s="1"/>
  <c r="F35" i="12" s="1"/>
  <c r="G46" i="12"/>
  <c r="G40" i="12"/>
  <c r="H40" i="12" s="1"/>
  <c r="G34" i="12"/>
  <c r="E34" i="12" s="1"/>
  <c r="F34" i="12" s="1"/>
  <c r="G45" i="12"/>
  <c r="H45" i="12" s="1"/>
  <c r="G39" i="12"/>
  <c r="H39" i="12" s="1"/>
  <c r="G33" i="12"/>
  <c r="E33" i="12" s="1"/>
  <c r="F33" i="12" s="1"/>
  <c r="G43" i="12"/>
  <c r="G44" i="12"/>
  <c r="H44" i="12" s="1"/>
  <c r="G38" i="12"/>
  <c r="E38" i="12" s="1"/>
  <c r="F38" i="12" s="1"/>
  <c r="H42" i="12"/>
  <c r="E42" i="12"/>
  <c r="F42" i="12" s="1"/>
  <c r="H43" i="12"/>
  <c r="E43" i="12"/>
  <c r="F43" i="12" s="1"/>
  <c r="E46" i="12"/>
  <c r="F46" i="12" s="1"/>
  <c r="H46" i="12"/>
  <c r="H37" i="12"/>
  <c r="E36" i="12"/>
  <c r="F36" i="12" s="1"/>
  <c r="H35" i="12"/>
  <c r="E40" i="12"/>
  <c r="F40" i="12" s="1"/>
  <c r="H33" i="12"/>
  <c r="E44" i="12"/>
  <c r="F44" i="12" s="1"/>
  <c r="H38" i="12"/>
  <c r="I9" i="7" l="1"/>
  <c r="F11" i="7"/>
  <c r="G11" i="7" s="1"/>
  <c r="F12" i="7"/>
  <c r="G12" i="7" s="1"/>
  <c r="I23" i="7"/>
  <c r="F16" i="7"/>
  <c r="G16" i="7" s="1"/>
  <c r="L8" i="14"/>
  <c r="I13" i="14"/>
  <c r="J13" i="14" s="1"/>
  <c r="L9" i="14"/>
  <c r="L11" i="14"/>
  <c r="L14" i="14"/>
  <c r="L15" i="4"/>
  <c r="I16" i="4"/>
  <c r="J16" i="4" s="1"/>
  <c r="I14" i="4"/>
  <c r="J14" i="4" s="1"/>
  <c r="L17" i="4"/>
  <c r="L18" i="4"/>
  <c r="H40" i="8"/>
  <c r="E27" i="8"/>
  <c r="F27" i="8" s="1"/>
  <c r="H48" i="8"/>
  <c r="H18" i="8"/>
  <c r="H54" i="8"/>
  <c r="H14" i="8"/>
  <c r="H31" i="8"/>
  <c r="H33" i="8"/>
  <c r="H50" i="8"/>
  <c r="H20" i="8"/>
  <c r="H10" i="8"/>
  <c r="E46" i="8"/>
  <c r="F46" i="8" s="1"/>
  <c r="H35" i="8"/>
  <c r="F29" i="7"/>
  <c r="G29" i="7" s="1"/>
  <c r="I15" i="7"/>
  <c r="I27" i="7"/>
  <c r="F24" i="7"/>
  <c r="G24" i="7" s="1"/>
  <c r="E12" i="6"/>
  <c r="F12" i="6" s="1"/>
  <c r="H13" i="6"/>
  <c r="H10" i="6"/>
  <c r="E9" i="6"/>
  <c r="F9" i="6" s="1"/>
  <c r="E11" i="6"/>
  <c r="F11" i="6" s="1"/>
  <c r="H14" i="6"/>
  <c r="H16" i="2"/>
  <c r="H9" i="2"/>
  <c r="H15" i="2"/>
  <c r="H17" i="2"/>
  <c r="H12" i="2"/>
  <c r="H10" i="2"/>
  <c r="H53" i="12"/>
  <c r="H25" i="12"/>
  <c r="E20" i="12"/>
  <c r="F20" i="12" s="1"/>
  <c r="H18" i="12"/>
  <c r="E47" i="12"/>
  <c r="F47" i="12" s="1"/>
  <c r="E41" i="12"/>
  <c r="F41" i="12" s="1"/>
  <c r="E45" i="12"/>
  <c r="F45" i="12" s="1"/>
  <c r="H34" i="12"/>
  <c r="E39" i="12"/>
  <c r="F39" i="12" s="1"/>
  <c r="AP48" i="10" l="1"/>
  <c r="AO48" i="10"/>
  <c r="AP47" i="10"/>
  <c r="AO47" i="10"/>
  <c r="AP46" i="10"/>
  <c r="AO46" i="10"/>
  <c r="AP45" i="10"/>
  <c r="AO45" i="10"/>
  <c r="AP44" i="10"/>
  <c r="AO44" i="10"/>
  <c r="AP43" i="10"/>
  <c r="AO43" i="10"/>
  <c r="AP42" i="10"/>
  <c r="AO42" i="10"/>
  <c r="AP41" i="10"/>
  <c r="AO41" i="10"/>
  <c r="AP40" i="10"/>
  <c r="AO40" i="10"/>
  <c r="AP39" i="10"/>
  <c r="AO39" i="10"/>
  <c r="AP38" i="10"/>
  <c r="AO38" i="10"/>
  <c r="AP37" i="10"/>
  <c r="AO37" i="10"/>
  <c r="AP36" i="10"/>
  <c r="AO36" i="10"/>
  <c r="AP35" i="10"/>
  <c r="AO35" i="10"/>
  <c r="AP34" i="10"/>
  <c r="AO34" i="10"/>
  <c r="AP33" i="10"/>
  <c r="AO33" i="10"/>
  <c r="AP32" i="10"/>
  <c r="AO32" i="10"/>
  <c r="AP31" i="10"/>
  <c r="AO31" i="10"/>
  <c r="AP30" i="10"/>
  <c r="AO30" i="10"/>
  <c r="AP29" i="10"/>
  <c r="AO29" i="10"/>
  <c r="AP28" i="10"/>
  <c r="AO28" i="10"/>
  <c r="AP27" i="10"/>
  <c r="AO27" i="10"/>
  <c r="AP26" i="10"/>
  <c r="AO26" i="10"/>
  <c r="AP25" i="10"/>
  <c r="AO25" i="10"/>
  <c r="AP24" i="10"/>
  <c r="AO24" i="10"/>
  <c r="AP23" i="10"/>
  <c r="AO23" i="10"/>
  <c r="AP22" i="10"/>
  <c r="AO22" i="10"/>
  <c r="AP21" i="10"/>
  <c r="AO21" i="10"/>
  <c r="AP20" i="10"/>
  <c r="AO20" i="10"/>
  <c r="AP19" i="10"/>
  <c r="AO19" i="10"/>
  <c r="I48" i="10"/>
  <c r="F48" i="10" s="1"/>
  <c r="H48" i="10"/>
  <c r="E48" i="10" s="1"/>
  <c r="I47" i="10"/>
  <c r="F47" i="10" s="1"/>
  <c r="H47" i="10"/>
  <c r="E47" i="10" s="1"/>
  <c r="I46" i="10"/>
  <c r="F46" i="10" s="1"/>
  <c r="H46" i="10"/>
  <c r="E46" i="10" s="1"/>
  <c r="I45" i="10"/>
  <c r="F45" i="10" s="1"/>
  <c r="H45" i="10"/>
  <c r="E45" i="10" s="1"/>
  <c r="I44" i="10"/>
  <c r="F44" i="10" s="1"/>
  <c r="H44" i="10"/>
  <c r="E44" i="10" s="1"/>
  <c r="I43" i="10"/>
  <c r="F43" i="10" s="1"/>
  <c r="H43" i="10"/>
  <c r="E43" i="10" s="1"/>
  <c r="I42" i="10"/>
  <c r="F42" i="10" s="1"/>
  <c r="H42" i="10"/>
  <c r="E42" i="10" s="1"/>
  <c r="I41" i="10"/>
  <c r="F41" i="10" s="1"/>
  <c r="H41" i="10"/>
  <c r="E41" i="10" s="1"/>
  <c r="I40" i="10"/>
  <c r="F40" i="10" s="1"/>
  <c r="H40" i="10"/>
  <c r="E40" i="10" s="1"/>
  <c r="I39" i="10"/>
  <c r="F39" i="10" s="1"/>
  <c r="H39" i="10"/>
  <c r="E39" i="10" s="1"/>
  <c r="I38" i="10"/>
  <c r="F38" i="10" s="1"/>
  <c r="H38" i="10"/>
  <c r="E38" i="10" s="1"/>
  <c r="I37" i="10"/>
  <c r="F37" i="10" s="1"/>
  <c r="H37" i="10"/>
  <c r="E37" i="10" s="1"/>
  <c r="I36" i="10"/>
  <c r="F36" i="10" s="1"/>
  <c r="H36" i="10"/>
  <c r="E36" i="10" s="1"/>
  <c r="I35" i="10"/>
  <c r="F35" i="10" s="1"/>
  <c r="H35" i="10"/>
  <c r="E35" i="10" s="1"/>
  <c r="I34" i="10"/>
  <c r="F34" i="10" s="1"/>
  <c r="H34" i="10"/>
  <c r="E34" i="10" s="1"/>
  <c r="I33" i="10"/>
  <c r="F33" i="10" s="1"/>
  <c r="H33" i="10"/>
  <c r="E33" i="10" s="1"/>
  <c r="I32" i="10"/>
  <c r="F32" i="10" s="1"/>
  <c r="H32" i="10"/>
  <c r="E32" i="10" s="1"/>
  <c r="I31" i="10"/>
  <c r="F31" i="10" s="1"/>
  <c r="H31" i="10"/>
  <c r="E31" i="10" s="1"/>
  <c r="I30" i="10"/>
  <c r="F30" i="10" s="1"/>
  <c r="H30" i="10"/>
  <c r="E30" i="10" s="1"/>
  <c r="I29" i="10"/>
  <c r="F29" i="10" s="1"/>
  <c r="H29" i="10"/>
  <c r="E29" i="10" s="1"/>
  <c r="I28" i="10"/>
  <c r="F28" i="10" s="1"/>
  <c r="H28" i="10"/>
  <c r="E28" i="10" s="1"/>
  <c r="I27" i="10"/>
  <c r="F27" i="10" s="1"/>
  <c r="H27" i="10"/>
  <c r="E27" i="10" s="1"/>
  <c r="I26" i="10"/>
  <c r="F26" i="10" s="1"/>
  <c r="H26" i="10"/>
  <c r="E26" i="10" s="1"/>
  <c r="I25" i="10"/>
  <c r="F25" i="10" s="1"/>
  <c r="H25" i="10"/>
  <c r="E25" i="10" s="1"/>
  <c r="I24" i="10"/>
  <c r="F24" i="10" s="1"/>
  <c r="H24" i="10"/>
  <c r="E24" i="10" s="1"/>
  <c r="I23" i="10"/>
  <c r="F23" i="10" s="1"/>
  <c r="H23" i="10"/>
  <c r="E23" i="10" s="1"/>
  <c r="I22" i="10"/>
  <c r="F22" i="10" s="1"/>
  <c r="H22" i="10"/>
  <c r="E22" i="10" s="1"/>
  <c r="I21" i="10"/>
  <c r="F21" i="10" s="1"/>
  <c r="H21" i="10"/>
  <c r="E21" i="10" s="1"/>
  <c r="I20" i="10"/>
  <c r="F20" i="10" s="1"/>
  <c r="H20" i="10"/>
  <c r="E20" i="10" s="1"/>
  <c r="I19" i="10"/>
  <c r="F19" i="10" s="1"/>
  <c r="H19" i="10"/>
  <c r="E19" i="10" s="1"/>
  <c r="X97" i="12"/>
  <c r="W97" i="12"/>
  <c r="X96" i="12"/>
  <c r="W96" i="12"/>
  <c r="X95" i="12"/>
  <c r="W95" i="12"/>
  <c r="X94" i="12"/>
  <c r="W94" i="12"/>
  <c r="X93" i="12"/>
  <c r="W93" i="12"/>
  <c r="X92" i="12"/>
  <c r="W92" i="12"/>
  <c r="X91" i="12"/>
  <c r="W91" i="12"/>
  <c r="X90" i="12"/>
  <c r="W90" i="12"/>
  <c r="X89" i="12"/>
  <c r="W89" i="12"/>
  <c r="X88" i="12"/>
  <c r="W88" i="12"/>
  <c r="X87" i="12"/>
  <c r="W87" i="12"/>
  <c r="X86" i="12"/>
  <c r="W86" i="12"/>
  <c r="X85" i="12"/>
  <c r="W85" i="12"/>
  <c r="X84" i="12"/>
  <c r="W84" i="12"/>
  <c r="X83" i="12"/>
  <c r="W83" i="12"/>
  <c r="X82" i="12"/>
  <c r="W82" i="12"/>
  <c r="X81" i="12"/>
  <c r="W81" i="12"/>
  <c r="X80" i="12"/>
  <c r="W80" i="12"/>
  <c r="X79" i="12"/>
  <c r="W79" i="12"/>
  <c r="X78" i="12"/>
  <c r="W78" i="12"/>
  <c r="X77" i="12"/>
  <c r="W77" i="12"/>
  <c r="X76" i="12"/>
  <c r="W76" i="12"/>
  <c r="X75" i="12"/>
  <c r="W75" i="12"/>
  <c r="X74" i="12"/>
  <c r="W74" i="12"/>
  <c r="X73" i="12"/>
  <c r="W73" i="12"/>
  <c r="X72" i="12"/>
  <c r="W72" i="12"/>
  <c r="X71" i="12"/>
  <c r="W71" i="12"/>
  <c r="X70" i="12"/>
  <c r="W70" i="12"/>
  <c r="X69" i="12"/>
  <c r="W69" i="12"/>
  <c r="X68" i="12"/>
  <c r="W68" i="12"/>
  <c r="V97" i="12"/>
  <c r="U97" i="12"/>
  <c r="V96" i="12"/>
  <c r="U96" i="12"/>
  <c r="V95" i="12"/>
  <c r="U95" i="12"/>
  <c r="V94" i="12"/>
  <c r="U94" i="12"/>
  <c r="V93" i="12"/>
  <c r="U93" i="12"/>
  <c r="V92" i="12"/>
  <c r="U92" i="12"/>
  <c r="V91" i="12"/>
  <c r="U91" i="12"/>
  <c r="V90" i="12"/>
  <c r="U90" i="12"/>
  <c r="V89" i="12"/>
  <c r="U89" i="12"/>
  <c r="V88" i="12"/>
  <c r="U88" i="12"/>
  <c r="V87" i="12"/>
  <c r="U87" i="12"/>
  <c r="V86" i="12"/>
  <c r="U86" i="12"/>
  <c r="V85" i="12"/>
  <c r="U85" i="12"/>
  <c r="V84" i="12"/>
  <c r="U84" i="12"/>
  <c r="V83" i="12"/>
  <c r="U83" i="12"/>
  <c r="V82" i="12"/>
  <c r="U82" i="12"/>
  <c r="V81" i="12"/>
  <c r="U81" i="12"/>
  <c r="V80" i="12"/>
  <c r="U80" i="12"/>
  <c r="V79" i="12"/>
  <c r="U79" i="12"/>
  <c r="V78" i="12"/>
  <c r="U78" i="12"/>
  <c r="V77" i="12"/>
  <c r="U77" i="12"/>
  <c r="V76" i="12"/>
  <c r="U76" i="12"/>
  <c r="V75" i="12"/>
  <c r="U75" i="12"/>
  <c r="V74" i="12"/>
  <c r="U74" i="12"/>
  <c r="V73" i="12"/>
  <c r="U73" i="12"/>
  <c r="V72" i="12"/>
  <c r="U72" i="12"/>
  <c r="V71" i="12"/>
  <c r="U71" i="12"/>
  <c r="V70" i="12"/>
  <c r="U70" i="12"/>
  <c r="V69" i="12"/>
  <c r="U69" i="12"/>
  <c r="V68" i="12"/>
  <c r="U68" i="12"/>
  <c r="S97" i="12"/>
  <c r="S96" i="12"/>
  <c r="S95" i="12"/>
  <c r="S94" i="12"/>
  <c r="S93" i="12"/>
  <c r="S92" i="12"/>
  <c r="S91" i="12"/>
  <c r="S90" i="12"/>
  <c r="S89" i="12"/>
  <c r="S88" i="12"/>
  <c r="S87" i="12"/>
  <c r="S86" i="12"/>
  <c r="S85" i="12"/>
  <c r="S84" i="12"/>
  <c r="S83" i="12"/>
  <c r="S82" i="12"/>
  <c r="S81" i="12"/>
  <c r="S80" i="12"/>
  <c r="S79" i="12"/>
  <c r="S78" i="12"/>
  <c r="S77" i="12"/>
  <c r="S76" i="12"/>
  <c r="S75" i="12"/>
  <c r="S74" i="12"/>
  <c r="S73" i="12"/>
  <c r="S72" i="12"/>
  <c r="S71" i="12"/>
  <c r="S70" i="12"/>
  <c r="S69" i="12"/>
  <c r="S68" i="12"/>
  <c r="T97" i="12"/>
  <c r="T96" i="12"/>
  <c r="T95" i="12"/>
  <c r="T94" i="12"/>
  <c r="T93" i="12"/>
  <c r="T92" i="12"/>
  <c r="T91" i="12"/>
  <c r="T90" i="12"/>
  <c r="T89" i="12"/>
  <c r="T88" i="12"/>
  <c r="T87" i="12"/>
  <c r="T86" i="12"/>
  <c r="T85" i="12"/>
  <c r="T84" i="12"/>
  <c r="T83" i="12"/>
  <c r="T82" i="12"/>
  <c r="T81" i="12"/>
  <c r="T80" i="12"/>
  <c r="T79" i="12"/>
  <c r="T78" i="12"/>
  <c r="T77" i="12"/>
  <c r="T76" i="12"/>
  <c r="T75" i="12"/>
  <c r="T74" i="12"/>
  <c r="T73" i="12"/>
  <c r="T72" i="12"/>
  <c r="T71" i="12"/>
  <c r="T70" i="12"/>
  <c r="T69" i="12"/>
  <c r="T68" i="12"/>
  <c r="R97" i="12"/>
  <c r="Q97" i="12"/>
  <c r="R96" i="12"/>
  <c r="Q96" i="12"/>
  <c r="R95" i="12"/>
  <c r="Q95" i="12"/>
  <c r="R94" i="12"/>
  <c r="Q94" i="12"/>
  <c r="R93" i="12"/>
  <c r="Q93" i="12"/>
  <c r="R92" i="12"/>
  <c r="Q92" i="12"/>
  <c r="R91" i="12"/>
  <c r="Q91" i="12"/>
  <c r="R90" i="12"/>
  <c r="Q90" i="12"/>
  <c r="R89" i="12"/>
  <c r="Q89" i="12"/>
  <c r="R88" i="12"/>
  <c r="Q88" i="12"/>
  <c r="R87" i="12"/>
  <c r="Q87" i="12"/>
  <c r="R86" i="12"/>
  <c r="Q86" i="12"/>
  <c r="R85" i="12"/>
  <c r="Q85" i="12"/>
  <c r="R84" i="12"/>
  <c r="Q84" i="12"/>
  <c r="R83" i="12"/>
  <c r="Q83" i="12"/>
  <c r="R82" i="12"/>
  <c r="Q82" i="12"/>
  <c r="R81" i="12"/>
  <c r="Q81" i="12"/>
  <c r="R80" i="12"/>
  <c r="Q80" i="12"/>
  <c r="R79" i="12"/>
  <c r="Q79" i="12"/>
  <c r="R78" i="12"/>
  <c r="Q78" i="12"/>
  <c r="R77" i="12"/>
  <c r="Q77" i="12"/>
  <c r="R76" i="12"/>
  <c r="Q76" i="12"/>
  <c r="R75" i="12"/>
  <c r="Q75" i="12"/>
  <c r="R74" i="12"/>
  <c r="Q74" i="12"/>
  <c r="R73" i="12"/>
  <c r="Q73" i="12"/>
  <c r="R72" i="12"/>
  <c r="Q72" i="12"/>
  <c r="R71" i="12"/>
  <c r="Q71" i="12"/>
  <c r="R70" i="12"/>
  <c r="Q70" i="12"/>
  <c r="R69" i="12"/>
  <c r="Q69" i="12"/>
  <c r="R68" i="12"/>
  <c r="Q68" i="12"/>
  <c r="P97" i="12"/>
  <c r="O97" i="12"/>
  <c r="P96" i="12"/>
  <c r="O96" i="12"/>
  <c r="P95" i="12"/>
  <c r="O95" i="12"/>
  <c r="P94" i="12"/>
  <c r="O94" i="12"/>
  <c r="P93" i="12"/>
  <c r="O93" i="12"/>
  <c r="P92" i="12"/>
  <c r="O92" i="12"/>
  <c r="P91" i="12"/>
  <c r="O91" i="12"/>
  <c r="P90" i="12"/>
  <c r="O90" i="12"/>
  <c r="P89" i="12"/>
  <c r="O89" i="12"/>
  <c r="P88" i="12"/>
  <c r="O88" i="12"/>
  <c r="P87" i="12"/>
  <c r="O87" i="12"/>
  <c r="P86" i="12"/>
  <c r="O86" i="12"/>
  <c r="P85" i="12"/>
  <c r="O85" i="12"/>
  <c r="P84" i="12"/>
  <c r="O84" i="12"/>
  <c r="P83" i="12"/>
  <c r="O83" i="12"/>
  <c r="P82" i="12"/>
  <c r="O82" i="12"/>
  <c r="P81" i="12"/>
  <c r="O81" i="12"/>
  <c r="P80" i="12"/>
  <c r="O80" i="12"/>
  <c r="P79" i="12"/>
  <c r="O79" i="12"/>
  <c r="P78" i="12"/>
  <c r="O78" i="12"/>
  <c r="P77" i="12"/>
  <c r="O77" i="12"/>
  <c r="P76" i="12"/>
  <c r="O76" i="12"/>
  <c r="O75" i="12"/>
  <c r="P74" i="12"/>
  <c r="O74" i="12"/>
  <c r="P73" i="12"/>
  <c r="O73" i="12"/>
  <c r="P72" i="12"/>
  <c r="O72" i="12"/>
  <c r="P71" i="12"/>
  <c r="O71" i="12"/>
  <c r="O70" i="12"/>
  <c r="O69" i="12"/>
  <c r="P68" i="12"/>
  <c r="O68" i="12"/>
  <c r="N97" i="12"/>
  <c r="M97" i="12"/>
  <c r="N96" i="12"/>
  <c r="M96" i="12"/>
  <c r="N95" i="12"/>
  <c r="M95" i="12"/>
  <c r="N94" i="12"/>
  <c r="M94" i="12"/>
  <c r="N93" i="12"/>
  <c r="M93" i="12"/>
  <c r="N92" i="12"/>
  <c r="M92" i="12"/>
  <c r="N91" i="12"/>
  <c r="M91" i="12"/>
  <c r="N90" i="12"/>
  <c r="M90" i="12"/>
  <c r="N89" i="12"/>
  <c r="M89" i="12"/>
  <c r="N88" i="12"/>
  <c r="M88" i="12"/>
  <c r="N87" i="12"/>
  <c r="M87" i="12"/>
  <c r="N86" i="12"/>
  <c r="M86" i="12"/>
  <c r="N85" i="12"/>
  <c r="M85" i="12"/>
  <c r="N84" i="12"/>
  <c r="M84" i="12"/>
  <c r="N83" i="12"/>
  <c r="M83" i="12"/>
  <c r="N82" i="12"/>
  <c r="M82" i="12"/>
  <c r="N81" i="12"/>
  <c r="M81" i="12"/>
  <c r="N80" i="12"/>
  <c r="M80" i="12"/>
  <c r="N79" i="12"/>
  <c r="M79" i="12"/>
  <c r="N78" i="12"/>
  <c r="M78" i="12"/>
  <c r="N77" i="12"/>
  <c r="M77" i="12"/>
  <c r="N76" i="12"/>
  <c r="M76" i="12"/>
  <c r="N75" i="12"/>
  <c r="M75" i="12"/>
  <c r="N74" i="12"/>
  <c r="M74" i="12"/>
  <c r="N73" i="12"/>
  <c r="M73" i="12"/>
  <c r="N72" i="12"/>
  <c r="M72" i="12"/>
  <c r="N71" i="12"/>
  <c r="M71" i="12"/>
  <c r="N70" i="12"/>
  <c r="M70" i="12"/>
  <c r="N69" i="12"/>
  <c r="M69" i="12"/>
  <c r="N68" i="12"/>
  <c r="M68" i="12"/>
  <c r="K97" i="12"/>
  <c r="J97" i="12"/>
  <c r="K96" i="12"/>
  <c r="J96" i="12"/>
  <c r="K95" i="12"/>
  <c r="J95" i="12"/>
  <c r="K94" i="12"/>
  <c r="J94" i="12"/>
  <c r="K93" i="12"/>
  <c r="J93" i="12"/>
  <c r="K92" i="12"/>
  <c r="J92" i="12"/>
  <c r="K91" i="12"/>
  <c r="J91" i="12"/>
  <c r="K90" i="12"/>
  <c r="J90" i="12"/>
  <c r="K89" i="12"/>
  <c r="J89" i="12"/>
  <c r="K88" i="12"/>
  <c r="J88" i="12"/>
  <c r="K87" i="12"/>
  <c r="J87" i="12"/>
  <c r="K86" i="12"/>
  <c r="J86" i="12"/>
  <c r="K85" i="12"/>
  <c r="J85" i="12"/>
  <c r="K84" i="12"/>
  <c r="J84" i="12"/>
  <c r="K83" i="12"/>
  <c r="J83" i="12"/>
  <c r="K82" i="12"/>
  <c r="J82" i="12"/>
  <c r="K81" i="12"/>
  <c r="J81" i="12"/>
  <c r="K80" i="12"/>
  <c r="J80" i="12"/>
  <c r="K79" i="12"/>
  <c r="J79" i="12"/>
  <c r="K78" i="12"/>
  <c r="J78" i="12"/>
  <c r="K77" i="12"/>
  <c r="J77" i="12"/>
  <c r="K76" i="12"/>
  <c r="J76" i="12"/>
  <c r="K75" i="12"/>
  <c r="J75" i="12"/>
  <c r="K74" i="12"/>
  <c r="J74" i="12"/>
  <c r="K73" i="12"/>
  <c r="J73" i="12"/>
  <c r="K72" i="12"/>
  <c r="J72" i="12"/>
  <c r="K71" i="12"/>
  <c r="J71" i="12"/>
  <c r="K70" i="12"/>
  <c r="J70" i="12"/>
  <c r="K69" i="12"/>
  <c r="J69" i="12"/>
  <c r="K68" i="12"/>
  <c r="J68" i="12"/>
  <c r="I97" i="12"/>
  <c r="H97" i="12"/>
  <c r="I96" i="12"/>
  <c r="H96" i="12"/>
  <c r="I95" i="12"/>
  <c r="H95" i="12"/>
  <c r="I94" i="12"/>
  <c r="H94" i="12"/>
  <c r="I93" i="12"/>
  <c r="H93" i="12"/>
  <c r="I92" i="12"/>
  <c r="H92" i="12"/>
  <c r="I91" i="12"/>
  <c r="H91" i="12"/>
  <c r="I90" i="12"/>
  <c r="H90" i="12"/>
  <c r="I89" i="12"/>
  <c r="H89" i="12"/>
  <c r="I88" i="12"/>
  <c r="H88" i="12"/>
  <c r="I87" i="12"/>
  <c r="H87" i="12"/>
  <c r="I86" i="12"/>
  <c r="H86" i="12"/>
  <c r="I85" i="12"/>
  <c r="H85" i="12"/>
  <c r="I84" i="12"/>
  <c r="H84" i="12"/>
  <c r="I83" i="12"/>
  <c r="H83" i="12"/>
  <c r="I82" i="12"/>
  <c r="H82" i="12"/>
  <c r="I81" i="12"/>
  <c r="H81" i="12"/>
  <c r="I80" i="12"/>
  <c r="H80" i="12"/>
  <c r="I79" i="12"/>
  <c r="H79" i="12"/>
  <c r="I78" i="12"/>
  <c r="H78" i="12"/>
  <c r="I77" i="12"/>
  <c r="H77" i="12"/>
  <c r="I76" i="12"/>
  <c r="H76" i="12"/>
  <c r="I75" i="12"/>
  <c r="H75" i="12"/>
  <c r="I74" i="12"/>
  <c r="H74" i="12"/>
  <c r="I73" i="12"/>
  <c r="H73" i="12"/>
  <c r="I72" i="12"/>
  <c r="H72" i="12"/>
  <c r="I71" i="12"/>
  <c r="H71" i="12"/>
  <c r="I70" i="12"/>
  <c r="H70" i="12"/>
  <c r="I69" i="12"/>
  <c r="H69" i="12"/>
  <c r="I68" i="12"/>
  <c r="H68" i="12"/>
  <c r="F86" i="12" l="1"/>
  <c r="F92" i="12"/>
  <c r="F72" i="12"/>
  <c r="F78" i="12"/>
  <c r="F81" i="12"/>
  <c r="F84" i="12"/>
  <c r="F87" i="12"/>
  <c r="F90" i="12"/>
  <c r="F93" i="12"/>
  <c r="F96" i="12"/>
  <c r="E73" i="12"/>
  <c r="E76" i="12"/>
  <c r="E79" i="12"/>
  <c r="E82" i="12"/>
  <c r="E85" i="12"/>
  <c r="E88" i="12"/>
  <c r="E91" i="12"/>
  <c r="E94" i="12"/>
  <c r="E97" i="12"/>
  <c r="F73" i="12"/>
  <c r="F76" i="12"/>
  <c r="F79" i="12"/>
  <c r="F82" i="12"/>
  <c r="F85" i="12"/>
  <c r="F88" i="12"/>
  <c r="F91" i="12"/>
  <c r="F94" i="12"/>
  <c r="F97" i="12"/>
  <c r="E70" i="12"/>
  <c r="E68" i="12"/>
  <c r="E74" i="12"/>
  <c r="E80" i="12"/>
  <c r="E86" i="12"/>
  <c r="E92" i="12"/>
  <c r="F68" i="12"/>
  <c r="F80" i="12"/>
  <c r="E75" i="12"/>
  <c r="P75" i="12"/>
  <c r="F75" i="12" s="1"/>
  <c r="F74" i="12"/>
  <c r="E78" i="12"/>
  <c r="E81" i="12"/>
  <c r="E84" i="12"/>
  <c r="E87" i="12"/>
  <c r="E90" i="12"/>
  <c r="E93" i="12"/>
  <c r="E96" i="12"/>
  <c r="P69" i="12"/>
  <c r="F69" i="12" s="1"/>
  <c r="P70" i="12"/>
  <c r="F70" i="12" s="1"/>
  <c r="E71" i="12"/>
  <c r="E89" i="12"/>
  <c r="E83" i="12"/>
  <c r="E95" i="12"/>
  <c r="E77" i="12"/>
  <c r="F71" i="12"/>
  <c r="F77" i="12"/>
  <c r="F83" i="12"/>
  <c r="F89" i="12"/>
  <c r="F95" i="12"/>
  <c r="E72" i="12"/>
  <c r="E69" i="12"/>
  <c r="R40" i="9" l="1"/>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M40" i="9"/>
  <c r="F40" i="9" s="1"/>
  <c r="M39" i="9"/>
  <c r="M38" i="9"/>
  <c r="M37" i="9"/>
  <c r="M36" i="9"/>
  <c r="F36" i="9" s="1"/>
  <c r="M35" i="9"/>
  <c r="F35" i="9" s="1"/>
  <c r="M34" i="9"/>
  <c r="M33" i="9"/>
  <c r="M32" i="9"/>
  <c r="F32" i="9" s="1"/>
  <c r="M31" i="9"/>
  <c r="F31" i="9" s="1"/>
  <c r="M30" i="9"/>
  <c r="M29" i="9"/>
  <c r="M28" i="9"/>
  <c r="F28" i="9" s="1"/>
  <c r="M27" i="9"/>
  <c r="F27" i="9" s="1"/>
  <c r="M26" i="9"/>
  <c r="M25" i="9"/>
  <c r="M24" i="9"/>
  <c r="F24" i="9" s="1"/>
  <c r="M23" i="9"/>
  <c r="M22" i="9"/>
  <c r="M21" i="9"/>
  <c r="M20" i="9"/>
  <c r="F20" i="9" s="1"/>
  <c r="M19" i="9"/>
  <c r="F19" i="9" s="1"/>
  <c r="M18" i="9"/>
  <c r="M17" i="9"/>
  <c r="M16" i="9"/>
  <c r="F16" i="9" s="1"/>
  <c r="M15" i="9"/>
  <c r="F15" i="9" s="1"/>
  <c r="M14" i="9"/>
  <c r="M13" i="9"/>
  <c r="M12" i="9"/>
  <c r="F12" i="9" s="1"/>
  <c r="M11" i="9"/>
  <c r="F11" i="9" s="1"/>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H40" i="9"/>
  <c r="H39" i="9"/>
  <c r="E39" i="9" s="1"/>
  <c r="H38" i="9"/>
  <c r="H37" i="9"/>
  <c r="H36" i="9"/>
  <c r="H35" i="9"/>
  <c r="E35" i="9" s="1"/>
  <c r="H34" i="9"/>
  <c r="H33" i="9"/>
  <c r="H32" i="9"/>
  <c r="H31" i="9"/>
  <c r="E31" i="9" s="1"/>
  <c r="H30" i="9"/>
  <c r="H29" i="9"/>
  <c r="H28" i="9"/>
  <c r="H27" i="9"/>
  <c r="E27" i="9" s="1"/>
  <c r="H26" i="9"/>
  <c r="H25" i="9"/>
  <c r="H24" i="9"/>
  <c r="H23" i="9"/>
  <c r="H22" i="9"/>
  <c r="H21" i="9"/>
  <c r="H20" i="9"/>
  <c r="H19" i="9"/>
  <c r="E19" i="9" s="1"/>
  <c r="H18" i="9"/>
  <c r="H17" i="9"/>
  <c r="H16" i="9"/>
  <c r="H15" i="9"/>
  <c r="E15" i="9" s="1"/>
  <c r="H14" i="9"/>
  <c r="H13" i="9"/>
  <c r="H12" i="9"/>
  <c r="H11" i="9"/>
  <c r="E11" i="9" s="1"/>
  <c r="AO95" i="8"/>
  <c r="AO94" i="8"/>
  <c r="AO93" i="8"/>
  <c r="AO92" i="8"/>
  <c r="AO91" i="8"/>
  <c r="AO90" i="8"/>
  <c r="AO89" i="8"/>
  <c r="AO88" i="8"/>
  <c r="AO87" i="8"/>
  <c r="AO86" i="8"/>
  <c r="AO85" i="8"/>
  <c r="AO84" i="8"/>
  <c r="AO83" i="8"/>
  <c r="AO82" i="8"/>
  <c r="AO81" i="8"/>
  <c r="AO80" i="8"/>
  <c r="AO79" i="8"/>
  <c r="AO78" i="8"/>
  <c r="AO77" i="8"/>
  <c r="AO76" i="8"/>
  <c r="AO75" i="8"/>
  <c r="AO74" i="8"/>
  <c r="AO73" i="8"/>
  <c r="AO72" i="8"/>
  <c r="AO71" i="8"/>
  <c r="AO70" i="8"/>
  <c r="AO69" i="8"/>
  <c r="AO68" i="8"/>
  <c r="AO67" i="8"/>
  <c r="AO66" i="8"/>
  <c r="R95" i="8"/>
  <c r="F95" i="8" s="1"/>
  <c r="R94" i="8"/>
  <c r="F94" i="8" s="1"/>
  <c r="R93" i="8"/>
  <c r="F93" i="8" s="1"/>
  <c r="R92" i="8"/>
  <c r="R91" i="8"/>
  <c r="F91" i="8" s="1"/>
  <c r="R90" i="8"/>
  <c r="F90" i="8" s="1"/>
  <c r="R89" i="8"/>
  <c r="F89" i="8" s="1"/>
  <c r="R88" i="8"/>
  <c r="R87" i="8"/>
  <c r="F87" i="8" s="1"/>
  <c r="R86" i="8"/>
  <c r="F86" i="8" s="1"/>
  <c r="R85" i="8"/>
  <c r="F85" i="8" s="1"/>
  <c r="R84" i="8"/>
  <c r="R83" i="8"/>
  <c r="F83" i="8" s="1"/>
  <c r="R82" i="8"/>
  <c r="F82" i="8" s="1"/>
  <c r="R81" i="8"/>
  <c r="F81" i="8" s="1"/>
  <c r="R80" i="8"/>
  <c r="R79" i="8"/>
  <c r="F79" i="8" s="1"/>
  <c r="R78" i="8"/>
  <c r="F78" i="8" s="1"/>
  <c r="R77" i="8"/>
  <c r="F77" i="8" s="1"/>
  <c r="R76" i="8"/>
  <c r="R75" i="8"/>
  <c r="F75" i="8" s="1"/>
  <c r="R74" i="8"/>
  <c r="F74" i="8" s="1"/>
  <c r="R73" i="8"/>
  <c r="F73" i="8" s="1"/>
  <c r="R72" i="8"/>
  <c r="R71" i="8"/>
  <c r="F71" i="8" s="1"/>
  <c r="R70" i="8"/>
  <c r="F70" i="8" s="1"/>
  <c r="R69" i="8"/>
  <c r="F69" i="8" s="1"/>
  <c r="R68" i="8"/>
  <c r="R67" i="8"/>
  <c r="F67" i="8" s="1"/>
  <c r="R66" i="8"/>
  <c r="F66" i="8" s="1"/>
  <c r="J95" i="8"/>
  <c r="J94"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E71" i="8" l="1"/>
  <c r="E75" i="8"/>
  <c r="E79" i="8"/>
  <c r="E83" i="8"/>
  <c r="E87" i="8"/>
  <c r="E91" i="8"/>
  <c r="E95" i="8"/>
  <c r="E66" i="8"/>
  <c r="E70" i="8"/>
  <c r="E74" i="8"/>
  <c r="E78" i="8"/>
  <c r="E82" i="8"/>
  <c r="E86" i="8"/>
  <c r="E90" i="8"/>
  <c r="E94" i="8"/>
  <c r="E69" i="8"/>
  <c r="E73" i="8"/>
  <c r="E77" i="8"/>
  <c r="E81" i="8"/>
  <c r="E85" i="8"/>
  <c r="E89" i="8"/>
  <c r="E93" i="8"/>
  <c r="E12" i="9"/>
  <c r="E16" i="9"/>
  <c r="E20" i="9"/>
  <c r="E24" i="9"/>
  <c r="E28" i="9"/>
  <c r="E32" i="9"/>
  <c r="E40" i="9"/>
  <c r="E36" i="9"/>
  <c r="F23" i="9"/>
  <c r="E67" i="8"/>
  <c r="F39" i="9"/>
  <c r="E23" i="9"/>
  <c r="E14" i="9"/>
  <c r="E18" i="9"/>
  <c r="E22" i="9"/>
  <c r="E26" i="9"/>
  <c r="E30" i="9"/>
  <c r="E34" i="9"/>
  <c r="E38" i="9"/>
  <c r="F14" i="9"/>
  <c r="F18" i="9"/>
  <c r="F22" i="9"/>
  <c r="F26" i="9"/>
  <c r="F30" i="9"/>
  <c r="F34" i="9"/>
  <c r="F38" i="9"/>
  <c r="E13" i="9"/>
  <c r="E17" i="9"/>
  <c r="E21" i="9"/>
  <c r="E25" i="9"/>
  <c r="E29" i="9"/>
  <c r="E33" i="9"/>
  <c r="E37" i="9"/>
  <c r="F13" i="9"/>
  <c r="F17" i="9"/>
  <c r="F21" i="9"/>
  <c r="F25" i="9"/>
  <c r="F29" i="9"/>
  <c r="F33" i="9"/>
  <c r="F37" i="9"/>
  <c r="E68" i="8"/>
  <c r="E72" i="8"/>
  <c r="E76" i="8"/>
  <c r="E80" i="8"/>
  <c r="E84" i="8"/>
  <c r="E88" i="8"/>
  <c r="E92" i="8"/>
  <c r="F68" i="8"/>
  <c r="F72" i="8"/>
  <c r="F76" i="8"/>
  <c r="F80" i="8"/>
  <c r="F84" i="8"/>
  <c r="F88" i="8"/>
  <c r="F92" i="8"/>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M60" i="6"/>
  <c r="M59" i="6"/>
  <c r="M58" i="6"/>
  <c r="F58" i="6" s="1"/>
  <c r="M57" i="6"/>
  <c r="M56" i="6"/>
  <c r="M55" i="6"/>
  <c r="M54" i="6"/>
  <c r="F54" i="6" s="1"/>
  <c r="M53" i="6"/>
  <c r="M52" i="6"/>
  <c r="M51" i="6"/>
  <c r="M50" i="6"/>
  <c r="F50" i="6" s="1"/>
  <c r="M49" i="6"/>
  <c r="M48" i="6"/>
  <c r="M47" i="6"/>
  <c r="M46" i="6"/>
  <c r="F46" i="6" s="1"/>
  <c r="M45" i="6"/>
  <c r="M44" i="6"/>
  <c r="M43" i="6"/>
  <c r="M42" i="6"/>
  <c r="F42" i="6" s="1"/>
  <c r="M41" i="6"/>
  <c r="M40" i="6"/>
  <c r="M39" i="6"/>
  <c r="M38" i="6"/>
  <c r="F38" i="6" s="1"/>
  <c r="M37" i="6"/>
  <c r="M36" i="6"/>
  <c r="M35" i="6"/>
  <c r="M34" i="6"/>
  <c r="F34" i="6" s="1"/>
  <c r="M33" i="6"/>
  <c r="M32" i="6"/>
  <c r="M3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AO59" i="2"/>
  <c r="AO58" i="2"/>
  <c r="AO57" i="2"/>
  <c r="AO56" i="2"/>
  <c r="AO55" i="2"/>
  <c r="AO54" i="2"/>
  <c r="AO53" i="2"/>
  <c r="AO52" i="2"/>
  <c r="AO51" i="2"/>
  <c r="AO50" i="2"/>
  <c r="AO49" i="2"/>
  <c r="AO48" i="2"/>
  <c r="AO47" i="2"/>
  <c r="AO46" i="2"/>
  <c r="AO45" i="2"/>
  <c r="AO44" i="2"/>
  <c r="AO43" i="2"/>
  <c r="AO42" i="2"/>
  <c r="AO41" i="2"/>
  <c r="AO40" i="2"/>
  <c r="AO39" i="2"/>
  <c r="AO38" i="2"/>
  <c r="AO37" i="2"/>
  <c r="AO36" i="2"/>
  <c r="AO35" i="2"/>
  <c r="AO34" i="2"/>
  <c r="AO33" i="2"/>
  <c r="AO32" i="2"/>
  <c r="AO31" i="2"/>
  <c r="AO30" i="2"/>
  <c r="R59" i="2"/>
  <c r="F59" i="2" s="1"/>
  <c r="R58" i="2"/>
  <c r="R57" i="2"/>
  <c r="R56" i="2"/>
  <c r="R55" i="2"/>
  <c r="F55" i="2" s="1"/>
  <c r="R54" i="2"/>
  <c r="R53" i="2"/>
  <c r="R52" i="2"/>
  <c r="R51" i="2"/>
  <c r="F51" i="2" s="1"/>
  <c r="R50" i="2"/>
  <c r="R49" i="2"/>
  <c r="R48" i="2"/>
  <c r="R47" i="2"/>
  <c r="F47" i="2" s="1"/>
  <c r="R46" i="2"/>
  <c r="R45" i="2"/>
  <c r="R44" i="2"/>
  <c r="R43" i="2"/>
  <c r="F43" i="2" s="1"/>
  <c r="R42" i="2"/>
  <c r="R41" i="2"/>
  <c r="R40" i="2"/>
  <c r="R39" i="2"/>
  <c r="F39" i="2" s="1"/>
  <c r="R38" i="2"/>
  <c r="R37" i="2"/>
  <c r="R36" i="2"/>
  <c r="R35" i="2"/>
  <c r="F35" i="2" s="1"/>
  <c r="R34" i="2"/>
  <c r="R33" i="2"/>
  <c r="R32" i="2"/>
  <c r="R31" i="2"/>
  <c r="F31" i="2" s="1"/>
  <c r="R3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R61" i="12"/>
  <c r="R60" i="12"/>
  <c r="E34" i="6" l="1"/>
  <c r="E38" i="6"/>
  <c r="E42" i="6"/>
  <c r="E46" i="6"/>
  <c r="E50" i="6"/>
  <c r="E54" i="6"/>
  <c r="E58" i="6"/>
  <c r="E35" i="2"/>
  <c r="E43" i="2"/>
  <c r="E47" i="2"/>
  <c r="E51" i="2"/>
  <c r="E55" i="2"/>
  <c r="E59" i="2"/>
  <c r="E39" i="2"/>
  <c r="E31" i="2"/>
  <c r="E42" i="7"/>
  <c r="E46" i="7"/>
  <c r="E50" i="7"/>
  <c r="E54" i="7"/>
  <c r="E58" i="7"/>
  <c r="E62" i="7"/>
  <c r="E66" i="7"/>
  <c r="E70" i="7"/>
  <c r="F42" i="7"/>
  <c r="F46" i="7"/>
  <c r="F50" i="7"/>
  <c r="F54" i="7"/>
  <c r="F58" i="7"/>
  <c r="F62" i="7"/>
  <c r="F66" i="7"/>
  <c r="F70" i="7"/>
  <c r="E32" i="6"/>
  <c r="E40" i="6"/>
  <c r="E36" i="6"/>
  <c r="E44" i="6"/>
  <c r="E48" i="6"/>
  <c r="E52" i="6"/>
  <c r="E56" i="6"/>
  <c r="E60" i="6"/>
  <c r="F32" i="6"/>
  <c r="F36" i="6"/>
  <c r="F40" i="6"/>
  <c r="F44" i="6"/>
  <c r="F48" i="6"/>
  <c r="F52" i="6"/>
  <c r="F56" i="6"/>
  <c r="F60" i="6"/>
  <c r="E31" i="6"/>
  <c r="E35" i="6"/>
  <c r="E39" i="6"/>
  <c r="E43" i="6"/>
  <c r="E47" i="6"/>
  <c r="E51" i="6"/>
  <c r="E55" i="6"/>
  <c r="E59" i="6"/>
  <c r="F31" i="6"/>
  <c r="F35" i="6"/>
  <c r="F39" i="6"/>
  <c r="F43" i="6"/>
  <c r="F47" i="6"/>
  <c r="F51" i="6"/>
  <c r="F55" i="6"/>
  <c r="F59" i="6"/>
  <c r="E30" i="2"/>
  <c r="E34" i="2"/>
  <c r="E38" i="2"/>
  <c r="E42" i="2"/>
  <c r="E46" i="2"/>
  <c r="E50" i="2"/>
  <c r="E54" i="2"/>
  <c r="E58" i="2"/>
  <c r="F30" i="2"/>
  <c r="F34" i="2"/>
  <c r="F38" i="2"/>
  <c r="F42" i="2"/>
  <c r="F46" i="2"/>
  <c r="F50" i="2"/>
  <c r="F54" i="2"/>
  <c r="F58" i="2"/>
  <c r="E43" i="7"/>
  <c r="E51" i="7"/>
  <c r="E55" i="7"/>
  <c r="E59" i="7"/>
  <c r="E63" i="7"/>
  <c r="E67" i="7"/>
  <c r="F43" i="7"/>
  <c r="F47" i="7"/>
  <c r="F51" i="7"/>
  <c r="F55" i="7"/>
  <c r="F59" i="7"/>
  <c r="F63" i="7"/>
  <c r="F67" i="7"/>
  <c r="E41" i="7"/>
  <c r="E49" i="7"/>
  <c r="E53" i="7"/>
  <c r="E57" i="7"/>
  <c r="E61" i="7"/>
  <c r="E65" i="7"/>
  <c r="E69" i="7"/>
  <c r="F41" i="7"/>
  <c r="F45" i="7"/>
  <c r="F49" i="7"/>
  <c r="F53" i="7"/>
  <c r="F57" i="7"/>
  <c r="F61" i="7"/>
  <c r="F65" i="7"/>
  <c r="F69" i="7"/>
  <c r="E45" i="7"/>
  <c r="E44" i="7"/>
  <c r="E48" i="7"/>
  <c r="E52" i="7"/>
  <c r="E56" i="7"/>
  <c r="E60" i="7"/>
  <c r="E64" i="7"/>
  <c r="E68" i="7"/>
  <c r="F44" i="7"/>
  <c r="F48" i="7"/>
  <c r="F52" i="7"/>
  <c r="F56" i="7"/>
  <c r="F60" i="7"/>
  <c r="F64" i="7"/>
  <c r="F68" i="7"/>
  <c r="E33" i="6"/>
  <c r="E37" i="6"/>
  <c r="E41" i="6"/>
  <c r="E45" i="6"/>
  <c r="E49" i="6"/>
  <c r="E53" i="6"/>
  <c r="E57" i="6"/>
  <c r="F33" i="6"/>
  <c r="F37" i="6"/>
  <c r="F41" i="6"/>
  <c r="F45" i="6"/>
  <c r="F49" i="6"/>
  <c r="F53" i="6"/>
  <c r="F57" i="6"/>
  <c r="E33" i="2"/>
  <c r="E37" i="2"/>
  <c r="E41" i="2"/>
  <c r="E45" i="2"/>
  <c r="E49" i="2"/>
  <c r="E53" i="2"/>
  <c r="E57" i="2"/>
  <c r="F33" i="2"/>
  <c r="F37" i="2"/>
  <c r="F41" i="2"/>
  <c r="F45" i="2"/>
  <c r="F49" i="2"/>
  <c r="F53" i="2"/>
  <c r="F57" i="2"/>
  <c r="E32" i="2"/>
  <c r="E36" i="2"/>
  <c r="E40" i="2"/>
  <c r="E44" i="2"/>
  <c r="E48" i="2"/>
  <c r="E52" i="2"/>
  <c r="E56" i="2"/>
  <c r="F32" i="2"/>
  <c r="F36" i="2"/>
  <c r="F40" i="2"/>
  <c r="F44" i="2"/>
  <c r="F48" i="2"/>
  <c r="F52" i="2"/>
  <c r="F56" i="2"/>
  <c r="E47" i="7"/>
  <c r="AZ59" i="14" l="1"/>
  <c r="AZ58" i="14"/>
  <c r="AZ57" i="14"/>
  <c r="AZ56" i="14"/>
  <c r="AZ55" i="14"/>
  <c r="AZ54" i="14"/>
  <c r="AZ53" i="14"/>
  <c r="AZ52" i="14"/>
  <c r="AZ51" i="14"/>
  <c r="AZ50" i="14"/>
  <c r="AZ49" i="14"/>
  <c r="AZ48" i="14"/>
  <c r="AZ47" i="14"/>
  <c r="AZ46" i="14"/>
  <c r="AZ45" i="14"/>
  <c r="AZ44" i="14"/>
  <c r="AZ43" i="14"/>
  <c r="AZ42" i="14"/>
  <c r="AZ41" i="14"/>
  <c r="AZ40" i="14"/>
  <c r="AZ39" i="14"/>
  <c r="AZ38" i="14"/>
  <c r="AZ37" i="14"/>
  <c r="AZ36" i="14"/>
  <c r="AZ35" i="14"/>
  <c r="AZ34" i="14"/>
  <c r="AZ33" i="14"/>
  <c r="AZ32" i="14"/>
  <c r="AZ31" i="14"/>
  <c r="CD24" i="14"/>
  <c r="CC24" i="14"/>
  <c r="CB24" i="14"/>
  <c r="CA24" i="14"/>
  <c r="BZ24" i="14"/>
  <c r="BY24" i="14"/>
  <c r="BX24" i="14"/>
  <c r="BW24" i="14"/>
  <c r="BV24" i="14"/>
  <c r="BU24" i="14"/>
  <c r="BT24" i="14"/>
  <c r="BS24" i="14"/>
  <c r="BR24" i="14"/>
  <c r="BQ24" i="14"/>
  <c r="BP24" i="14"/>
  <c r="BO24" i="14"/>
  <c r="BN24" i="14"/>
  <c r="BM24" i="14"/>
  <c r="BL24" i="14"/>
  <c r="BK24" i="14"/>
  <c r="BJ24" i="14"/>
  <c r="BI24" i="14"/>
  <c r="BH24" i="14"/>
  <c r="BF24" i="14"/>
  <c r="BE24" i="14"/>
  <c r="BD24" i="14"/>
  <c r="BC24" i="14"/>
  <c r="BA24" i="14"/>
  <c r="AZ24" i="14"/>
  <c r="CE23" i="14"/>
  <c r="BG23" i="14"/>
  <c r="BB23" i="14"/>
  <c r="AY23" i="14"/>
  <c r="CE22" i="14"/>
  <c r="BG22" i="14"/>
  <c r="BB22" i="14"/>
  <c r="AY22" i="14"/>
  <c r="CE21" i="14"/>
  <c r="BG21" i="14"/>
  <c r="BB21" i="14"/>
  <c r="AY21" i="14"/>
  <c r="CE20" i="14"/>
  <c r="BG20" i="14"/>
  <c r="BB20" i="14"/>
  <c r="AY20" i="14"/>
  <c r="CE19" i="14"/>
  <c r="BG19" i="14"/>
  <c r="BB19" i="14"/>
  <c r="AY19" i="14"/>
  <c r="CE18" i="14"/>
  <c r="BG18" i="14"/>
  <c r="BB18" i="14"/>
  <c r="AY18" i="14"/>
  <c r="CE17" i="14"/>
  <c r="BG17" i="14"/>
  <c r="BB17" i="14"/>
  <c r="AY17" i="14"/>
  <c r="CE16" i="14"/>
  <c r="BG16" i="14"/>
  <c r="BB16" i="14"/>
  <c r="AY16" i="14"/>
  <c r="CE15" i="14"/>
  <c r="BG15" i="14"/>
  <c r="BB15" i="14"/>
  <c r="AY15" i="14"/>
  <c r="CE14" i="14"/>
  <c r="BG14" i="14"/>
  <c r="BB14" i="14"/>
  <c r="AY14" i="14"/>
  <c r="CE13" i="14"/>
  <c r="BG13" i="14"/>
  <c r="BB13" i="14"/>
  <c r="AY13" i="14"/>
  <c r="CE12" i="14"/>
  <c r="BG12" i="14"/>
  <c r="BB12" i="14"/>
  <c r="AY12" i="14"/>
  <c r="CE11" i="14"/>
  <c r="BG11" i="14"/>
  <c r="BB11" i="14"/>
  <c r="AY11" i="14"/>
  <c r="CE10" i="14"/>
  <c r="BG10" i="14"/>
  <c r="BB10" i="14"/>
  <c r="AY10" i="14"/>
  <c r="CE9" i="14"/>
  <c r="BG9" i="14"/>
  <c r="BB9" i="14"/>
  <c r="AY9" i="14"/>
  <c r="CE8" i="14"/>
  <c r="BG8" i="14"/>
  <c r="BB8" i="14"/>
  <c r="AY8" i="14"/>
  <c r="H15" i="14"/>
  <c r="CE7" i="14"/>
  <c r="BG7" i="14"/>
  <c r="BB7" i="14"/>
  <c r="AY7" i="14"/>
  <c r="U15" i="14"/>
  <c r="P15" i="14"/>
  <c r="M15" i="14"/>
  <c r="AO61" i="12"/>
  <c r="AO60" i="12"/>
  <c r="J48" i="12"/>
  <c r="M48" i="12"/>
  <c r="M55" i="12"/>
  <c r="BG24" i="14" l="1"/>
  <c r="BB24" i="14"/>
  <c r="BG59" i="14"/>
  <c r="AY24" i="14"/>
  <c r="BB34" i="14"/>
  <c r="BB36" i="14"/>
  <c r="BB38" i="14"/>
  <c r="BB40" i="14"/>
  <c r="BB44" i="14"/>
  <c r="BB46" i="14"/>
  <c r="BB48" i="14"/>
  <c r="BB50" i="14"/>
  <c r="BB52" i="14"/>
  <c r="BB54" i="14"/>
  <c r="BB56" i="14"/>
  <c r="BB58" i="14"/>
  <c r="BB32" i="14"/>
  <c r="BB42" i="14"/>
  <c r="CE24" i="14"/>
  <c r="BG32" i="14"/>
  <c r="BG34" i="14"/>
  <c r="BG36" i="14"/>
  <c r="BG38" i="14"/>
  <c r="BG40" i="14"/>
  <c r="BG42" i="14"/>
  <c r="BG44" i="14"/>
  <c r="BG46" i="14"/>
  <c r="BG48" i="14"/>
  <c r="BG50" i="14"/>
  <c r="BG52" i="14"/>
  <c r="BG54" i="14"/>
  <c r="BG56" i="14"/>
  <c r="BG58" i="14"/>
  <c r="BB33" i="14"/>
  <c r="BB35" i="14"/>
  <c r="BB37" i="14"/>
  <c r="BB41" i="14"/>
  <c r="BB43" i="14"/>
  <c r="BB45" i="14"/>
  <c r="BB47" i="14"/>
  <c r="BB49" i="14"/>
  <c r="BB51" i="14"/>
  <c r="BB53" i="14"/>
  <c r="BB55" i="14"/>
  <c r="BB57" i="14"/>
  <c r="BB59" i="14"/>
  <c r="BB31" i="14"/>
  <c r="BB39" i="14"/>
  <c r="BG31" i="14"/>
  <c r="BG33" i="14"/>
  <c r="BG35" i="14"/>
  <c r="BG37" i="14"/>
  <c r="BG39" i="14"/>
  <c r="BG41" i="14"/>
  <c r="BG43" i="14"/>
  <c r="BG45" i="14"/>
  <c r="BG47" i="14"/>
  <c r="BG49" i="14"/>
  <c r="BG51" i="14"/>
  <c r="BG53" i="14"/>
  <c r="BG55" i="14"/>
  <c r="BG57" i="14"/>
  <c r="R48" i="12"/>
  <c r="J55" i="12"/>
  <c r="M28" i="12"/>
  <c r="R28" i="12"/>
  <c r="J28" i="12"/>
  <c r="R55" i="12"/>
  <c r="R10" i="12"/>
  <c r="M10" i="12"/>
  <c r="J10" i="12"/>
  <c r="K15" i="14" l="1"/>
  <c r="G48" i="12"/>
  <c r="G28" i="12"/>
  <c r="G55" i="12"/>
  <c r="I15" i="14" l="1"/>
  <c r="E48" i="12"/>
  <c r="E28" i="12"/>
  <c r="E55" i="12"/>
  <c r="G10" i="12"/>
  <c r="E10" i="12" l="1"/>
  <c r="F48" i="5" l="1"/>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G8" i="9" l="1"/>
  <c r="H22" i="4"/>
  <c r="M22" i="4"/>
  <c r="P22" i="4"/>
  <c r="U22" i="4"/>
  <c r="CE7" i="4"/>
  <c r="CE8" i="4"/>
  <c r="CE9" i="4"/>
  <c r="CE10" i="4"/>
  <c r="CE11" i="4"/>
  <c r="CE12" i="4"/>
  <c r="CE13" i="4"/>
  <c r="CE14" i="4"/>
  <c r="CE15" i="4"/>
  <c r="CE16" i="4"/>
  <c r="CE17" i="4"/>
  <c r="CE18" i="4"/>
  <c r="CE19" i="4"/>
  <c r="CE20" i="4"/>
  <c r="CE21" i="4"/>
  <c r="CE22" i="4"/>
  <c r="CE23" i="4"/>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R8" i="10"/>
  <c r="M8" i="10"/>
  <c r="J8" i="10"/>
  <c r="G8" i="10"/>
  <c r="R8" i="9"/>
  <c r="M8" i="9"/>
  <c r="J8" i="9"/>
  <c r="R55" i="8"/>
  <c r="M55" i="8"/>
  <c r="J55" i="8"/>
  <c r="G55" i="8"/>
  <c r="S30" i="7"/>
  <c r="N30" i="7"/>
  <c r="K30" i="7"/>
  <c r="R20" i="6"/>
  <c r="J20" i="6"/>
  <c r="R8" i="5"/>
  <c r="M8" i="5"/>
  <c r="J8" i="5"/>
  <c r="G8" i="5"/>
  <c r="E8" i="5"/>
  <c r="J19" i="2"/>
  <c r="M19" i="2"/>
  <c r="R19" i="2"/>
  <c r="AZ24" i="4"/>
  <c r="BG15" i="4"/>
  <c r="BG16" i="4"/>
  <c r="BB16" i="4" s="1"/>
  <c r="AY16" i="4" s="1"/>
  <c r="BG17" i="4"/>
  <c r="BB17" i="4" s="1"/>
  <c r="AY17" i="4" s="1"/>
  <c r="BG18" i="4"/>
  <c r="BB18" i="4" s="1"/>
  <c r="AY18" i="4" s="1"/>
  <c r="BG19" i="4"/>
  <c r="BB19" i="4" s="1"/>
  <c r="AY19" i="4" s="1"/>
  <c r="BG20" i="4"/>
  <c r="BB20" i="4" s="1"/>
  <c r="AY20" i="4" s="1"/>
  <c r="BG21" i="4"/>
  <c r="BB21" i="4" s="1"/>
  <c r="AY21" i="4" s="1"/>
  <c r="BG22" i="4"/>
  <c r="BB22" i="4" s="1"/>
  <c r="AY22" i="4" s="1"/>
  <c r="BG23" i="4"/>
  <c r="BB23" i="4" s="1"/>
  <c r="AY23" i="4" s="1"/>
  <c r="BB7" i="4"/>
  <c r="BB8" i="4"/>
  <c r="BB9" i="4"/>
  <c r="BB10" i="4"/>
  <c r="BB11" i="4"/>
  <c r="BB12" i="4"/>
  <c r="BB13" i="4"/>
  <c r="BB14" i="4"/>
  <c r="BC24" i="4"/>
  <c r="AZ34" i="4" s="1"/>
  <c r="BD24" i="4"/>
  <c r="AZ35" i="4" s="1"/>
  <c r="BE24" i="4"/>
  <c r="AZ36" i="4" s="1"/>
  <c r="BG7" i="4"/>
  <c r="BG8" i="4"/>
  <c r="BG9" i="4"/>
  <c r="BG10" i="4"/>
  <c r="BG11" i="4"/>
  <c r="BG12" i="4"/>
  <c r="BG13" i="4"/>
  <c r="BG14" i="4"/>
  <c r="BH24" i="4"/>
  <c r="AZ39" i="4" s="1"/>
  <c r="BI24" i="4"/>
  <c r="BJ24" i="4"/>
  <c r="AZ40" i="4" s="1"/>
  <c r="BK24" i="4"/>
  <c r="AZ41" i="4" s="1"/>
  <c r="BL24" i="4"/>
  <c r="AZ42" i="4" s="1"/>
  <c r="BM24" i="4"/>
  <c r="AZ43" i="4" s="1"/>
  <c r="BN24" i="4"/>
  <c r="AZ44" i="4" s="1"/>
  <c r="BO24" i="4"/>
  <c r="AZ45" i="4" s="1"/>
  <c r="BP24" i="4"/>
  <c r="AZ46" i="4" s="1"/>
  <c r="BQ24" i="4"/>
  <c r="AZ47" i="4" s="1"/>
  <c r="BR24" i="4"/>
  <c r="AZ48" i="4" s="1"/>
  <c r="BS24" i="4"/>
  <c r="AZ49" i="4" s="1"/>
  <c r="BT24" i="4"/>
  <c r="AZ50" i="4" s="1"/>
  <c r="BU24" i="4"/>
  <c r="AZ51" i="4" s="1"/>
  <c r="BV24" i="4"/>
  <c r="AZ52" i="4" s="1"/>
  <c r="BW24" i="4"/>
  <c r="AZ53" i="4" s="1"/>
  <c r="BX24" i="4"/>
  <c r="AZ54" i="4" s="1"/>
  <c r="BY24" i="4"/>
  <c r="AZ55" i="4" s="1"/>
  <c r="BZ24" i="4"/>
  <c r="AZ56" i="4" s="1"/>
  <c r="CA24" i="4"/>
  <c r="AZ57" i="4" s="1"/>
  <c r="CB24" i="4"/>
  <c r="AZ58" i="4" s="1"/>
  <c r="CC24" i="4"/>
  <c r="AZ59" i="4" s="1"/>
  <c r="CD24" i="4"/>
  <c r="AZ31" i="4" s="1"/>
  <c r="AY7" i="4"/>
  <c r="AY8" i="4"/>
  <c r="AY9" i="4"/>
  <c r="AY10" i="4"/>
  <c r="AY11" i="4"/>
  <c r="AY12" i="4"/>
  <c r="AY13" i="4"/>
  <c r="AY14" i="4"/>
  <c r="BG24" i="4" l="1"/>
  <c r="BB15" i="4"/>
  <c r="BF24" i="4"/>
  <c r="AZ37" i="4" s="1"/>
  <c r="BG55" i="4"/>
  <c r="D32" i="3" s="1"/>
  <c r="BG49" i="4"/>
  <c r="D26" i="3" s="1"/>
  <c r="BG43" i="4"/>
  <c r="D20" i="3" s="1"/>
  <c r="BG38" i="4"/>
  <c r="D14" i="3" s="1"/>
  <c r="BG32" i="4"/>
  <c r="D8" i="3" s="1"/>
  <c r="D16" i="3"/>
  <c r="BG54" i="4"/>
  <c r="D31" i="3" s="1"/>
  <c r="BG48" i="4"/>
  <c r="D25" i="3" s="1"/>
  <c r="BG42" i="4"/>
  <c r="D19" i="3" s="1"/>
  <c r="BG37" i="4"/>
  <c r="D13" i="3" s="1"/>
  <c r="BG31" i="4"/>
  <c r="D7" i="3" s="1"/>
  <c r="BG59" i="4"/>
  <c r="D36" i="3" s="1"/>
  <c r="BG53" i="4"/>
  <c r="D30" i="3" s="1"/>
  <c r="BG47" i="4"/>
  <c r="D24" i="3" s="1"/>
  <c r="BG41" i="4"/>
  <c r="D18" i="3" s="1"/>
  <c r="BG36" i="4"/>
  <c r="D12" i="3" s="1"/>
  <c r="BG34" i="4"/>
  <c r="D10" i="3" s="1"/>
  <c r="BG58" i="4"/>
  <c r="D35" i="3" s="1"/>
  <c r="BG52" i="4"/>
  <c r="D29" i="3" s="1"/>
  <c r="BG46" i="4"/>
  <c r="D23" i="3" s="1"/>
  <c r="BG40" i="4"/>
  <c r="D17" i="3" s="1"/>
  <c r="BG35" i="4"/>
  <c r="D11" i="3" s="1"/>
  <c r="BG57" i="4"/>
  <c r="D34" i="3" s="1"/>
  <c r="BG51" i="4"/>
  <c r="D28" i="3" s="1"/>
  <c r="BG45" i="4"/>
  <c r="D22" i="3" s="1"/>
  <c r="BG56" i="4"/>
  <c r="D33" i="3" s="1"/>
  <c r="BG50" i="4"/>
  <c r="D27" i="3" s="1"/>
  <c r="BG44" i="4"/>
  <c r="D21" i="3" s="1"/>
  <c r="BG39" i="4"/>
  <c r="D15" i="3" s="1"/>
  <c r="BG33" i="4"/>
  <c r="D9" i="3" s="1"/>
  <c r="G19" i="2"/>
  <c r="BA24" i="4"/>
  <c r="AY15" i="4"/>
  <c r="AY24" i="4" s="1"/>
  <c r="K22" i="4"/>
  <c r="BB56" i="4"/>
  <c r="L33" i="3" s="1"/>
  <c r="BB57" i="4"/>
  <c r="L34" i="3" s="1"/>
  <c r="BB37" i="4"/>
  <c r="L13" i="3" s="1"/>
  <c r="BB44" i="4"/>
  <c r="L21" i="3" s="1"/>
  <c r="BB52" i="4"/>
  <c r="L29" i="3" s="1"/>
  <c r="BB32" i="4"/>
  <c r="L8" i="3" s="1"/>
  <c r="L16" i="3"/>
  <c r="BB43" i="4"/>
  <c r="L20" i="3" s="1"/>
  <c r="BB47" i="4"/>
  <c r="L24" i="3" s="1"/>
  <c r="BB51" i="4"/>
  <c r="L28" i="3" s="1"/>
  <c r="BB55" i="4"/>
  <c r="L32" i="3" s="1"/>
  <c r="BB59" i="4"/>
  <c r="L36" i="3" s="1"/>
  <c r="I22" i="4"/>
  <c r="BB33" i="4"/>
  <c r="L9" i="3" s="1"/>
  <c r="BB40" i="4"/>
  <c r="L17" i="3" s="1"/>
  <c r="BB48" i="4"/>
  <c r="L25" i="3" s="1"/>
  <c r="CE24" i="4"/>
  <c r="BB36" i="4"/>
  <c r="L12" i="3" s="1"/>
  <c r="BB31" i="4"/>
  <c r="L7" i="3" s="1"/>
  <c r="BB35" i="4"/>
  <c r="L11" i="3" s="1"/>
  <c r="BB39" i="4"/>
  <c r="L15" i="3" s="1"/>
  <c r="BB42" i="4"/>
  <c r="L19" i="3" s="1"/>
  <c r="BB46" i="4"/>
  <c r="L23" i="3" s="1"/>
  <c r="BB50" i="4"/>
  <c r="L27" i="3" s="1"/>
  <c r="BB54" i="4"/>
  <c r="L31" i="3" s="1"/>
  <c r="BB58" i="4"/>
  <c r="L35" i="3" s="1"/>
  <c r="BB34" i="4"/>
  <c r="L10" i="3" s="1"/>
  <c r="BB38" i="4"/>
  <c r="L14" i="3" s="1"/>
  <c r="BB41" i="4"/>
  <c r="L18" i="3" s="1"/>
  <c r="BB45" i="4"/>
  <c r="L22" i="3" s="1"/>
  <c r="BB49" i="4"/>
  <c r="L26" i="3" s="1"/>
  <c r="BB53" i="4"/>
  <c r="L30" i="3" s="1"/>
  <c r="E8" i="10"/>
  <c r="E8" i="9"/>
  <c r="E55" i="8"/>
  <c r="H30" i="7"/>
  <c r="F30" i="7"/>
  <c r="E19" i="2"/>
  <c r="AZ32" i="4" l="1"/>
  <c r="L6" i="3"/>
  <c r="AZ33" i="4"/>
  <c r="D6" i="3"/>
  <c r="AZ38" i="4"/>
  <c r="BB24" i="4"/>
  <c r="M20" i="6" l="1"/>
  <c r="G20" i="6" l="1"/>
  <c r="E20" i="6"/>
</calcChain>
</file>

<file path=xl/connections.xml><?xml version="1.0" encoding="utf-8"?>
<connections xmlns="http://schemas.openxmlformats.org/spreadsheetml/2006/main">
  <connection id="1" name="Abandon" type="1" refreshedVersion="4" deleted="1" background="1" saveData="1">
    <dbPr connection="" command=""/>
    <parameters count="1">
      <parameter name="Paramètre 2" sqlType="11" parameterType="cell" refreshOnChange="1" cell="Abandon!$E$1"/>
    </parameters>
  </connection>
  <connection id="2" name="Agriculture" type="1" refreshedVersion="4" deleted="1" background="1" saveData="1">
    <dbPr connection="" command=""/>
    <parameters count="2">
      <parameter name="Paramètre1" sqlType="11" parameterType="cell" refreshOnChange="1" cell="Bois!$A$1"/>
      <parameter name="Paramètre1" sqlType="11" parameterType="cell" refreshOnChange="1" cell="Bois!$A$1"/>
    </parameters>
  </connection>
  <connection id="3" name="AT-IngTerr" type="1" refreshedVersion="4" deleted="1" background="1" saveData="1">
    <dbPr connection="" command=""/>
    <parameters count="3">
      <parameter name="Paramètre 1" sqlType="11" parameterType="cell" refreshOnChange="1" cell="Bois!$A$1"/>
      <parameter name="Paramètre 1" sqlType="11" parameterType="cell" refreshOnChange="1" cell="Bois!$A$1"/>
      <parameter name="Paramètre 1" sqlType="11" parameterType="cell" refreshOnChange="1" cell="Bois!$A$1"/>
    </parameters>
  </connection>
  <connection id="4" name="Attractivité" type="1" refreshedVersion="4" deleted="1" background="1" saveData="1">
    <dbPr connection="" command=""/>
    <parameters count="1">
      <parameter name="Paramètre 1" sqlType="11" parameterType="cell" refreshOnChange="1" cell="Bois!$A$1"/>
    </parameters>
  </connection>
  <connection id="5" name="Biodiversité-MOH" type="1" refreshedVersion="4" deleted="1" background="1" saveData="1">
    <dbPr connection="" command=""/>
    <parameters count="4">
      <parameter name="Paramètre 1" sqlType="11" parameterType="cell" refreshOnChange="1" cell="Bois!$A$1"/>
      <parameter name="Paramètre 1" sqlType="11" parameterType="cell" refreshOnChange="1" cell="Bois!$A$1"/>
      <parameter name="Paramètre 1" sqlType="11" parameterType="cell" refreshOnChange="1" cell="Bois!$A$1"/>
      <parameter name="Paramètre 1" sqlType="11" parameterType="cell" refreshOnChange="1" cell="Bois!$A$1"/>
    </parameters>
  </connection>
  <connection id="6" name="Bois" type="1" refreshedVersion="4" deleted="1" background="1" saveData="1">
    <dbPr connection="" command=""/>
    <parameters count="1">
      <parameter name="Paramètre 1" sqlType="11" parameterType="cell" refreshOnChange="1" cell="Bois!$A$1"/>
    </parameters>
  </connection>
  <connection id="7" name="I-Cluny" type="1" refreshedVersion="4" deleted="1" background="1" saveData="1">
    <dbPr connection="" command=""/>
    <parameters count="1">
      <parameter name="Paramètre 1" sqlType="11" parameterType="cell" refreshOnChange="1" cell="Bois!$A$1"/>
    </parameters>
  </connection>
  <connection id="8" name="I-Podiensis" type="1" refreshedVersion="4" deleted="1" background="1" saveData="1">
    <dbPr connection="" command=""/>
    <parameters count="1">
      <parameter name="Paramètre 1" sqlType="11" parameterType="cell" refreshOnChange="1" cell="Bois!$A$1"/>
    </parameters>
  </connection>
  <connection id="9" name="I-Saint-Guilhem" type="1" refreshedVersion="4" deleted="1" background="1" saveData="1">
    <dbPr connection="" command=""/>
    <parameters count="1">
      <parameter name="Paramètre 1" sqlType="11" parameterType="cell" refreshOnChange="1" cell="Bois!$A$1"/>
    </parameters>
  </connection>
  <connection id="10" name="I-Via Fluvia" type="1" refreshedVersion="4" deleted="1" background="1" saveData="1">
    <dbPr connection="" command=""/>
    <parameters count="1">
      <parameter name="Paramètre 1" sqlType="11" parameterType="cell" refreshOnChange="1" cell="Bois!$A$1"/>
    </parameters>
  </connection>
  <connection id="11" name="Pierre" type="1" refreshedVersion="4" deleted="1" background="1" saveData="1">
    <dbPr connection="" command=""/>
    <parameters count="1">
      <parameter name="Paramètre 1" sqlType="11" parameterType="cell" refreshOnChange="1" cell="Bois!$A$1"/>
    </parameters>
  </connection>
  <connection id="12" name="Reprog" type="1" refreshedVersion="4" deleted="1" background="1" saveData="1">
    <dbPr connection="" command=""/>
    <parameters count="2">
      <parameter name="Paramètre 2" sqlType="11" parameterType="cell" refreshOnChange="1" cell="'Reprog (en cours)'!$E$1"/>
      <parameter name="Paramètre 2" sqlType="11" parameterType="cell" refreshOnChange="1" cell="'Reprog (en cours)'!$E$1"/>
    </parameters>
  </connection>
  <connection id="13" name="Tourisme" type="1" refreshedVersion="4" deleted="1" background="1" saveData="1">
    <dbPr connection="" command=""/>
    <parameters count="1">
      <parameter name="Paramètre 1" sqlType="11" parameterType="cell" refreshOnChange="1" cell="Bois!$A$1"/>
    </parameters>
  </connection>
</connections>
</file>

<file path=xl/sharedStrings.xml><?xml version="1.0" encoding="utf-8"?>
<sst xmlns="http://schemas.openxmlformats.org/spreadsheetml/2006/main" count="1949" uniqueCount="499">
  <si>
    <t>Programme</t>
  </si>
  <si>
    <t>Nom_MO</t>
  </si>
  <si>
    <t>Intitule_Operation</t>
  </si>
  <si>
    <t>Coût total déposé</t>
  </si>
  <si>
    <t>Taux Aide Massif</t>
  </si>
  <si>
    <t>Aide Massif Obtenu</t>
  </si>
  <si>
    <t>Taux Aide Publique</t>
  </si>
  <si>
    <t>ID_Synergie</t>
  </si>
  <si>
    <t>Total</t>
  </si>
  <si>
    <t>VetAgro Sup</t>
  </si>
  <si>
    <t>ID_dossier GIP</t>
  </si>
  <si>
    <t>Conseil départemental du Lot</t>
  </si>
  <si>
    <t xml:space="preserve">Remarques </t>
  </si>
  <si>
    <t>Aide Publique Obtenue</t>
  </si>
  <si>
    <t>Coût total Eligible FEDER</t>
  </si>
  <si>
    <t>Coût total</t>
  </si>
  <si>
    <t>'FNADT'</t>
  </si>
  <si>
    <t>'Agriculture'</t>
  </si>
  <si>
    <t>'AURA'</t>
  </si>
  <si>
    <t>'BFC'</t>
  </si>
  <si>
    <t>'ALPC'</t>
  </si>
  <si>
    <t>'LRMP'</t>
  </si>
  <si>
    <t>'03'</t>
  </si>
  <si>
    <t>'07'</t>
  </si>
  <si>
    <t>'11'</t>
  </si>
  <si>
    <t>'12'</t>
  </si>
  <si>
    <t>'15'</t>
  </si>
  <si>
    <t>'19'</t>
  </si>
  <si>
    <t>'21'</t>
  </si>
  <si>
    <t>'23'</t>
  </si>
  <si>
    <t>'30'</t>
  </si>
  <si>
    <t>'34'</t>
  </si>
  <si>
    <t>'42'</t>
  </si>
  <si>
    <t>'43'</t>
  </si>
  <si>
    <t>'46'</t>
  </si>
  <si>
    <t>'48'</t>
  </si>
  <si>
    <t>'58'</t>
  </si>
  <si>
    <t>'63'</t>
  </si>
  <si>
    <t>'69'</t>
  </si>
  <si>
    <t>'71'</t>
  </si>
  <si>
    <t>'81'</t>
  </si>
  <si>
    <t>'82'</t>
  </si>
  <si>
    <t>'87'</t>
  </si>
  <si>
    <t>'89'</t>
  </si>
  <si>
    <t>'FEDER'</t>
  </si>
  <si>
    <t>'Autre Public'</t>
  </si>
  <si>
    <t>Etat</t>
  </si>
  <si>
    <t>Régions</t>
  </si>
  <si>
    <t>Départements</t>
  </si>
  <si>
    <t>Avis Cofimac</t>
  </si>
  <si>
    <t>Aide Massif</t>
  </si>
  <si>
    <t>Bois</t>
  </si>
  <si>
    <t>'Coût total éligible'</t>
  </si>
  <si>
    <t>Tx Aide publique</t>
  </si>
  <si>
    <t>Vivier Bois Massif central</t>
  </si>
  <si>
    <t>Aide 
publique</t>
  </si>
  <si>
    <t>Tx
Aide Massif</t>
  </si>
  <si>
    <t>Avis Prog</t>
  </si>
  <si>
    <t>FEDER</t>
  </si>
  <si>
    <t>ALPC</t>
  </si>
  <si>
    <t>AURA</t>
  </si>
  <si>
    <t>BFC</t>
  </si>
  <si>
    <t>LRMP</t>
  </si>
  <si>
    <t>NumSym</t>
  </si>
  <si>
    <t>Avis</t>
  </si>
  <si>
    <t>Commentaires</t>
  </si>
  <si>
    <t>Total Etat</t>
  </si>
  <si>
    <t>Total Régions</t>
  </si>
  <si>
    <t>Total Dpts</t>
  </si>
  <si>
    <t>Pierre</t>
  </si>
  <si>
    <t>'FNADT '</t>
  </si>
  <si>
    <t>Association "Figeacteurs : la Fabrique"</t>
  </si>
  <si>
    <t>Pôle agroalimentaire Loire</t>
  </si>
  <si>
    <t>Attractivité</t>
  </si>
  <si>
    <t>Agriculture</t>
  </si>
  <si>
    <t>Tourisme</t>
  </si>
  <si>
    <t>SIDAM</t>
  </si>
  <si>
    <t>IPAMAC</t>
  </si>
  <si>
    <t>Comité de programmation</t>
  </si>
  <si>
    <t>Reprogrammations</t>
  </si>
  <si>
    <t>MOH</t>
  </si>
  <si>
    <t>'Thématique '</t>
  </si>
  <si>
    <t>BL</t>
  </si>
  <si>
    <t>Prévisionnel</t>
  </si>
  <si>
    <t>Prev</t>
  </si>
  <si>
    <t>Final</t>
  </si>
  <si>
    <t>final</t>
  </si>
  <si>
    <t>prev</t>
  </si>
  <si>
    <t>Conservatoire Botanique National du Massif central</t>
  </si>
  <si>
    <t>Développer l’usage du bois énergie dans une démarche d’économie circulaire en articulation avec les chaines de valeur du bois et du bâtiment</t>
  </si>
  <si>
    <t>SCIC BoisEnergie Lot</t>
  </si>
  <si>
    <t>Développer l'usage du bois énergie dans une démarche d'économie circulaire en articulation avec les chaînes de valeur du bois et du bâtiment</t>
  </si>
  <si>
    <t>SPL277-Varennes-sur-Allier</t>
  </si>
  <si>
    <t xml:space="preserve">SYNDICAT MIXTE DU BEAUJOLAIS </t>
  </si>
  <si>
    <t>Communauté de Communes du Bassin Decazeville Aubin</t>
  </si>
  <si>
    <t>Qualification de la ressource locale en vue de sa valorisation et de son usage au regard des futures exigences économiques et énergétiques du marché</t>
  </si>
  <si>
    <t>CRITT Bois Midi-Pyrénées</t>
  </si>
  <si>
    <t>PFT Bois Midi Pyrénées</t>
  </si>
  <si>
    <t>Démonstrateurs : compétences et ressources du bois construction – Coordination et expertises au service de 12 chantiers démonstrateurs</t>
  </si>
  <si>
    <t>Commune de Thizy-les-Bourgs</t>
  </si>
  <si>
    <t>La transition énergétique : les démonstrateurs-les compétences et les ressources du bois construction</t>
  </si>
  <si>
    <t xml:space="preserve">Communauté de communes Cère et Goul en Carladès </t>
  </si>
  <si>
    <t>CAUE Haute-Vienne</t>
  </si>
  <si>
    <t xml:space="preserve">CONDUIRE UNE ANIMATION SUR LES DOMAINES DE L’ARCHITECTURE, L’URBANISME ET LE PAYSAGE PAR LE RESEAU DE CAUE EN MASSIF CENTRAL </t>
  </si>
  <si>
    <t>CAUE Saône-et-Loire</t>
  </si>
  <si>
    <t>CAUE Puy-de-Dôme</t>
  </si>
  <si>
    <t>CAUE Hérault</t>
  </si>
  <si>
    <t>CAUE Cantal</t>
  </si>
  <si>
    <t>CAUE Aveyron</t>
  </si>
  <si>
    <t>CAUE Ardèche</t>
  </si>
  <si>
    <t>TEAMM - construction opérationnelle des solutions de mobilité dans les territoire de montagne peu denses</t>
  </si>
  <si>
    <t>LAINAMAC</t>
  </si>
  <si>
    <t>Lieux d’interconnexion et d’émergence de nouvelles dynamiques territoriales</t>
  </si>
  <si>
    <t>Association les Bergerades</t>
  </si>
  <si>
    <t>Communauté de communes Ouest Rhodanien</t>
  </si>
  <si>
    <t>CIIRPO</t>
  </si>
  <si>
    <t>CLIMAGROF : Accompagner le changement climatique grâce à l’agroforesterie. Recherche et développement en élevages ovin viande du Massif central</t>
  </si>
  <si>
    <t>Chambre d'agriculture de la Haute-Vienne</t>
  </si>
  <si>
    <t>Chambre régionale d'agriculture d'Auvergne</t>
  </si>
  <si>
    <t>EPLEFPA du Bourbonnais</t>
  </si>
  <si>
    <t>EPLEFPA Saint-Flour</t>
  </si>
  <si>
    <t>Fédatest</t>
  </si>
  <si>
    <t>Institut de l'Elevage</t>
  </si>
  <si>
    <t>Chambre d'agriculture de la Corrèze</t>
  </si>
  <si>
    <t>Chambre d'Agriculture du Puy-de-Dôme</t>
  </si>
  <si>
    <t>URFA</t>
  </si>
  <si>
    <t>Atouts Chanvre</t>
  </si>
  <si>
    <t>Projet interrégional de développement et de valorisation d’une filière chanvre en circuit court 2015-2016</t>
  </si>
  <si>
    <t>Animation et coordination des actions de lutte contre le campagnol terrestre</t>
  </si>
  <si>
    <t>Syndicat Mixte des Monts de la Madeleine</t>
  </si>
  <si>
    <t>La faune remarquable des forêts anciennes des Monts de la Madeleine et Bois Noirs</t>
  </si>
  <si>
    <t>Fédération des Conservatoires d'espaces naturels</t>
  </si>
  <si>
    <t>Coordination et animation des projets en faveur des tourbières du Massif central</t>
  </si>
  <si>
    <t>LPO Auvergne</t>
  </si>
  <si>
    <t>Projet PRA Pies-grièches LPO 2016-2017</t>
  </si>
  <si>
    <t>Conservatoire des Espaces Naturels de l'Allier</t>
  </si>
  <si>
    <t>Syndicat Mixte de préfiguration du PNR de l'Aubrac</t>
  </si>
  <si>
    <t>Programme de lutte contre les pullulations de campagnol terrestre sur l’Aubrac</t>
  </si>
  <si>
    <t>FREDON Auvergne</t>
  </si>
  <si>
    <t>Coordination d'actions pour freiner l'expansion des campagnols sur le département de l'Allier (03) </t>
  </si>
  <si>
    <t>EPLEFPA de la Lozère</t>
  </si>
  <si>
    <t>MACENSTRATIAA. Accompagner les PME agroalimentaire dans une démarche de diagnostic stratégique</t>
  </si>
  <si>
    <t>EPLEFPA d'Aurillac</t>
  </si>
  <si>
    <t>EPLEFPA de Limoges</t>
  </si>
  <si>
    <t>EPLEFPA de Marmilhat</t>
  </si>
  <si>
    <t>EPLEFPA de Montbrison</t>
  </si>
  <si>
    <t>EPLEFPA de Rodez La Roque</t>
  </si>
  <si>
    <t>EPLEFPA de Saint-Flour</t>
  </si>
  <si>
    <t>EPLEFPA du Velay</t>
  </si>
  <si>
    <t>Montpellier SupAgro Florac</t>
  </si>
  <si>
    <t>AEOLE phase 2 – Les prairies du Massif central, un Atout Economique pour cOnstruire des systèmes d’éLEvage performants</t>
  </si>
  <si>
    <t>Pôle fromager AOP Massif central</t>
  </si>
  <si>
    <t>UNOTEC</t>
  </si>
  <si>
    <t>INRA Theix</t>
  </si>
  <si>
    <t>Chambre d'agriculture de l'Ardèche</t>
  </si>
  <si>
    <t>Chambre d'Agriculture du Cantal</t>
  </si>
  <si>
    <t>Chambre d'Agriculture de Haute-Loire</t>
  </si>
  <si>
    <t>Chambre d'agriculture de l'Aveyron</t>
  </si>
  <si>
    <t>Chambre régionale d'agriculture de Languedoc-Roussillon-Midi-Pyrénées</t>
  </si>
  <si>
    <t>COPAGE</t>
  </si>
  <si>
    <t>Pôle AB Massif central</t>
  </si>
  <si>
    <t>PROJET BIOREFERENCES  / VOLET RUMINANTS (tranche 2)</t>
  </si>
  <si>
    <t>ITAB</t>
  </si>
  <si>
    <t>Institut de l'élevage</t>
  </si>
  <si>
    <t>Chambre d'Agriculture du Rhône</t>
  </si>
  <si>
    <t>Chambre d'Agriculture de la Loire</t>
  </si>
  <si>
    <t>Chambre d'Agriculture de la Drôme</t>
  </si>
  <si>
    <t>Chambre d'Agriculture de l'Allier</t>
  </si>
  <si>
    <t>BioBourgogne</t>
  </si>
  <si>
    <t>AVEM</t>
  </si>
  <si>
    <t>ARVALIS</t>
  </si>
  <si>
    <t>APABA</t>
  </si>
  <si>
    <t>Chambre d'Agriculture de la Lozère</t>
  </si>
  <si>
    <t>Chambre régionale d'Agriculture d'Aquitaine-Limousin-Poitou-Charentes</t>
  </si>
  <si>
    <t>Communauté de communes des Monts du Pilat</t>
  </si>
  <si>
    <t>AMENAGEMENT D’UN ITINERAIRE DE VELOROUTE VOIE VERTE, TRONCON DE LA VIA FLUVIA</t>
  </si>
  <si>
    <t>Association des Amis du CHEMIN de SAINT GUILHEM</t>
  </si>
  <si>
    <t>Projet pour la promotion, le développement et la structuration de l’itinéraire du chemin de St Guilhem</t>
  </si>
  <si>
    <t>Communauté de communes du Pays de Montfaucon</t>
  </si>
  <si>
    <t>Mise en tourisme de la Via Fluvia, véloroute entre Loire et Rhône : communication et animation</t>
  </si>
  <si>
    <t>AMÉNAGEMENT D’UN ITINÉRAIRE DE VÉLOROUTE VOIE VERTE, TRONÇON DE LA VIA FLUVIA : AMÉNAGEMENTS ANNEXES ET ÉCO-COMPTEURS</t>
  </si>
  <si>
    <t>COMMUNAUTE D'AGGLOMERATION DU BASSIN D'ANNONAY</t>
  </si>
  <si>
    <t>Communauté d'agglomération du Puy en Velay</t>
  </si>
  <si>
    <t>Valorisation tourisme durable chemin de Saint-Jacques - Via Podiensis - GR65</t>
  </si>
  <si>
    <t>Communauté de communes Aubrac Laguiole</t>
  </si>
  <si>
    <t>Stratégie de valorisation patrimoniale, culturelle et touristique durable de l’itinéraire Via Podiensis, du Puy-en-Velay à Cahors - Amélioration du confort et de l’accueil : étude d’implantation et construction d’abris à pèlerins à Aubrac et Saint-Chély d</t>
  </si>
  <si>
    <t>Communauté de communes du Grand Figeac</t>
  </si>
  <si>
    <t>Développement de la Via Podiensis</t>
  </si>
  <si>
    <t>Communauté de Communes de l’Aubrac Lozérien</t>
  </si>
  <si>
    <t>Réalisation d’opérations de sécurisation, d’équipements  de confort et de signalétique sur le Chemin de Saint Jacques de Compostelle</t>
  </si>
  <si>
    <t>Communauté de communes Conques-Marcillac</t>
  </si>
  <si>
    <t>Sécurisation, amélioration du confort et mise en valeur patrimoniale du chemin de Saint Jacques, via Podiensis, GR65 sur la portion Conques-Marcillac</t>
  </si>
  <si>
    <t>Conseil départemental de l'Aveyron</t>
  </si>
  <si>
    <t>Sécurisation des randonneurs par la création d’un cheminement piétonnier le long des RD 987 (Cne St Chély d’Aubrac) et  RD 606 (Cne Conques en Rouergue).</t>
  </si>
  <si>
    <t>Communauté d’Agglomération du Grand Cahors</t>
  </si>
  <si>
    <t>Via Podiensis</t>
  </si>
  <si>
    <t>Communauté de Communes du Pays de Saugues</t>
  </si>
  <si>
    <t>Amélioration des services aux pélerins : signalétique et toilettes</t>
  </si>
  <si>
    <t>Communauté de Communes Espalion-Estaing</t>
  </si>
  <si>
    <t xml:space="preserve">Aménagement et valorisation touristique du linéaire de sentier Patrimoine Mondial de l’UNESCO sur la Via Podiensis de St Côme d’Olt à Estaing </t>
  </si>
  <si>
    <t>Communauté de communes du Pays de Lalbenque Limogne</t>
  </si>
  <si>
    <t>Valorisation touristique de la Via Podiensis</t>
  </si>
  <si>
    <t>Communauté de communes de la Terre de Peyre</t>
  </si>
  <si>
    <t>Amélioration de la sécurité et du confort des pélerins sur le territoire de la Terre de Peyre</t>
  </si>
  <si>
    <t>Mise en sécurité et restructuratin du parcours Via Podensis à Carjac</t>
  </si>
  <si>
    <t>COMMUNAUTE DE COMMUNES DU QUERCY BLANC</t>
  </si>
  <si>
    <t>Sécurisation, amélioration du confort et mise en valeur patrimoniale de l’itinéraire Saint Jacques sur la portion Decazeville-Livinhac-le-Haut</t>
  </si>
  <si>
    <t>Communauté de Communes de la Vallée du Lot</t>
  </si>
  <si>
    <t>Valorisation tourisme durable du chemin de Saint-Jacques - Cluny/Lyon Le Puy-en-Velay</t>
  </si>
  <si>
    <t>SIMOLY (Syndicat Intercommunautaire des Monts du Lyonnais)</t>
  </si>
  <si>
    <t>Action collaborative SIMOLY-SOL : signalétique + mobilier – chemin de St Jacques de Compostelle</t>
  </si>
  <si>
    <t>SOL (Syndicat de l'Ouest Lyonnais)</t>
  </si>
  <si>
    <t>Communauté de Communes de l’Emblavez</t>
  </si>
  <si>
    <t>Valorisation du chemin de Saint-Jacques-de-Compostelle Cluny/Lyon Le Puy-en-Velay dans la Communauté de Communes de l’Emblavez</t>
  </si>
  <si>
    <t>Agence de Développement et de Réservation Touristique Loire (ADT42)</t>
  </si>
  <si>
    <t>Valorisation touristique des chemins de Saint-Jacques de Compostelle : Cluny/Le Puy et Lyon/Le Puy</t>
  </si>
  <si>
    <t>Communauté de communes des Vals d'Aix et Isable</t>
  </si>
  <si>
    <t>Grandes itinérances du Massif central. Valorisation du sentier St-Jacques Cluny-Le Puy</t>
  </si>
  <si>
    <t>Mairie de Saint-Haon-le-Châtel</t>
  </si>
  <si>
    <t>Valorisation du sentier Saint-Jacques Cluny-Le Puy</t>
  </si>
  <si>
    <t>Roannais Agglomération</t>
  </si>
  <si>
    <t>Signalétique de randonnée sur le chemin de Saint-Jacques</t>
  </si>
  <si>
    <t>Charlieu-Belmont Communauté</t>
  </si>
  <si>
    <t>Valorisation, sécurisation et comptage du chemin de Saint-Jacques de Compostelle sur le territoire de Charlieu-Belmont Communauté</t>
  </si>
  <si>
    <t>Communauté de communes des Sucs</t>
  </si>
  <si>
    <t>Valorisation du chemin de St-Jacques-de-Compostelle &amp; amélioration de l'accueil des randonneurs sur les territoires des Communautés de communes des Sucs et de Rochebaron à Chalencon</t>
  </si>
  <si>
    <t>Communauté de communes du Pays d’Astrée</t>
  </si>
  <si>
    <t>Valorisation du chemin de St-Jacques de Compostelle sur le territoire du Pays d’Astrée</t>
  </si>
  <si>
    <t>Communauté d'agglomération Loire-Forez</t>
  </si>
  <si>
    <t>Valorisation touristique du chemin de Saint-Jacques de Compostelle  Loire Forez et Pays de Saint-Galmier</t>
  </si>
  <si>
    <t>Communauté de Communes du Pays de Saint Galmier (CCPSG)</t>
  </si>
  <si>
    <t>Communauté de communes de Saint-Bonnet-le-Château</t>
  </si>
  <si>
    <t>Valorisation touristique du chemin de St Jacques de Compostelle – section Pays de St Bonnet le Château</t>
  </si>
  <si>
    <t>CORAM</t>
  </si>
  <si>
    <t>Performance économique et écologique des races locales adaptées à la diversité des territoires du Massif Central</t>
  </si>
  <si>
    <t>UNION AUBRAC</t>
  </si>
  <si>
    <t>Groupe Salers Evolution</t>
  </si>
  <si>
    <t>UPRA LACAUNE</t>
  </si>
  <si>
    <t xml:space="preserve"> ROM Sélection</t>
  </si>
  <si>
    <t>OES OVILOT</t>
  </si>
  <si>
    <t>Assistance technique-Ingénierie Territoriale-Prospective</t>
  </si>
  <si>
    <t>Biodiversité-Milieux ouverts Herbacés-Energie</t>
  </si>
  <si>
    <t>RURENER</t>
  </si>
  <si>
    <t>2017, Année de l'Innovation pour l'énergie rurale</t>
  </si>
  <si>
    <t>Réseau Alternative Forestière</t>
  </si>
  <si>
    <t>Collectif Bois 07</t>
  </si>
  <si>
    <t>Mise en place d’une filière courte écologiquement responsable et socialement solidaire de produits finis et semi-finis en Pin Maritime en Ardèche du Sud</t>
  </si>
  <si>
    <t>ERE 43</t>
  </si>
  <si>
    <t>expérimentations d'exploitation forestières éco-responsables et solidaires visant à améliorer le tri des petits lots et la qualité du sciage</t>
  </si>
  <si>
    <t>Date début operation</t>
  </si>
  <si>
    <t>LPO France - mission rapaces</t>
  </si>
  <si>
    <t>Conservation des grands rapaces nécrophages des milieux ouverts herbacés du Massif central en 2016 et 2017</t>
  </si>
  <si>
    <t>Sauf si réception des lettres des agences de l'eau avant le comité de programmation</t>
  </si>
  <si>
    <t>POI</t>
  </si>
  <si>
    <t>MC0004503</t>
  </si>
  <si>
    <t>Office de Tourisme Les Cheires</t>
  </si>
  <si>
    <t>Pôle Pleine Nature Les Cheires Aydat-Pessade</t>
  </si>
  <si>
    <t>D017b</t>
  </si>
  <si>
    <t>Modification des dates de début et de fin d'opération, ainsi que de la date d'acquittement des factures. Fongibilité des dépenses. Recettes réintégrées dans coût total éligible car déficit de financement sur les 3 premières années : augmentation de la subvention FEDER de 37 821,57.</t>
  </si>
  <si>
    <t>(hors Itinérance)</t>
  </si>
  <si>
    <t>Via Fluvia</t>
  </si>
  <si>
    <t>Saint-Guilhem</t>
  </si>
  <si>
    <t>Cluny/Lyon-Le-Puy-en-Velay</t>
  </si>
  <si>
    <t>Enveloppe FEDER AAP Itinérance</t>
  </si>
  <si>
    <t>FEDER prévisionnel</t>
  </si>
  <si>
    <t>FEDER programmé</t>
  </si>
  <si>
    <t>Reste</t>
  </si>
  <si>
    <t>Retrait/abandon</t>
  </si>
  <si>
    <t>MC0006514</t>
  </si>
  <si>
    <t>Se déplacer autrement en milieu rural c’est possible</t>
  </si>
  <si>
    <t>D099</t>
  </si>
  <si>
    <t>MC0003811</t>
  </si>
  <si>
    <t>Communauté de communes de la Vallée de l'Ance</t>
  </si>
  <si>
    <t>Etude de faisabilité et conception d'un sentier d'interprétation, de valorisation et de sensibilisation à la rivière et aux milieux aquatiques</t>
  </si>
  <si>
    <t>D153c</t>
  </si>
  <si>
    <t>MC0003717</t>
  </si>
  <si>
    <t>Conseil régional de Languedoc-Roussillon</t>
  </si>
  <si>
    <t>Desserte routière interrégionale Mende-Clermont-Ferrand/Mende-Saint-Chély-d'Apcher/Saint-Chély-d'Apcher-Millau</t>
  </si>
  <si>
    <t>D004</t>
  </si>
  <si>
    <t>D140</t>
  </si>
  <si>
    <t>Le Mat 07</t>
  </si>
  <si>
    <t>Développement et diffusion des pratiques d’un Compagnonnage Alternatif dans le Massif Central</t>
  </si>
  <si>
    <t>via fluvia</t>
  </si>
  <si>
    <t>cluny</t>
  </si>
  <si>
    <t>podiensis</t>
  </si>
  <si>
    <t>stguilhem</t>
  </si>
  <si>
    <t>MC0003714</t>
  </si>
  <si>
    <t>Conservatoire des Espaces Naturels Rhône-Alpes</t>
  </si>
  <si>
    <t>Milieux ouverts thermophiles du Massif central</t>
  </si>
  <si>
    <t>D002</t>
  </si>
  <si>
    <t>MC0005011</t>
  </si>
  <si>
    <t>Conservatoire des Espaces Naturels d'Auvergne</t>
  </si>
  <si>
    <t>Projet Massif central MOH. Trame agropastorale thermophile et Maculinea</t>
  </si>
  <si>
    <t>D008a</t>
  </si>
  <si>
    <t>D008b</t>
  </si>
  <si>
    <t>MC0004711</t>
  </si>
  <si>
    <t>Outils pour identifier et caractériser les forêts anciennes du Massif central</t>
  </si>
  <si>
    <t>D086</t>
  </si>
  <si>
    <t>MC0005122</t>
  </si>
  <si>
    <t>MC0007181</t>
  </si>
  <si>
    <t>D185e2</t>
  </si>
  <si>
    <t>Le porteur de projets se retire, ne pouvant mener à bien son opération sans financement européen. Il a été orienté vers le LEADER qui pourrait financer ce type d'initiative locale</t>
  </si>
  <si>
    <t>MC0005074</t>
  </si>
  <si>
    <t>Société d’Economie Mixte de Prabouré</t>
  </si>
  <si>
    <t>Création du Parc d’Activités de Montagne de Prabouré</t>
  </si>
  <si>
    <t>D022c</t>
  </si>
  <si>
    <t>Communauté de Communes Causses Aigoual Cévennes Terres Solidaires</t>
  </si>
  <si>
    <t>Pôle Nature 4 saisons du Massif de l'Aigoual, territoire d'expériences pleine nature au cœur des Cévennes</t>
  </si>
  <si>
    <t>D023</t>
  </si>
  <si>
    <t>MC0006495</t>
  </si>
  <si>
    <t>Parc naturel régional du Morvan</t>
  </si>
  <si>
    <t>Cols et routes cyclotouristiques en Morvan</t>
  </si>
  <si>
    <t>D037h</t>
  </si>
  <si>
    <t>MC0004772</t>
  </si>
  <si>
    <t>Groupement d'intérêt public interrégional pour le développement du Massif central (GIP Massif central)</t>
  </si>
  <si>
    <t xml:space="preserve">Projet partenarial de création, développement et animation d’une plateforme « Dynamiques territoriales du Massif central </t>
  </si>
  <si>
    <t>D091a</t>
  </si>
  <si>
    <t>Institut d’Auvergne du Développement des Territoires (GIP IADT)</t>
  </si>
  <si>
    <t>D091b</t>
  </si>
  <si>
    <t>IRSTEA Grenoble</t>
  </si>
  <si>
    <t>D091c</t>
  </si>
  <si>
    <t>CIMAC</t>
  </si>
  <si>
    <t>D145</t>
  </si>
  <si>
    <t>CPPARM</t>
  </si>
  <si>
    <t>Mission pour la gestion durable de la ressource gentiane dans le Massif central</t>
  </si>
  <si>
    <t>MC0003708</t>
  </si>
  <si>
    <t>Pôle Nature 4 saisons du Massif de l’Aigoual, territoire d’expériences pleine nature entre Causses et Cévennes</t>
  </si>
  <si>
    <t>D148</t>
  </si>
  <si>
    <t>D158g</t>
  </si>
  <si>
    <t>EPLEFPA Brioude-Bonnefont</t>
  </si>
  <si>
    <t>Melibio</t>
  </si>
  <si>
    <t>D158m</t>
  </si>
  <si>
    <t>La région AURA ne participera pas au financement du projet. Le FNADT compense les 5 000 € non financé.</t>
  </si>
  <si>
    <t>En l'absence de cofinancements régionaux, l'Etat double la subvention initiale de 6 055 €</t>
  </si>
  <si>
    <t>En l'absence de cofinancements régionaux, l'Etat double la subvention initiale de 10 979 €</t>
  </si>
  <si>
    <t>Retrait du régime d'état notifié initialement SA43197 (infrastructures sportives) : le régime ne s'applique pas : clientèle essentiellement locale (bassino de Nîmes, Montepllier) ne distordant pas la concurrence entre les Etats membres. Pôle de pleine nature situé en zone rurale. De faible ampleur tant en termes de surface que d'ETP, le territoire reste peu susceptibles d'attirer des investisseurs ou prestataires de services transnationaux.</t>
  </si>
  <si>
    <t>Modification de la date de fin du projet portée du 31/08/2016 au 15/11/2016.</t>
  </si>
  <si>
    <t>1-Favorable</t>
  </si>
  <si>
    <t>D156a</t>
  </si>
  <si>
    <t>2-Favorable sous réserve</t>
  </si>
  <si>
    <t>D156b</t>
  </si>
  <si>
    <t>D156c</t>
  </si>
  <si>
    <t>D156d</t>
  </si>
  <si>
    <t>D156e</t>
  </si>
  <si>
    <t>D156f</t>
  </si>
  <si>
    <t>D156g</t>
  </si>
  <si>
    <t>D156h</t>
  </si>
  <si>
    <t>D156i</t>
  </si>
  <si>
    <t>D156j</t>
  </si>
  <si>
    <t>D169a</t>
  </si>
  <si>
    <t>D169b</t>
  </si>
  <si>
    <t>D169c</t>
  </si>
  <si>
    <t>D169d</t>
  </si>
  <si>
    <t>D169e</t>
  </si>
  <si>
    <t>D169f</t>
  </si>
  <si>
    <t>D172a</t>
  </si>
  <si>
    <t>D172b</t>
  </si>
  <si>
    <t>D172c</t>
  </si>
  <si>
    <t>D172d</t>
  </si>
  <si>
    <t>D172e</t>
  </si>
  <si>
    <t>D172f</t>
  </si>
  <si>
    <t>D172g</t>
  </si>
  <si>
    <t>D172j</t>
  </si>
  <si>
    <t>D172l</t>
  </si>
  <si>
    <t>D172m</t>
  </si>
  <si>
    <t>D173a</t>
  </si>
  <si>
    <t>D173b</t>
  </si>
  <si>
    <t>D173c</t>
  </si>
  <si>
    <t>D173d</t>
  </si>
  <si>
    <t>D173e</t>
  </si>
  <si>
    <t>D173f</t>
  </si>
  <si>
    <t>D173g</t>
  </si>
  <si>
    <t>D173h</t>
  </si>
  <si>
    <t>D173i</t>
  </si>
  <si>
    <t>D173j</t>
  </si>
  <si>
    <t>D173k</t>
  </si>
  <si>
    <t>D173l</t>
  </si>
  <si>
    <t>D173m</t>
  </si>
  <si>
    <t>D173n</t>
  </si>
  <si>
    <t>D173o</t>
  </si>
  <si>
    <t>D173p</t>
  </si>
  <si>
    <t>D173q</t>
  </si>
  <si>
    <t>D173r</t>
  </si>
  <si>
    <t>D173s</t>
  </si>
  <si>
    <t>D173t</t>
  </si>
  <si>
    <t>D155a</t>
  </si>
  <si>
    <t>D155b</t>
  </si>
  <si>
    <t>D155e</t>
  </si>
  <si>
    <t>D155f</t>
  </si>
  <si>
    <t>D155i</t>
  </si>
  <si>
    <t>D155j</t>
  </si>
  <si>
    <t>D155k</t>
  </si>
  <si>
    <t>D155l</t>
  </si>
  <si>
    <t>D155m</t>
  </si>
  <si>
    <t>D155n</t>
  </si>
  <si>
    <t>D165</t>
  </si>
  <si>
    <t>5-Défavorable</t>
  </si>
  <si>
    <t>D171</t>
  </si>
  <si>
    <t>D174</t>
  </si>
  <si>
    <t>MC0006363</t>
  </si>
  <si>
    <t>MC0005169</t>
  </si>
  <si>
    <t>MC0006813</t>
  </si>
  <si>
    <t>4-Ajournement</t>
  </si>
  <si>
    <t>MC0006814</t>
  </si>
  <si>
    <t>MC0006915</t>
  </si>
  <si>
    <t>D190</t>
  </si>
  <si>
    <t>D168a</t>
  </si>
  <si>
    <t>D168b</t>
  </si>
  <si>
    <t>D168c</t>
  </si>
  <si>
    <t>D168d</t>
  </si>
  <si>
    <t>D168e</t>
  </si>
  <si>
    <t>D168f</t>
  </si>
  <si>
    <t>D168g</t>
  </si>
  <si>
    <t>MC0006335</t>
  </si>
  <si>
    <t>MC0006651</t>
  </si>
  <si>
    <t>MC0006652</t>
  </si>
  <si>
    <t>MC0006653</t>
  </si>
  <si>
    <t>MC0006654</t>
  </si>
  <si>
    <t>MC0006655</t>
  </si>
  <si>
    <t>D149a</t>
  </si>
  <si>
    <t>D149b</t>
  </si>
  <si>
    <t>D149c</t>
  </si>
  <si>
    <t>D167a</t>
  </si>
  <si>
    <t>D167b</t>
  </si>
  <si>
    <t>D167c</t>
  </si>
  <si>
    <t>D167d</t>
  </si>
  <si>
    <t>MC0008565</t>
  </si>
  <si>
    <t>MC0006647</t>
  </si>
  <si>
    <t>MC0006648</t>
  </si>
  <si>
    <t>MC0006649</t>
  </si>
  <si>
    <t>MC0006650</t>
  </si>
  <si>
    <t>D181</t>
  </si>
  <si>
    <t>MC0007270</t>
  </si>
  <si>
    <t>MC0007271</t>
  </si>
  <si>
    <t>MC0007272</t>
  </si>
  <si>
    <t>MC0007174</t>
  </si>
  <si>
    <t>MC0007175</t>
  </si>
  <si>
    <t>MC0007177</t>
  </si>
  <si>
    <t>MC0007178</t>
  </si>
  <si>
    <t>MC0007182</t>
  </si>
  <si>
    <t>MC0007183</t>
  </si>
  <si>
    <t>MC0007184</t>
  </si>
  <si>
    <t>MC0007186</t>
  </si>
  <si>
    <t>MC0007187</t>
  </si>
  <si>
    <t>MC0008248</t>
  </si>
  <si>
    <t>MC0008249</t>
  </si>
  <si>
    <t>MC0008250</t>
  </si>
  <si>
    <t>MC0008251</t>
  </si>
  <si>
    <t>MC0008253</t>
  </si>
  <si>
    <t>MC0008254</t>
  </si>
  <si>
    <t>MC0008255</t>
  </si>
  <si>
    <t>MC0008256</t>
  </si>
  <si>
    <t>MC0008258</t>
  </si>
  <si>
    <t>MC0008259</t>
  </si>
  <si>
    <t>MC0008261</t>
  </si>
  <si>
    <t>MC0008262</t>
  </si>
  <si>
    <t>MC0008263</t>
  </si>
  <si>
    <t>MC0008264</t>
  </si>
  <si>
    <t>MC0007395</t>
  </si>
  <si>
    <t>D182</t>
  </si>
  <si>
    <t>Avis défavorable pour l'attribution de FEDER. La structure n'a pas la capacité administrative et financière pour gérer des crédits européens.</t>
  </si>
  <si>
    <t>Avis favorable sous réserve pour la programmation sans crédit FEDER.</t>
  </si>
  <si>
    <t>De la forêt aux usages : comment monter des filières éthiques et écologiques</t>
  </si>
  <si>
    <t>D188b</t>
  </si>
  <si>
    <t>Surveillance approfondie contre les pullulations de Campagnol terrestre sur l’Aubrac</t>
  </si>
  <si>
    <t>D194</t>
  </si>
  <si>
    <t>USC 1233 INRA-VetAgro Sup « Rongeurs Sauvages-Risques Sanitaires et Gestion des Populations </t>
  </si>
  <si>
    <t>Développement de nouvelles molécules campagnolicides écocompatibles</t>
  </si>
  <si>
    <t>MC0008386</t>
  </si>
  <si>
    <t>Recherche d'un modèle économique pour la valorisation des produits issus des systèmes herbagers du Massif central</t>
  </si>
  <si>
    <t>Energie</t>
  </si>
  <si>
    <t>Biodiversité</t>
  </si>
  <si>
    <t>Services Environnementaux</t>
  </si>
  <si>
    <t>Pas d'aide d'état</t>
  </si>
  <si>
    <t>Applicaiton du régime de minimis sur le dossier de Prabouré, afin d'être en cohérence avec la convention d'attribution de l'aide de la région Auvergne (subvention 2015). De ce fait, les recettes prévisionnelles sont réintégrées au coût total éligible (+ 7 500 €). Le FEDER augmente de 2 187,25 €.</t>
  </si>
  <si>
    <t>D172h</t>
  </si>
  <si>
    <t>D172i</t>
  </si>
  <si>
    <t>D172k</t>
  </si>
  <si>
    <t>Chambre d'agricutlure de la Lozère</t>
  </si>
  <si>
    <t>A la demande du mâitre d'ouvrage, le taux FEDER est porté à 40 % (maximum prévu à l'AAP PPN 2015) contre 35,51 % initialement (+3 259,44€). Prorogation de l'opération jusqu'au 30/06/2017.</t>
  </si>
  <si>
    <t xml:space="preserve">REPORT PROG DE NOVEMBRE. Plafonner dépenses de personnel. </t>
  </si>
  <si>
    <t>Passage St Guilhem en Novembre</t>
  </si>
  <si>
    <t>retravaillé après avis COFIMAC</t>
  </si>
  <si>
    <t>recrutement avec l'ensemble du partenariat</t>
  </si>
  <si>
    <t>Précisions attendues, et plan de financement à affiner. Présentation en novembre.</t>
  </si>
  <si>
    <t>revu à la baisse</t>
  </si>
  <si>
    <t>montant a bougé</t>
  </si>
  <si>
    <t xml:space="preserve"> Yssingeaux : 28838,91</t>
  </si>
  <si>
    <t>Salers evolution, CORAM, ROM Selection : montants  OK</t>
  </si>
  <si>
    <t>Occitanie : CORAM 8412 AUBRAC 67000 ACOM 37000 ROM Selection 11495</t>
  </si>
  <si>
    <t>NA = 12000 ROM Selction</t>
  </si>
  <si>
    <t>Manquera 50000€ au CORAM mais structure devrait s'adapter</t>
  </si>
  <si>
    <t>novembre / engagement MAAF</t>
  </si>
  <si>
    <t xml:space="preserve">pole nature carladès </t>
  </si>
  <si>
    <t>nouveaux montants éligibles baisse FNADT</t>
  </si>
  <si>
    <t>Cévennes éco tourisme</t>
  </si>
  <si>
    <t>Actions prototypage limitée  suite prochain projet</t>
  </si>
  <si>
    <t>dépôt dossier démonstrateur avant cloture projet en cours</t>
  </si>
  <si>
    <t>VALIDE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</si>
</sst>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C]d\ mmmm\ yyyy;@"/>
    <numFmt numFmtId="165" formatCode="[$-40C]d\-mmm\-yyyy;@"/>
  </numFmts>
  <fonts count="17" x14ac:knownFonts="1">
    <font>
      <sz val="11"/>
      <color theme="1"/>
      <name val="Calibri"/>
      <family val="2"/>
      <scheme val="minor"/>
    </font>
    <font>
      <b/>
      <sz val="11"/>
      <color theme="1"/>
      <name val="Calibri"/>
      <family val="2"/>
      <scheme val="minor"/>
    </font>
    <font>
      <sz val="11"/>
      <color theme="1"/>
      <name val="Calibri"/>
      <family val="2"/>
      <scheme val="minor"/>
    </font>
    <font>
      <i/>
      <sz val="9"/>
      <color theme="1"/>
      <name val="Calibri"/>
      <family val="2"/>
      <scheme val="minor"/>
    </font>
    <font>
      <b/>
      <sz val="12"/>
      <color theme="1"/>
      <name val="Calibri"/>
      <family val="2"/>
      <scheme val="minor"/>
    </font>
    <font>
      <b/>
      <sz val="14"/>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Calibri"/>
      <family val="2"/>
      <scheme val="minor"/>
    </font>
    <font>
      <sz val="11"/>
      <name val="Calibri"/>
      <family val="2"/>
      <scheme val="minor"/>
    </font>
    <font>
      <b/>
      <sz val="11"/>
      <name val="Calibri"/>
      <family val="2"/>
      <scheme val="minor"/>
    </font>
    <font>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8" tint="0.79998168889431442"/>
        <bgColor theme="8" tint="0.79998168889431442"/>
      </patternFill>
    </fill>
    <fill>
      <patternFill patternType="solid">
        <fgColor theme="8"/>
        <bgColor theme="8"/>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s>
  <borders count="10">
    <border>
      <left/>
      <right/>
      <top/>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top style="double">
        <color theme="8"/>
      </top>
      <bottom style="thin">
        <color theme="8" tint="0.39997558519241921"/>
      </bottom>
      <diagonal/>
    </border>
    <border>
      <left/>
      <right style="thin">
        <color theme="8" tint="0.39997558519241921"/>
      </right>
      <top style="double">
        <color theme="8"/>
      </top>
      <bottom style="thin">
        <color theme="8"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8" tint="0.39997558519241921"/>
      </top>
      <bottom style="double">
        <color theme="8" tint="0.39994506668294322"/>
      </bottom>
      <diagonal/>
    </border>
    <border>
      <left/>
      <right style="thin">
        <color theme="8" tint="0.39997558519241921"/>
      </right>
      <top/>
      <bottom style="thin">
        <color theme="8" tint="0.39997558519241921"/>
      </bottom>
      <diagonal/>
    </border>
    <border>
      <left/>
      <right style="thin">
        <color theme="4" tint="0.39997558519241921"/>
      </right>
      <top style="double">
        <color theme="4"/>
      </top>
      <bottom style="thin">
        <color theme="4" tint="0.39997558519241921"/>
      </bottom>
      <diagonal/>
    </border>
  </borders>
  <cellStyleXfs count="1">
    <xf numFmtId="0" fontId="0" fillId="0" borderId="0"/>
  </cellStyleXfs>
  <cellXfs count="130">
    <xf numFmtId="0" fontId="0" fillId="0" borderId="0" xfId="0"/>
    <xf numFmtId="0" fontId="1" fillId="0" borderId="0" xfId="0" applyFont="1"/>
    <xf numFmtId="0" fontId="1" fillId="0" borderId="0" xfId="0" applyFont="1" applyAlignment="1">
      <alignment wrapText="1"/>
    </xf>
    <xf numFmtId="0" fontId="0" fillId="0" borderId="0" xfId="0" applyFont="1"/>
    <xf numFmtId="0" fontId="0" fillId="0" borderId="0" xfId="0" applyFont="1" applyAlignment="1">
      <alignment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4" fontId="0" fillId="0" borderId="0" xfId="0" applyNumberFormat="1" applyFont="1" applyAlignment="1">
      <alignment vertical="center"/>
    </xf>
    <xf numFmtId="10" fontId="0" fillId="0" borderId="0" xfId="0" applyNumberFormat="1"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4" fontId="0" fillId="0" borderId="0" xfId="0" applyNumberFormat="1"/>
    <xf numFmtId="4" fontId="2" fillId="0" borderId="0" xfId="0" applyNumberFormat="1" applyFont="1" applyAlignment="1">
      <alignment vertical="center"/>
    </xf>
    <xf numFmtId="10"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xf numFmtId="4" fontId="3" fillId="0" borderId="0" xfId="0" applyNumberFormat="1" applyFont="1"/>
    <xf numFmtId="0" fontId="4" fillId="0" borderId="0" xfId="0" applyFont="1" applyAlignment="1">
      <alignment wrapText="1"/>
    </xf>
    <xf numFmtId="0" fontId="5" fillId="0" borderId="0" xfId="0" applyFont="1" applyAlignment="1">
      <alignment horizontal="left" wrapText="1"/>
    </xf>
    <xf numFmtId="164" fontId="5" fillId="0" borderId="0" xfId="0" applyNumberFormat="1" applyFont="1" applyAlignment="1">
      <alignment horizontal="left" vertical="center" wrapText="1"/>
    </xf>
    <xf numFmtId="165" fontId="1" fillId="0" borderId="0" xfId="0" applyNumberFormat="1" applyFont="1"/>
    <xf numFmtId="0" fontId="0" fillId="2" borderId="1" xfId="0" applyFont="1" applyFill="1" applyBorder="1" applyAlignment="1">
      <alignment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wrapText="1"/>
    </xf>
    <xf numFmtId="0" fontId="0" fillId="2" borderId="1" xfId="0" applyFont="1" applyFill="1" applyBorder="1" applyAlignment="1">
      <alignment wrapText="1"/>
    </xf>
    <xf numFmtId="0" fontId="1" fillId="0" borderId="3" xfId="0" applyFont="1" applyBorder="1" applyAlignment="1">
      <alignment vertical="center"/>
    </xf>
    <xf numFmtId="0" fontId="1" fillId="0" borderId="4" xfId="0" applyFont="1" applyBorder="1"/>
    <xf numFmtId="0" fontId="6"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0" borderId="0" xfId="0" applyAlignment="1" applyProtection="1">
      <alignment vertical="center"/>
      <protection locked="0"/>
    </xf>
    <xf numFmtId="0" fontId="5" fillId="0" borderId="0" xfId="0" applyFont="1" applyAlignment="1" applyProtection="1">
      <alignment horizontal="left" wrapText="1"/>
      <protection locked="0"/>
    </xf>
    <xf numFmtId="164" fontId="5" fillId="0" borderId="0" xfId="0" applyNumberFormat="1" applyFont="1" applyAlignment="1" applyProtection="1">
      <alignment horizontal="left" vertical="center" wrapText="1"/>
      <protection locked="0"/>
    </xf>
    <xf numFmtId="0" fontId="0" fillId="0" borderId="0" xfId="0" applyProtection="1">
      <protection locked="0"/>
    </xf>
    <xf numFmtId="4" fontId="0" fillId="0" borderId="0" xfId="0" applyNumberFormat="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4" fontId="0" fillId="0" borderId="0" xfId="0" applyNumberFormat="1" applyAlignment="1" applyProtection="1">
      <alignment horizontal="center" vertical="center" wrapText="1"/>
      <protection locked="0"/>
    </xf>
    <xf numFmtId="0" fontId="0" fillId="0" borderId="0" xfId="0" applyAlignment="1" applyProtection="1">
      <alignment vertical="center" wrapText="1"/>
      <protection locked="0"/>
    </xf>
    <xf numFmtId="4" fontId="0" fillId="0" borderId="0" xfId="0" applyNumberFormat="1" applyAlignment="1" applyProtection="1">
      <alignment vertical="center" wrapText="1"/>
      <protection locked="0"/>
    </xf>
    <xf numFmtId="10" fontId="0" fillId="0" borderId="0" xfId="0" applyNumberFormat="1" applyAlignment="1" applyProtection="1">
      <alignment vertical="center" wrapText="1"/>
      <protection locked="0"/>
    </xf>
    <xf numFmtId="4" fontId="0" fillId="0" borderId="0" xfId="0" applyNumberFormat="1" applyFill="1" applyAlignment="1" applyProtection="1">
      <alignment vertical="center" wrapText="1"/>
      <protection locked="0"/>
    </xf>
    <xf numFmtId="0" fontId="2" fillId="0" borderId="0" xfId="0" applyFont="1" applyAlignment="1" applyProtection="1">
      <alignment vertical="center"/>
      <protection locked="0"/>
    </xf>
    <xf numFmtId="0" fontId="0" fillId="0" borderId="0" xfId="0" applyFill="1" applyAlignment="1" applyProtection="1">
      <alignment vertical="center" wrapText="1"/>
      <protection locked="0"/>
    </xf>
    <xf numFmtId="0" fontId="0" fillId="0" borderId="0" xfId="0" applyFont="1" applyProtection="1">
      <protection locked="0"/>
    </xf>
    <xf numFmtId="4" fontId="0" fillId="0" borderId="6" xfId="0" applyNumberFormat="1" applyFont="1" applyBorder="1" applyAlignment="1">
      <alignment vertical="center" wrapText="1"/>
    </xf>
    <xf numFmtId="0" fontId="0" fillId="4" borderId="6" xfId="0" applyFont="1" applyFill="1" applyBorder="1" applyAlignment="1">
      <alignment vertical="center" wrapText="1"/>
    </xf>
    <xf numFmtId="0" fontId="0" fillId="0" borderId="6" xfId="0" applyFont="1" applyBorder="1" applyAlignment="1">
      <alignment vertical="center" wrapText="1"/>
    </xf>
    <xf numFmtId="0" fontId="0" fillId="2" borderId="2" xfId="0" applyFont="1" applyFill="1" applyBorder="1" applyAlignment="1">
      <alignment vertical="center"/>
    </xf>
    <xf numFmtId="4" fontId="0" fillId="0" borderId="0" xfId="0" applyNumberFormat="1" applyFont="1" applyFill="1" applyAlignment="1">
      <alignment vertical="center"/>
    </xf>
    <xf numFmtId="4" fontId="0" fillId="4" borderId="6" xfId="0" applyNumberFormat="1" applyFont="1" applyFill="1" applyBorder="1" applyAlignment="1">
      <alignment vertical="center" wrapText="1"/>
    </xf>
    <xf numFmtId="4" fontId="2" fillId="0" borderId="0" xfId="0" applyNumberFormat="1" applyFont="1" applyFill="1" applyAlignment="1">
      <alignment vertical="center"/>
    </xf>
    <xf numFmtId="10" fontId="2" fillId="0" borderId="0" xfId="0" applyNumberFormat="1" applyFont="1" applyFill="1" applyAlignment="1">
      <alignment horizontal="center" vertical="center"/>
    </xf>
    <xf numFmtId="4" fontId="0" fillId="0" borderId="0" xfId="0" applyNumberFormat="1" applyFont="1"/>
    <xf numFmtId="4" fontId="0" fillId="0" borderId="0" xfId="0" applyNumberFormat="1" applyFont="1" applyAlignment="1">
      <alignment horizontal="center" vertical="center"/>
    </xf>
    <xf numFmtId="14" fontId="8" fillId="0" borderId="0" xfId="0" applyNumberFormat="1" applyFont="1"/>
    <xf numFmtId="0" fontId="2" fillId="0" borderId="0" xfId="0" applyFont="1" applyFill="1" applyAlignment="1">
      <alignment vertical="center" wrapText="1"/>
    </xf>
    <xf numFmtId="0" fontId="0" fillId="0" borderId="0" xfId="0" applyFont="1" applyFill="1" applyAlignment="1">
      <alignment vertical="center" wrapText="1"/>
    </xf>
    <xf numFmtId="10" fontId="0" fillId="0" borderId="0" xfId="0" applyNumberFormat="1" applyFont="1" applyFill="1" applyAlignment="1">
      <alignment horizontal="center" vertical="center"/>
    </xf>
    <xf numFmtId="0" fontId="6" fillId="3" borderId="1" xfId="0" applyNumberFormat="1" applyFont="1" applyFill="1" applyBorder="1" applyAlignment="1">
      <alignment horizontal="center" vertical="center" wrapText="1"/>
    </xf>
    <xf numFmtId="0" fontId="0" fillId="2" borderId="1" xfId="0" applyNumberFormat="1" applyFont="1" applyFill="1" applyBorder="1" applyAlignment="1">
      <alignment vertical="center"/>
    </xf>
    <xf numFmtId="0" fontId="0" fillId="0" borderId="1" xfId="0" applyNumberFormat="1" applyFont="1" applyBorder="1" applyAlignment="1">
      <alignment vertical="center"/>
    </xf>
    <xf numFmtId="0" fontId="1" fillId="0" borderId="3" xfId="0" applyNumberFormat="1" applyFont="1" applyBorder="1" applyAlignment="1">
      <alignment vertical="center"/>
    </xf>
    <xf numFmtId="14" fontId="9" fillId="0" borderId="0" xfId="0" applyNumberFormat="1" applyFont="1" applyAlignment="1">
      <alignment horizontal="center" vertical="center"/>
    </xf>
    <xf numFmtId="14" fontId="0" fillId="0" borderId="0" xfId="0" applyNumberFormat="1" applyFont="1" applyAlignment="1">
      <alignment horizontal="center" vertical="center"/>
    </xf>
    <xf numFmtId="0" fontId="0" fillId="0" borderId="7" xfId="0" applyFont="1" applyBorder="1" applyAlignment="1">
      <alignment vertical="center"/>
    </xf>
    <xf numFmtId="0" fontId="1" fillId="0" borderId="8" xfId="0" applyFont="1" applyBorder="1"/>
    <xf numFmtId="0" fontId="0" fillId="2" borderId="2" xfId="0" applyFont="1" applyFill="1" applyBorder="1" applyAlignment="1">
      <alignment vertical="center" wrapText="1"/>
    </xf>
    <xf numFmtId="0" fontId="6" fillId="3" borderId="2" xfId="0" applyFont="1" applyFill="1" applyBorder="1" applyAlignment="1">
      <alignment horizontal="center" vertical="center" wrapText="1"/>
    </xf>
    <xf numFmtId="0" fontId="0" fillId="0" borderId="2" xfId="0" applyFont="1" applyBorder="1" applyAlignment="1">
      <alignment vertical="center" wrapText="1"/>
    </xf>
    <xf numFmtId="0" fontId="1" fillId="0" borderId="4" xfId="0" applyFont="1" applyBorder="1" applyAlignment="1">
      <alignment wrapText="1"/>
    </xf>
    <xf numFmtId="4" fontId="1" fillId="0" borderId="0" xfId="0" applyNumberFormat="1" applyFont="1"/>
    <xf numFmtId="4" fontId="1" fillId="0" borderId="0" xfId="0" applyNumberFormat="1" applyFont="1" applyAlignment="1"/>
    <xf numFmtId="4" fontId="1" fillId="0" borderId="0" xfId="0" applyNumberFormat="1" applyFont="1" applyAlignment="1">
      <alignment horizontal="center"/>
    </xf>
    <xf numFmtId="0" fontId="0" fillId="0" borderId="0" xfId="0" applyFont="1" applyAlignment="1" applyProtection="1">
      <alignment vertical="center"/>
      <protection locked="0"/>
    </xf>
    <xf numFmtId="0" fontId="1" fillId="0" borderId="0" xfId="0" applyFont="1" applyAlignment="1">
      <alignment horizontal="center" vertical="center"/>
    </xf>
    <xf numFmtId="0" fontId="1" fillId="0" borderId="9" xfId="0" applyFont="1" applyBorder="1" applyAlignment="1">
      <alignment vertical="center" wrapText="1"/>
    </xf>
    <xf numFmtId="0" fontId="10" fillId="0" borderId="0" xfId="0" applyFont="1" applyAlignment="1" applyProtection="1">
      <alignment vertical="center"/>
      <protection locked="0"/>
    </xf>
    <xf numFmtId="4" fontId="0" fillId="2" borderId="2" xfId="0" applyNumberFormat="1" applyFont="1" applyFill="1" applyBorder="1" applyAlignment="1">
      <alignment vertical="center"/>
    </xf>
    <xf numFmtId="4" fontId="0" fillId="0" borderId="2" xfId="0" applyNumberFormat="1" applyFont="1" applyBorder="1" applyAlignment="1">
      <alignment vertical="center"/>
    </xf>
    <xf numFmtId="0" fontId="1" fillId="0" borderId="4" xfId="0" applyFont="1" applyBorder="1" applyAlignment="1">
      <alignment vertical="center"/>
    </xf>
    <xf numFmtId="0" fontId="0" fillId="4" borderId="6" xfId="0" applyFont="1" applyFill="1" applyBorder="1" applyAlignment="1">
      <alignment vertical="center"/>
    </xf>
    <xf numFmtId="0" fontId="0" fillId="0" borderId="6" xfId="0" applyFont="1" applyBorder="1" applyAlignment="1">
      <alignment vertical="center"/>
    </xf>
    <xf numFmtId="0" fontId="11" fillId="0" borderId="0" xfId="0" applyFont="1" applyAlignment="1">
      <alignment vertical="center"/>
    </xf>
    <xf numFmtId="0" fontId="11" fillId="0" borderId="0" xfId="0" applyFont="1" applyAlignment="1">
      <alignment vertical="center" wrapText="1"/>
    </xf>
    <xf numFmtId="164" fontId="12" fillId="0" borderId="0" xfId="0" applyNumberFormat="1" applyFont="1" applyAlignment="1">
      <alignment horizontal="left" vertical="center" wrapText="1"/>
    </xf>
    <xf numFmtId="0" fontId="13" fillId="0" borderId="0" xfId="0" applyFont="1"/>
    <xf numFmtId="0" fontId="13" fillId="0" borderId="0" xfId="0" applyFont="1" applyAlignment="1">
      <alignment horizontal="center" vertical="center"/>
    </xf>
    <xf numFmtId="0" fontId="13" fillId="0" borderId="0" xfId="0" applyFont="1" applyAlignment="1">
      <alignment wrapText="1"/>
    </xf>
    <xf numFmtId="0" fontId="14" fillId="0" borderId="0" xfId="0" applyFont="1"/>
    <xf numFmtId="0" fontId="14" fillId="0" borderId="0" xfId="0" applyFont="1" applyAlignment="1">
      <alignment wrapText="1"/>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4" fontId="13" fillId="0" borderId="0" xfId="0" applyNumberFormat="1" applyFont="1" applyAlignment="1">
      <alignment vertical="center"/>
    </xf>
    <xf numFmtId="10" fontId="13" fillId="0" borderId="0" xfId="0" applyNumberFormat="1" applyFont="1" applyAlignment="1">
      <alignment horizontal="center"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2" borderId="2" xfId="0" applyFont="1" applyFill="1" applyBorder="1" applyAlignment="1">
      <alignment vertical="center"/>
    </xf>
    <xf numFmtId="0" fontId="13" fillId="0" borderId="2" xfId="0" applyFont="1" applyBorder="1" applyAlignment="1">
      <alignment vertical="center"/>
    </xf>
    <xf numFmtId="0" fontId="14" fillId="0" borderId="4" xfId="0" applyFont="1" applyBorder="1"/>
    <xf numFmtId="0" fontId="8" fillId="0" borderId="0" xfId="0" applyFont="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vertical="center"/>
    </xf>
    <xf numFmtId="10" fontId="11" fillId="0" borderId="0" xfId="0" applyNumberFormat="1" applyFont="1" applyAlignment="1">
      <alignment horizontal="center" vertical="center"/>
    </xf>
    <xf numFmtId="14" fontId="11" fillId="0" borderId="0" xfId="0" applyNumberFormat="1"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4" fontId="15" fillId="0" borderId="0" xfId="0" applyNumberFormat="1" applyFont="1"/>
    <xf numFmtId="4" fontId="15" fillId="0" borderId="0" xfId="0" applyNumberFormat="1" applyFont="1" applyAlignment="1">
      <alignment horizontal="center" vertical="center"/>
    </xf>
    <xf numFmtId="0" fontId="15" fillId="0" borderId="0" xfId="0" applyFont="1" applyAlignment="1">
      <alignment wrapText="1"/>
    </xf>
    <xf numFmtId="0" fontId="15" fillId="0" borderId="0" xfId="0" applyFont="1"/>
    <xf numFmtId="0" fontId="15" fillId="0" borderId="0" xfId="0" applyFont="1" applyBorder="1" applyAlignment="1">
      <alignment vertical="center"/>
    </xf>
    <xf numFmtId="0" fontId="16" fillId="0" borderId="0" xfId="0" applyFont="1" applyAlignment="1">
      <alignment vertical="center"/>
    </xf>
    <xf numFmtId="0" fontId="16" fillId="0" borderId="0" xfId="0" applyFont="1" applyAlignment="1">
      <alignment vertical="center" wrapText="1"/>
    </xf>
    <xf numFmtId="4" fontId="16" fillId="0" borderId="0" xfId="0" applyNumberFormat="1" applyFont="1"/>
    <xf numFmtId="4" fontId="16" fillId="0" borderId="0" xfId="0" applyNumberFormat="1" applyFont="1" applyAlignment="1">
      <alignment horizontal="center" vertical="center"/>
    </xf>
    <xf numFmtId="0" fontId="16" fillId="0" borderId="0" xfId="0" applyFont="1"/>
    <xf numFmtId="4" fontId="0" fillId="0" borderId="0" xfId="0" applyNumberFormat="1" applyFont="1" applyAlignment="1">
      <alignment horizontal="center" vertical="center"/>
    </xf>
    <xf numFmtId="0" fontId="0" fillId="6" borderId="0" xfId="0" applyFont="1" applyFill="1" applyAlignment="1">
      <alignment vertical="center" wrapText="1"/>
    </xf>
    <xf numFmtId="4" fontId="1" fillId="0" borderId="0" xfId="0" applyNumberFormat="1" applyFont="1" applyAlignment="1">
      <alignment horizontal="center"/>
    </xf>
    <xf numFmtId="0" fontId="1" fillId="0" borderId="0" xfId="0" applyFont="1" applyAlignment="1">
      <alignment horizontal="center" vertical="center"/>
    </xf>
    <xf numFmtId="4" fontId="0" fillId="0" borderId="0" xfId="0" applyNumberFormat="1" applyFont="1" applyAlignment="1">
      <alignment horizontal="center" vertical="center"/>
    </xf>
    <xf numFmtId="0" fontId="12" fillId="0" borderId="0" xfId="0" applyFont="1" applyAlignment="1">
      <alignment horizontal="center" wrapText="1"/>
    </xf>
    <xf numFmtId="0" fontId="1" fillId="0" borderId="0" xfId="0" applyFont="1" applyAlignment="1">
      <alignment horizontal="center"/>
    </xf>
  </cellXfs>
  <cellStyles count="1">
    <cellStyle name="Normal" xfId="0" builtinId="0"/>
  </cellStyles>
  <dxfs count="1458">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protection locked="0" hidden="0"/>
    </dxf>
    <dxf>
      <numFmt numFmtId="0" formatCode="General"/>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protection locked="0" hidden="0"/>
    </dxf>
    <dxf>
      <alignment horizontal="general" vertical="center" textRotation="0" wrapText="0"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1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1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vertical="center" textRotation="0" wrapText="1"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i val="0"/>
        <color rgb="FFFF0000"/>
      </font>
    </dxf>
    <dxf>
      <font>
        <b/>
        <i val="0"/>
        <color rgb="FF00B050"/>
      </font>
    </dxf>
    <dxf>
      <alignment horizontal="general" vertical="center" textRotation="0" wrapText="0" indent="0" justifyLastLine="0" shrinkToFit="0" readingOrder="0"/>
      <protection locked="0" hidden="0"/>
    </dxf>
    <dxf>
      <numFmt numFmtId="0" formatCode="General"/>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protection locked="0" hidden="0"/>
    </dxf>
    <dxf>
      <alignment horizontal="general" vertical="center" textRotation="0" wrapText="0"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1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1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vertical="center" textRotation="0" wrapText="1"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i val="0"/>
        <color rgb="FFFF0000"/>
      </font>
    </dxf>
    <dxf>
      <font>
        <b/>
        <i val="0"/>
        <color rgb="FF00B050"/>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6" tint="0.79998168889431442"/>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6" tint="0.79998168889431442"/>
        </patternFill>
      </fill>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alignment horizontal="general" vertical="center" textRotation="0" indent="0" justifyLastLine="0" shrinkToFit="0" readingOrder="0"/>
    </dxf>
    <dxf>
      <font>
        <strike val="0"/>
        <outline val="0"/>
        <shadow val="0"/>
        <u val="none"/>
        <vertAlign val="baseline"/>
        <sz val="11"/>
        <color theme="0"/>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6" tint="0.79998168889431442"/>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6" tint="0.79998168889431442"/>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theme="6" tint="0.79998168889431442"/>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8" tint="0.39997558519241921"/>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theme="6" tint="0.79998168889431442"/>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theme="6" tint="0.79998168889431442"/>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6" tint="0.79998168889431442"/>
        </patternFill>
      </fill>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theme="6" tint="0.79998168889431442"/>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6" tint="0.79998168889431442"/>
        </patternFill>
      </fill>
    </dxf>
    <dxf>
      <fill>
        <patternFill>
          <bgColor theme="6" tint="0.79998168889431442"/>
        </patternFill>
      </fill>
    </dxf>
    <dxf>
      <font>
        <b/>
        <i val="0"/>
        <color rgb="FFFF0000"/>
      </font>
    </dxf>
    <dxf>
      <font>
        <b/>
        <i val="0"/>
        <color rgb="FFFF0000"/>
      </font>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Programmation - 20 octobre 2016 - Prévisionnel</a:t>
            </a:r>
          </a:p>
        </c:rich>
      </c:tx>
      <c:layout>
        <c:manualLayout>
          <c:xMode val="edge"/>
          <c:yMode val="edge"/>
          <c:x val="1.5003024803387785E-2"/>
          <c:y val="2.3021579256167338E-2"/>
        </c:manualLayout>
      </c:layout>
      <c:overlay val="0"/>
    </c:title>
    <c:autoTitleDeleted val="0"/>
    <c:plotArea>
      <c:layout>
        <c:manualLayout>
          <c:layoutTarget val="inner"/>
          <c:xMode val="edge"/>
          <c:yMode val="edge"/>
          <c:x val="0.18495029319157247"/>
          <c:y val="0.21612700902554671"/>
          <c:w val="0.4886723733036093"/>
          <c:h val="0.77484442306774326"/>
        </c:manualLayout>
      </c:layout>
      <c:pieChart>
        <c:varyColors val="1"/>
        <c:ser>
          <c:idx val="0"/>
          <c:order val="0"/>
          <c:explosion val="25"/>
          <c:dLbls>
            <c:dLbl>
              <c:idx val="0"/>
              <c:layout>
                <c:manualLayout>
                  <c:x val="4.6343175853018372E-2"/>
                  <c:y val="-4.4887722368037328E-2"/>
                </c:manualLayout>
              </c:layout>
              <c:showLegendKey val="0"/>
              <c:showVal val="0"/>
              <c:showCatName val="0"/>
              <c:showSerName val="0"/>
              <c:showPercent val="1"/>
              <c:showBubbleSize val="0"/>
            </c:dLbl>
            <c:dLbl>
              <c:idx val="1"/>
              <c:layout>
                <c:manualLayout>
                  <c:x val="-7.8656701487631653E-2"/>
                  <c:y val="3.6505215505547232E-3"/>
                </c:manualLayout>
              </c:layout>
              <c:showLegendKey val="0"/>
              <c:showVal val="0"/>
              <c:showCatName val="0"/>
              <c:showSerName val="0"/>
              <c:showPercent val="1"/>
              <c:showBubbleSize val="0"/>
            </c:dLbl>
            <c:dLbl>
              <c:idx val="2"/>
              <c:layout>
                <c:manualLayout>
                  <c:x val="-0.11583396449309535"/>
                  <c:y val="4.077357340228125E-2"/>
                </c:manualLayout>
              </c:layout>
              <c:showLegendKey val="0"/>
              <c:showVal val="0"/>
              <c:showCatName val="0"/>
              <c:showSerName val="0"/>
              <c:showPercent val="1"/>
              <c:showBubbleSize val="0"/>
            </c:dLbl>
            <c:dLbl>
              <c:idx val="3"/>
              <c:layout>
                <c:manualLayout>
                  <c:x val="8.2222878390201232E-2"/>
                  <c:y val="-7.0884368620589095E-3"/>
                </c:manualLayout>
              </c:layout>
              <c:showLegendKey val="0"/>
              <c:showVal val="0"/>
              <c:showCatName val="0"/>
              <c:showSerName val="0"/>
              <c:showPercent val="1"/>
              <c:showBubbleSize val="0"/>
            </c:dLbl>
            <c:numFmt formatCode="0.0%" sourceLinked="0"/>
            <c:showLegendKey val="0"/>
            <c:showVal val="0"/>
            <c:showCatName val="0"/>
            <c:showSerName val="0"/>
            <c:showPercent val="1"/>
            <c:showBubbleSize val="0"/>
            <c:showLeaderLines val="1"/>
          </c:dLbls>
          <c:cat>
            <c:strRef>
              <c:f>('Recap Financier'!$C$7,'Recap Financier'!$C$8,'Recap Financier'!$C$9,'Recap Financier'!$C$14)</c:f>
              <c:strCache>
                <c:ptCount val="4"/>
                <c:pt idx="0">
                  <c:v>FEDER</c:v>
                </c:pt>
                <c:pt idx="1">
                  <c:v>Etat</c:v>
                </c:pt>
                <c:pt idx="2">
                  <c:v>Régions</c:v>
                </c:pt>
                <c:pt idx="3">
                  <c:v>Départements</c:v>
                </c:pt>
              </c:strCache>
            </c:strRef>
          </c:cat>
          <c:val>
            <c:numRef>
              <c:f>('Recap Financier'!$D$7,'Recap Financier'!$D$8,'Recap Financier'!$D$9,'Recap Financier'!$D$14)</c:f>
              <c:numCache>
                <c:formatCode>#,##0.00</c:formatCode>
                <c:ptCount val="4"/>
                <c:pt idx="0">
                  <c:v>1782249.4619999998</c:v>
                </c:pt>
                <c:pt idx="1">
                  <c:v>2537802.7929859157</c:v>
                </c:pt>
                <c:pt idx="2">
                  <c:v>1105809.79</c:v>
                </c:pt>
                <c:pt idx="3">
                  <c:v>36479.630000000005</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Programmation - 20 octobre 2016 - Programmés</a:t>
            </a:r>
          </a:p>
        </c:rich>
      </c:tx>
      <c:layout/>
      <c:overlay val="0"/>
    </c:title>
    <c:autoTitleDeleted val="0"/>
    <c:plotArea>
      <c:layout>
        <c:manualLayout>
          <c:layoutTarget val="inner"/>
          <c:xMode val="edge"/>
          <c:yMode val="edge"/>
          <c:x val="0.18495029319157247"/>
          <c:y val="0.21612700902554671"/>
          <c:w val="0.4886723733036093"/>
          <c:h val="0.77484442306774326"/>
        </c:manualLayout>
      </c:layout>
      <c:pieChart>
        <c:varyColors val="1"/>
        <c:ser>
          <c:idx val="0"/>
          <c:order val="0"/>
          <c:explosion val="25"/>
          <c:dLbls>
            <c:dLbl>
              <c:idx val="0"/>
              <c:layout>
                <c:manualLayout>
                  <c:x val="4.6343175853018372E-2"/>
                  <c:y val="-4.4887722368037328E-2"/>
                </c:manualLayout>
              </c:layout>
              <c:showLegendKey val="0"/>
              <c:showVal val="0"/>
              <c:showCatName val="0"/>
              <c:showSerName val="0"/>
              <c:showPercent val="1"/>
              <c:showBubbleSize val="0"/>
            </c:dLbl>
            <c:dLbl>
              <c:idx val="1"/>
              <c:layout>
                <c:manualLayout>
                  <c:x val="-7.8656701487631653E-2"/>
                  <c:y val="3.6505215505547232E-3"/>
                </c:manualLayout>
              </c:layout>
              <c:showLegendKey val="0"/>
              <c:showVal val="0"/>
              <c:showCatName val="0"/>
              <c:showSerName val="0"/>
              <c:showPercent val="1"/>
              <c:showBubbleSize val="0"/>
            </c:dLbl>
            <c:dLbl>
              <c:idx val="2"/>
              <c:layout>
                <c:manualLayout>
                  <c:x val="-0.11583396449309535"/>
                  <c:y val="4.077357340228125E-2"/>
                </c:manualLayout>
              </c:layout>
              <c:showLegendKey val="0"/>
              <c:showVal val="0"/>
              <c:showCatName val="0"/>
              <c:showSerName val="0"/>
              <c:showPercent val="1"/>
              <c:showBubbleSize val="0"/>
            </c:dLbl>
            <c:dLbl>
              <c:idx val="3"/>
              <c:layout>
                <c:manualLayout>
                  <c:x val="8.2222878390201232E-2"/>
                  <c:y val="-7.0884368620589095E-3"/>
                </c:manualLayout>
              </c:layout>
              <c:showLegendKey val="0"/>
              <c:showVal val="0"/>
              <c:showCatName val="0"/>
              <c:showSerName val="0"/>
              <c:showPercent val="1"/>
              <c:showBubbleSize val="0"/>
            </c:dLbl>
            <c:numFmt formatCode="0.0%" sourceLinked="0"/>
            <c:showLegendKey val="0"/>
            <c:showVal val="0"/>
            <c:showCatName val="0"/>
            <c:showSerName val="0"/>
            <c:showPercent val="1"/>
            <c:showBubbleSize val="0"/>
            <c:showLeaderLines val="1"/>
          </c:dLbls>
          <c:cat>
            <c:strRef>
              <c:f>('Recap Financier'!$K$7,'Recap Financier'!$K$8,'Recap Financier'!$K$9,'Recap Financier'!$K$14)</c:f>
              <c:strCache>
                <c:ptCount val="4"/>
                <c:pt idx="0">
                  <c:v>FEDER</c:v>
                </c:pt>
                <c:pt idx="1">
                  <c:v>Etat</c:v>
                </c:pt>
                <c:pt idx="2">
                  <c:v>Régions</c:v>
                </c:pt>
                <c:pt idx="3">
                  <c:v>Départements</c:v>
                </c:pt>
              </c:strCache>
            </c:strRef>
          </c:cat>
          <c:val>
            <c:numRef>
              <c:f>('Recap Financier'!$L$7,'Recap Financier'!$L$8,'Recap Financier'!$L$9,'Recap Financier'!$L$14)</c:f>
              <c:numCache>
                <c:formatCode>#,##0.00</c:formatCode>
                <c:ptCount val="4"/>
                <c:pt idx="0">
                  <c:v>1660941.4419999998</c:v>
                </c:pt>
                <c:pt idx="1">
                  <c:v>2379145.6029859157</c:v>
                </c:pt>
                <c:pt idx="2">
                  <c:v>884464.24000000011</c:v>
                </c:pt>
                <c:pt idx="3">
                  <c:v>14765</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wmf"/><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2044700</xdr:colOff>
      <xdr:row>0</xdr:row>
      <xdr:rowOff>177800</xdr:rowOff>
    </xdr:from>
    <xdr:to>
      <xdr:col>8</xdr:col>
      <xdr:colOff>825500</xdr:colOff>
      <xdr:row>3</xdr:row>
      <xdr:rowOff>184150</xdr:rowOff>
    </xdr:to>
    <xdr:grpSp>
      <xdr:nvGrpSpPr>
        <xdr:cNvPr id="2" name="Groupe 1"/>
        <xdr:cNvGrpSpPr/>
      </xdr:nvGrpSpPr>
      <xdr:grpSpPr>
        <a:xfrm>
          <a:off x="5307013" y="177800"/>
          <a:ext cx="6519862"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179915</xdr:rowOff>
    </xdr:from>
    <xdr:to>
      <xdr:col>43</xdr:col>
      <xdr:colOff>738719</xdr:colOff>
      <xdr:row>3</xdr:row>
      <xdr:rowOff>184148</xdr:rowOff>
    </xdr:to>
    <xdr:grpSp>
      <xdr:nvGrpSpPr>
        <xdr:cNvPr id="2" name="Groupe 1"/>
        <xdr:cNvGrpSpPr/>
      </xdr:nvGrpSpPr>
      <xdr:grpSpPr>
        <a:xfrm>
          <a:off x="8858250" y="179915"/>
          <a:ext cx="5024969" cy="623358"/>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209550</xdr:colOff>
      <xdr:row>0</xdr:row>
      <xdr:rowOff>76200</xdr:rowOff>
    </xdr:from>
    <xdr:to>
      <xdr:col>8</xdr:col>
      <xdr:colOff>457200</xdr:colOff>
      <xdr:row>3</xdr:row>
      <xdr:rowOff>133350</xdr:rowOff>
    </xdr:to>
    <xdr:grpSp>
      <xdr:nvGrpSpPr>
        <xdr:cNvPr id="2" name="Groupe 1"/>
        <xdr:cNvGrpSpPr/>
      </xdr:nvGrpSpPr>
      <xdr:grpSpPr>
        <a:xfrm>
          <a:off x="209550" y="76200"/>
          <a:ext cx="6543675" cy="628650"/>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twoCellAnchor>
    <xdr:from>
      <xdr:col>0</xdr:col>
      <xdr:colOff>190499</xdr:colOff>
      <xdr:row>38</xdr:row>
      <xdr:rowOff>33337</xdr:rowOff>
    </xdr:from>
    <xdr:to>
      <xdr:col>6</xdr:col>
      <xdr:colOff>666749</xdr:colOff>
      <xdr:row>55</xdr:row>
      <xdr:rowOff>104775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276226</xdr:colOff>
      <xdr:row>37</xdr:row>
      <xdr:rowOff>133350</xdr:rowOff>
    </xdr:from>
    <xdr:to>
      <xdr:col>13</xdr:col>
      <xdr:colOff>542926</xdr:colOff>
      <xdr:row>55</xdr:row>
      <xdr:rowOff>14288</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2044700</xdr:colOff>
      <xdr:row>0</xdr:row>
      <xdr:rowOff>177800</xdr:rowOff>
    </xdr:from>
    <xdr:to>
      <xdr:col>8</xdr:col>
      <xdr:colOff>825500</xdr:colOff>
      <xdr:row>3</xdr:row>
      <xdr:rowOff>184150</xdr:rowOff>
    </xdr:to>
    <xdr:grpSp>
      <xdr:nvGrpSpPr>
        <xdr:cNvPr id="2" name="Groupe 1"/>
        <xdr:cNvGrpSpPr/>
      </xdr:nvGrpSpPr>
      <xdr:grpSpPr>
        <a:xfrm>
          <a:off x="5307013" y="177800"/>
          <a:ext cx="6519862"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2044700</xdr:colOff>
      <xdr:row>0</xdr:row>
      <xdr:rowOff>114300</xdr:rowOff>
    </xdr:from>
    <xdr:to>
      <xdr:col>8</xdr:col>
      <xdr:colOff>825500</xdr:colOff>
      <xdr:row>3</xdr:row>
      <xdr:rowOff>120650</xdr:rowOff>
    </xdr:to>
    <xdr:grpSp>
      <xdr:nvGrpSpPr>
        <xdr:cNvPr id="2" name="Groupe 1"/>
        <xdr:cNvGrpSpPr/>
      </xdr:nvGrpSpPr>
      <xdr:grpSpPr>
        <a:xfrm>
          <a:off x="5310414" y="114300"/>
          <a:ext cx="7421336" cy="632279"/>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2032000</xdr:colOff>
      <xdr:row>0</xdr:row>
      <xdr:rowOff>190500</xdr:rowOff>
    </xdr:from>
    <xdr:to>
      <xdr:col>8</xdr:col>
      <xdr:colOff>819150</xdr:colOff>
      <xdr:row>4</xdr:row>
      <xdr:rowOff>6350</xdr:rowOff>
    </xdr:to>
    <xdr:grpSp>
      <xdr:nvGrpSpPr>
        <xdr:cNvPr id="2" name="Groupe 1"/>
        <xdr:cNvGrpSpPr/>
      </xdr:nvGrpSpPr>
      <xdr:grpSpPr>
        <a:xfrm>
          <a:off x="5294313" y="190500"/>
          <a:ext cx="7276306"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2044700</xdr:colOff>
      <xdr:row>0</xdr:row>
      <xdr:rowOff>152400</xdr:rowOff>
    </xdr:from>
    <xdr:to>
      <xdr:col>8</xdr:col>
      <xdr:colOff>825500</xdr:colOff>
      <xdr:row>3</xdr:row>
      <xdr:rowOff>158750</xdr:rowOff>
    </xdr:to>
    <xdr:grpSp>
      <xdr:nvGrpSpPr>
        <xdr:cNvPr id="2" name="Groupe 1"/>
        <xdr:cNvGrpSpPr/>
      </xdr:nvGrpSpPr>
      <xdr:grpSpPr>
        <a:xfrm>
          <a:off x="5307013" y="152400"/>
          <a:ext cx="6662737"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2889250</xdr:colOff>
      <xdr:row>0</xdr:row>
      <xdr:rowOff>174625</xdr:rowOff>
    </xdr:from>
    <xdr:to>
      <xdr:col>6</xdr:col>
      <xdr:colOff>257175</xdr:colOff>
      <xdr:row>3</xdr:row>
      <xdr:rowOff>180975</xdr:rowOff>
    </xdr:to>
    <xdr:grpSp>
      <xdr:nvGrpSpPr>
        <xdr:cNvPr id="6" name="Groupe 5"/>
        <xdr:cNvGrpSpPr/>
      </xdr:nvGrpSpPr>
      <xdr:grpSpPr>
        <a:xfrm>
          <a:off x="4670425" y="174625"/>
          <a:ext cx="6526893" cy="632279"/>
          <a:chOff x="0" y="0"/>
          <a:chExt cx="6496050" cy="628650"/>
        </a:xfrm>
      </xdr:grpSpPr>
      <xdr:pic>
        <xdr:nvPicPr>
          <xdr:cNvPr id="7"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8" name="Image 7"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9" name="Image 8"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2044700</xdr:colOff>
      <xdr:row>0</xdr:row>
      <xdr:rowOff>190500</xdr:rowOff>
    </xdr:from>
    <xdr:to>
      <xdr:col>8</xdr:col>
      <xdr:colOff>825500</xdr:colOff>
      <xdr:row>4</xdr:row>
      <xdr:rowOff>6350</xdr:rowOff>
    </xdr:to>
    <xdr:grpSp>
      <xdr:nvGrpSpPr>
        <xdr:cNvPr id="2" name="Groupe 1"/>
        <xdr:cNvGrpSpPr/>
      </xdr:nvGrpSpPr>
      <xdr:grpSpPr>
        <a:xfrm>
          <a:off x="5307013" y="190500"/>
          <a:ext cx="6496050"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2044700</xdr:colOff>
      <xdr:row>0</xdr:row>
      <xdr:rowOff>190500</xdr:rowOff>
    </xdr:from>
    <xdr:to>
      <xdr:col>8</xdr:col>
      <xdr:colOff>825500</xdr:colOff>
      <xdr:row>4</xdr:row>
      <xdr:rowOff>6350</xdr:rowOff>
    </xdr:to>
    <xdr:grpSp>
      <xdr:nvGrpSpPr>
        <xdr:cNvPr id="2" name="Groupe 1"/>
        <xdr:cNvGrpSpPr/>
      </xdr:nvGrpSpPr>
      <xdr:grpSpPr>
        <a:xfrm>
          <a:off x="5307013" y="190500"/>
          <a:ext cx="6746081"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0</xdr:row>
      <xdr:rowOff>179915</xdr:rowOff>
    </xdr:from>
    <xdr:to>
      <xdr:col>43</xdr:col>
      <xdr:colOff>738719</xdr:colOff>
      <xdr:row>3</xdr:row>
      <xdr:rowOff>184148</xdr:rowOff>
    </xdr:to>
    <xdr:grpSp>
      <xdr:nvGrpSpPr>
        <xdr:cNvPr id="2" name="Groupe 1"/>
        <xdr:cNvGrpSpPr/>
      </xdr:nvGrpSpPr>
      <xdr:grpSpPr>
        <a:xfrm>
          <a:off x="8858250" y="179915"/>
          <a:ext cx="5024969" cy="623358"/>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queryTables/queryTable1.xml><?xml version="1.0" encoding="utf-8"?>
<queryTable xmlns="http://schemas.openxmlformats.org/spreadsheetml/2006/main" name="Lancer la requête à partir de Excel Files_8" adjustColumnWidth="0" connectionId="10"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10.xml><?xml version="1.0" encoding="utf-8"?>
<queryTable xmlns="http://schemas.openxmlformats.org/spreadsheetml/2006/main" name="Lancer la requête à partir de Excel Files_8" adjustColumnWidth="0" connectionId="2"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11.xml><?xml version="1.0" encoding="utf-8"?>
<queryTable xmlns="http://schemas.openxmlformats.org/spreadsheetml/2006/main" name="Lancer la requête à partir de Excel Files_8" adjustColumnWidth="0" connectionId="3"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12.xml><?xml version="1.0" encoding="utf-8"?>
<queryTable xmlns="http://schemas.openxmlformats.org/spreadsheetml/2006/main" name="Lancer la requête à partir de Excel Files" adjustColumnWidth="0" connectionId="12" autoFormatId="16" applyNumberFormats="0" applyBorderFormats="0" applyFontFormats="0" applyPatternFormats="0" applyAlignmentFormats="0" applyWidthHeightFormats="0">
  <queryTableRefresh nextId="171" unboundColumnsRight="1">
    <queryTableFields count="46">
      <queryTableField id="1" name="Programme" tableColumnId="1"/>
      <queryTableField id="84" name="ID_dossier GIP" tableColumnId="50"/>
      <queryTableField id="48" name="ID_Synergie" tableColumnId="43"/>
      <queryTableField id="2" name="Nom_MO" tableColumnId="2"/>
      <queryTableField id="3" name="Intitule_Operation" tableColumnId="3"/>
      <queryTableField id="4" name="Coût total déposé" tableColumnId="4"/>
      <queryTableField id="128" name="Coût total Eligible FEDER" tableColumnId="12"/>
      <queryTableField id="131" dataBound="0" tableColumnId="13"/>
      <queryTableField id="92" dataBound="0" tableColumnId="6"/>
      <queryTableField id="44" dataBound="0" tableColumnId="44"/>
      <queryTableField id="40" dataBound="0" tableColumnId="40"/>
      <queryTableField id="42" dataBound="0" tableColumnId="42"/>
      <queryTableField id="89" dataBound="0" tableColumnId="52"/>
      <queryTableField id="133" name="'FNADT'" tableColumnId="15"/>
      <queryTableField id="134" name="'Agriculture'" tableColumnId="16"/>
      <queryTableField id="90" dataBound="0" tableColumnId="54"/>
      <queryTableField id="138" name="'ALPC'" tableColumnId="20"/>
      <queryTableField id="136" name="'AURA'" tableColumnId="18"/>
      <queryTableField id="137" name="'BFC'" tableColumnId="19"/>
      <queryTableField id="139" name="'LRMP'" tableColumnId="21"/>
      <queryTableField id="91" dataBound="0" tableColumnId="55"/>
      <queryTableField id="141" name="'03'" tableColumnId="23"/>
      <queryTableField id="142" name="'07'" tableColumnId="24"/>
      <queryTableField id="143" name="'11'" tableColumnId="25"/>
      <queryTableField id="144" name="'12'" tableColumnId="26"/>
      <queryTableField id="145" name="'15'" tableColumnId="27"/>
      <queryTableField id="146" name="'19'" tableColumnId="28"/>
      <queryTableField id="147" name="'21'" tableColumnId="29"/>
      <queryTableField id="148" name="'23'" tableColumnId="30"/>
      <queryTableField id="149" name="'30'" tableColumnId="31"/>
      <queryTableField id="150" name="'34'" tableColumnId="32"/>
      <queryTableField id="151" name="'42'" tableColumnId="33"/>
      <queryTableField id="152" name="'43'" tableColumnId="34"/>
      <queryTableField id="153" name="'46'" tableColumnId="35"/>
      <queryTableField id="154" name="'48'" tableColumnId="36"/>
      <queryTableField id="155" name="'58'" tableColumnId="37"/>
      <queryTableField id="156" name="'63'" tableColumnId="38"/>
      <queryTableField id="157" name="'69'" tableColumnId="39"/>
      <queryTableField id="158" name="'71'" tableColumnId="41"/>
      <queryTableField id="159" name="'81'" tableColumnId="45"/>
      <queryTableField id="160" name="'82'" tableColumnId="47"/>
      <queryTableField id="161" name="'87'" tableColumnId="48"/>
      <queryTableField id="162" name="'89'" tableColumnId="51"/>
      <queryTableField id="163" name="'FEDER'" tableColumnId="53"/>
      <queryTableField id="164" name="'Autre Public'" tableColumnId="56"/>
      <queryTableField id="169" dataBound="0" tableColumnId="5"/>
    </queryTableFields>
    <queryTableDeletedFields count="8">
      <deletedField name="Total_Etat_FN2"/>
      <deletedField name="Total_Regions_FN2"/>
      <deletedField name="Total_Dpts_FN2"/>
      <deletedField name="Aide Publique demandée"/>
      <deletedField name="'Régions'"/>
      <deletedField name="'Etat'"/>
      <deletedField name="'Dpts'"/>
      <deletedField name="Remarques"/>
    </queryTableDeletedFields>
  </queryTableRefresh>
</queryTable>
</file>

<file path=xl/queryTables/queryTable13.xml><?xml version="1.0" encoding="utf-8"?>
<queryTable xmlns="http://schemas.openxmlformats.org/spreadsheetml/2006/main" name="Lancer la requête à partir de Excel Files" adjustColumnWidth="0" connectionId="1" autoFormatId="16" applyNumberFormats="0" applyBorderFormats="0" applyFontFormats="0" applyPatternFormats="0" applyAlignmentFormats="0" applyWidthHeightFormats="0">
  <queryTableRefresh nextId="171" unboundColumnsRight="1">
    <queryTableFields count="46">
      <queryTableField id="1" name="Programme" tableColumnId="1"/>
      <queryTableField id="84" name="ID_dossier GIP" tableColumnId="50"/>
      <queryTableField id="48" name="ID_Synergie" tableColumnId="43"/>
      <queryTableField id="2" name="Nom_MO" tableColumnId="2"/>
      <queryTableField id="3" name="Intitule_Operation" tableColumnId="3"/>
      <queryTableField id="4" name="Coût total déposé" tableColumnId="4"/>
      <queryTableField id="128" name="Coût total Eligible FEDER" tableColumnId="12"/>
      <queryTableField id="131" dataBound="0" tableColumnId="13"/>
      <queryTableField id="92" dataBound="0" tableColumnId="6"/>
      <queryTableField id="44" dataBound="0" tableColumnId="44"/>
      <queryTableField id="40" dataBound="0" tableColumnId="40"/>
      <queryTableField id="42" dataBound="0" tableColumnId="42"/>
      <queryTableField id="89" dataBound="0" tableColumnId="52"/>
      <queryTableField id="133" name="'FNADT'" tableColumnId="15"/>
      <queryTableField id="134" name="'Agriculture'" tableColumnId="16"/>
      <queryTableField id="90" dataBound="0" tableColumnId="54"/>
      <queryTableField id="138" name="'ALPC'" tableColumnId="20"/>
      <queryTableField id="136" name="'AURA'" tableColumnId="18"/>
      <queryTableField id="137" name="'BFC'" tableColumnId="19"/>
      <queryTableField id="139" name="'LRMP'" tableColumnId="21"/>
      <queryTableField id="91" dataBound="0" tableColumnId="55"/>
      <queryTableField id="141" name="'03'" tableColumnId="23"/>
      <queryTableField id="142" name="'07'" tableColumnId="24"/>
      <queryTableField id="143" name="'11'" tableColumnId="25"/>
      <queryTableField id="144" name="'12'" tableColumnId="26"/>
      <queryTableField id="145" name="'15'" tableColumnId="27"/>
      <queryTableField id="146" name="'19'" tableColumnId="28"/>
      <queryTableField id="147" name="'21'" tableColumnId="29"/>
      <queryTableField id="148" name="'23'" tableColumnId="30"/>
      <queryTableField id="149" name="'30'" tableColumnId="31"/>
      <queryTableField id="150" name="'34'" tableColumnId="32"/>
      <queryTableField id="151" name="'42'" tableColumnId="33"/>
      <queryTableField id="152" name="'43'" tableColumnId="34"/>
      <queryTableField id="153" name="'46'" tableColumnId="35"/>
      <queryTableField id="154" name="'48'" tableColumnId="36"/>
      <queryTableField id="155" name="'58'" tableColumnId="37"/>
      <queryTableField id="156" name="'63'" tableColumnId="38"/>
      <queryTableField id="157" name="'69'" tableColumnId="39"/>
      <queryTableField id="158" name="'71'" tableColumnId="41"/>
      <queryTableField id="159" name="'81'" tableColumnId="45"/>
      <queryTableField id="160" name="'82'" tableColumnId="47"/>
      <queryTableField id="161" name="'87'" tableColumnId="48"/>
      <queryTableField id="162" name="'89'" tableColumnId="51"/>
      <queryTableField id="163" name="'FEDER'" tableColumnId="53"/>
      <queryTableField id="164" name="'Autre Public'" tableColumnId="56"/>
      <queryTableField id="169" dataBound="0" tableColumnId="5"/>
    </queryTableFields>
    <queryTableDeletedFields count="8">
      <deletedField name="Total_Etat_FN2"/>
      <deletedField name="Total_Regions_FN2"/>
      <deletedField name="Total_Dpts_FN2"/>
      <deletedField name="Aide Publique demandée"/>
      <deletedField name="'Régions'"/>
      <deletedField name="'Etat'"/>
      <deletedField name="'Dpts'"/>
      <deletedField name="Remarques"/>
    </queryTableDeletedFields>
  </queryTableRefresh>
</queryTable>
</file>

<file path=xl/queryTables/queryTable2.xml><?xml version="1.0" encoding="utf-8"?>
<queryTable xmlns="http://schemas.openxmlformats.org/spreadsheetml/2006/main" name="Lancer la requête à partir de Excel Files_9" adjustColumnWidth="0" connectionId="9"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3.xml><?xml version="1.0" encoding="utf-8"?>
<queryTable xmlns="http://schemas.openxmlformats.org/spreadsheetml/2006/main" name="Lancer la requête à partir de Excel Files_10" adjustColumnWidth="0" connectionId="7"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4.xml><?xml version="1.0" encoding="utf-8"?>
<queryTable xmlns="http://schemas.openxmlformats.org/spreadsheetml/2006/main" name="Lancer la requête à partir de Excel Files_11" adjustColumnWidth="0" connectionId="8"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5.xml><?xml version="1.0" encoding="utf-8"?>
<queryTable xmlns="http://schemas.openxmlformats.org/spreadsheetml/2006/main" name="Lancer la requête à partir de Excel Files_8" adjustColumnWidth="0" connectionId="13"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6.xml><?xml version="1.0" encoding="utf-8"?>
<queryTable xmlns="http://schemas.openxmlformats.org/spreadsheetml/2006/main" name="Lancer la requête à partir de Excel Files_8" adjustColumnWidth="0" connectionId="6" autoFormatId="16" applyNumberFormats="0" applyBorderFormats="0" applyFontFormats="0" applyPatternFormats="0" applyAlignmentFormats="0" applyWidthHeightFormats="0">
  <queryTableRefresh nextId="106"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2" name="'FNADT '" tableColumnId="10"/>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5" name="Date début operation" tableColumnId="5"/>
      <queryTableField id="104" dataBound="0" tableColumnId="4"/>
    </queryTableFields>
  </queryTableRefresh>
</queryTable>
</file>

<file path=xl/queryTables/queryTable7.xml><?xml version="1.0" encoding="utf-8"?>
<queryTable xmlns="http://schemas.openxmlformats.org/spreadsheetml/2006/main" name="Lancer la requête à partir de Excel Files_8" adjustColumnWidth="0" connectionId="11" autoFormatId="16" applyNumberFormats="0" applyBorderFormats="0" applyFontFormats="0" applyPatternFormats="0" applyAlignmentFormats="0" applyWidthHeightFormats="0">
  <queryTableRefresh nextId="108" unboundColumnsRight="1">
    <queryTableFields count="43">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95" dataBound="0" tableColumnId="4"/>
    </queryTableFields>
  </queryTableRefresh>
</queryTable>
</file>

<file path=xl/queryTables/queryTable8.xml><?xml version="1.0" encoding="utf-8"?>
<queryTable xmlns="http://schemas.openxmlformats.org/spreadsheetml/2006/main" name="Lancer la requête à partir de Excel Files_8" adjustColumnWidth="0" connectionId="4" autoFormatId="16" applyNumberFormats="0" applyBorderFormats="0" applyFontFormats="0" applyPatternFormats="0" applyAlignmentFormats="0" applyWidthHeightFormats="0">
  <queryTableRefresh nextId="108" unboundColumnsRight="1">
    <queryTableFields count="44">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07" name="Date début operation" tableColumnId="5"/>
      <queryTableField id="95" dataBound="0" tableColumnId="4"/>
    </queryTableFields>
  </queryTableRefresh>
</queryTable>
</file>

<file path=xl/queryTables/queryTable9.xml><?xml version="1.0" encoding="utf-8"?>
<queryTable xmlns="http://schemas.openxmlformats.org/spreadsheetml/2006/main" name="Lancer la requête à partir de Excel Files_8" adjustColumnWidth="0" connectionId="5" autoFormatId="16" applyNumberFormats="0" applyBorderFormats="0" applyFontFormats="0" applyPatternFormats="0" applyAlignmentFormats="0" applyWidthHeightFormats="0">
  <queryTableRefresh nextId="113" unboundColumnsRight="1">
    <queryTableFields count="45">
      <queryTableField id="109" name="'Thématique '" tableColumnId="6"/>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35" name="Avis Cofimac" tableColumnId="35"/>
      <queryTableField id="112" name="Date début operation" tableColumnId="5"/>
      <queryTableField id="95" dataBound="0"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0" name="Tableau_Lancer_la_requête_à_partir_de_Excel_Files1025678911" displayName="Tableau_Lancer_la_requête_à_partir_de_Excel_Files1025678911" ref="A6:AR10" tableType="queryTable" totalsRowCount="1" headerRowDxfId="1424" dataDxfId="1423" totalsRowDxfId="1422">
  <autoFilter ref="A6:AR9"/>
  <sortState ref="A7:AR9">
    <sortCondition ref="A6:A18"/>
  </sortState>
  <tableColumns count="44">
    <tableColumn id="1" uniqueName="1" name="ID_Synergie" totalsRowLabel="Total" queryTableFieldId="1" dataDxfId="1421" totalsRowDxfId="1420"/>
    <tableColumn id="2" uniqueName="2" name="Nom_MO" totalsRowFunction="count" queryTableFieldId="2" dataDxfId="1419" totalsRowDxfId="1418"/>
    <tableColumn id="3" uniqueName="3" name="Intitule_Operation" queryTableFieldId="3" dataDxfId="1417" totalsRowDxfId="1416"/>
    <tableColumn id="43" uniqueName="43" name="'Coût total éligible'" totalsRowFunction="sum" queryTableFieldId="46" dataDxfId="1415" totalsRowDxfId="1414"/>
    <tableColumn id="39" uniqueName="39" name="Aide _x000a_publique" totalsRowFunction="sum" queryTableFieldId="42" dataDxfId="1413" totalsRowDxfId="1412">
      <calculatedColumnFormula>Tableau_Lancer_la_requête_à_partir_de_Excel_Files1025678911[[#This Row],[Aide Massif]]+Tableau_Lancer_la_requête_à_partir_de_Excel_Files1025678911[[#This Row],[''Autre Public'']]</calculatedColumnFormula>
    </tableColumn>
    <tableColumn id="81" uniqueName="81" name="Tx Aide publique" queryTableFieldId="92" dataDxfId="1411" totalsRowDxfId="1410">
      <calculatedColumnFormula>Tableau_Lancer_la_requête_à_partir_de_Excel_Files1025678911[[#This Row],[Aide 
publique]]/Tableau_Lancer_la_requête_à_partir_de_Excel_Files1025678911[[#This Row],[''Coût total éligible'']]</calculatedColumnFormula>
    </tableColumn>
    <tableColumn id="40" uniqueName="40" name="Aide Massif" totalsRowFunction="sum" queryTableFieldId="43" dataDxfId="1409" totalsRowDxfId="1408">
      <calculatedColumnFormula>Tableau_Lancer_la_requête_à_partir_de_Excel_Files1025678911[[#This Row],[''FEDER'']]+Tableau_Lancer_la_requête_à_partir_de_Excel_Files1025678911[[#This Row],[Total Etat]]+Tableau_Lancer_la_requête_à_partir_de_Excel_Files1025678911[[#This Row],[Total Régions]]+Tableau_Lancer_la_requête_à_partir_de_Excel_Files1025678911[[#This Row],[Total Dpts]]</calculatedColumnFormula>
    </tableColumn>
    <tableColumn id="82" uniqueName="82" name="Tx_x000a_Aide Massif" queryTableFieldId="93" dataDxfId="1407" totalsRowDxfId="1406">
      <calculatedColumnFormula>Tableau_Lancer_la_requête_à_partir_de_Excel_Files1025678911[[#This Row],[Aide Massif]]/Tableau_Lancer_la_requête_à_partir_de_Excel_Files1025678911[[#This Row],[''Coût total éligible'']]</calculatedColumnFormula>
    </tableColumn>
    <tableColumn id="75" uniqueName="75" name="'FEDER'" totalsRowFunction="sum" queryTableFieldId="78" dataDxfId="1405" totalsRowDxfId="1404"/>
    <tableColumn id="7" uniqueName="7" name="Total Etat" totalsRowFunction="sum" queryTableFieldId="99" dataDxfId="1403" totalsRowDxfId="1402">
      <calculatedColumnFormula>Tableau_Lancer_la_requête_à_partir_de_Excel_Files1025678911[[#This Row],[''FNADT '']]+Tableau_Lancer_la_requête_à_partir_de_Excel_Files1025678911[[#This Row],[''Agriculture'']]</calculatedColumnFormula>
    </tableColumn>
    <tableColumn id="11" uniqueName="11" name="'FNADT '" queryTableFieldId="104" dataDxfId="1401" totalsRowDxfId="1400"/>
    <tableColumn id="46" uniqueName="46" name="'Agriculture'" totalsRowFunction="sum" queryTableFieldId="49" dataDxfId="1399" totalsRowDxfId="1398"/>
    <tableColumn id="8" uniqueName="8" name="Total Régions" totalsRowFunction="sum" queryTableFieldId="100" dataDxfId="1397" totalsRowDxfId="1396">
      <calculatedColumnFormula>Tableau_Lancer_la_requête_à_partir_de_Excel_Files1025678911[[#This Row],[''ALPC'']]+Tableau_Lancer_la_requête_à_partir_de_Excel_Files1025678911[[#This Row],[''AURA'']]+Tableau_Lancer_la_requête_à_partir_de_Excel_Files1025678911[[#This Row],[''BFC'']]+Tableau_Lancer_la_requête_à_partir_de_Excel_Files1025678911[[#This Row],[''LRMP'']]</calculatedColumnFormula>
    </tableColumn>
    <tableColumn id="48" uniqueName="48" name="'ALPC'" totalsRowFunction="sum" queryTableFieldId="51" dataDxfId="1395" totalsRowDxfId="1394"/>
    <tableColumn id="49" uniqueName="49" name="'AURA'" totalsRowFunction="sum" queryTableFieldId="52" dataDxfId="1393" totalsRowDxfId="1392"/>
    <tableColumn id="78" uniqueName="78" name="'BFC'" totalsRowFunction="sum" queryTableFieldId="81" dataDxfId="1391" totalsRowDxfId="1390"/>
    <tableColumn id="79" uniqueName="79" name="'LRMP'" totalsRowFunction="sum" queryTableFieldId="82" dataDxfId="1389" totalsRowDxfId="1388"/>
    <tableColumn id="9" uniqueName="9" name="Total Dpts" totalsRowFunction="sum" queryTableFieldId="101" dataDxfId="1387" totalsRowDxfId="1386">
      <calculatedColumnFormula>Tableau_Lancer_la_requête_à_partir_de_Excel_Files1025678911[[#This Row],[''03'']]+Tableau_Lancer_la_requête_à_partir_de_Excel_Files1025678911[[#This Row],[''07'']]+Tableau_Lancer_la_requête_à_partir_de_Excel_Files1025678911[[#This Row],[''11'']]+Tableau_Lancer_la_requête_à_partir_de_Excel_Files1025678911[[#This Row],[''12'']]+Tableau_Lancer_la_requête_à_partir_de_Excel_Files1025678911[[#This Row],[''15'']]+Tableau_Lancer_la_requête_à_partir_de_Excel_Files1025678911[[#This Row],[''19'']]+Tableau_Lancer_la_requête_à_partir_de_Excel_Files1025678911[[#This Row],[''21'']]+Tableau_Lancer_la_requête_à_partir_de_Excel_Files1025678911[[#This Row],[''23'']]+Tableau_Lancer_la_requête_à_partir_de_Excel_Files1025678911[[#This Row],[''30'']]+Tableau_Lancer_la_requête_à_partir_de_Excel_Files1025678911[[#This Row],[''34'']]+Tableau_Lancer_la_requête_à_partir_de_Excel_Files1025678911[[#This Row],[''42'']]+Tableau_Lancer_la_requête_à_partir_de_Excel_Files1025678911[[#This Row],[''43'']]+Tableau_Lancer_la_requête_à_partir_de_Excel_Files1025678911[[#This Row],[''46'']]+Tableau_Lancer_la_requête_à_partir_de_Excel_Files1025678911[[#This Row],[''48'']]+Tableau_Lancer_la_requête_à_partir_de_Excel_Files1025678911[[#This Row],[''58'']]+Tableau_Lancer_la_requête_à_partir_de_Excel_Files1025678911[[#This Row],[''63'']]+Tableau_Lancer_la_requête_à_partir_de_Excel_Files1025678911[[#This Row],[''69'']]+Tableau_Lancer_la_requête_à_partir_de_Excel_Files1025678911[[#This Row],[''71'']]+Tableau_Lancer_la_requête_à_partir_de_Excel_Files1025678911[[#This Row],[''81'']]+Tableau_Lancer_la_requête_à_partir_de_Excel_Files1025678911[[#This Row],[''82'']]+Tableau_Lancer_la_requête_à_partir_de_Excel_Files1025678911[[#This Row],[''87'']]+Tableau_Lancer_la_requête_à_partir_de_Excel_Files1025678911[[#This Row],[''89'']]</calculatedColumnFormula>
    </tableColumn>
    <tableColumn id="53" uniqueName="53" name="'03'" totalsRowFunction="sum" queryTableFieldId="56" dataDxfId="1385" totalsRowDxfId="1384"/>
    <tableColumn id="54" uniqueName="54" name="'07'" totalsRowFunction="sum" queryTableFieldId="57" dataDxfId="1383" totalsRowDxfId="1382"/>
    <tableColumn id="55" uniqueName="55" name="'11'" totalsRowFunction="sum" queryTableFieldId="58" dataDxfId="1381" totalsRowDxfId="1380"/>
    <tableColumn id="56" uniqueName="56" name="'12'" totalsRowFunction="sum" queryTableFieldId="59" dataDxfId="1379" totalsRowDxfId="1378"/>
    <tableColumn id="57" uniqueName="57" name="'15'" totalsRowFunction="sum" queryTableFieldId="60" dataDxfId="1377" totalsRowDxfId="1376"/>
    <tableColumn id="58" uniqueName="58" name="'19'" totalsRowFunction="sum" queryTableFieldId="61" dataDxfId="1375" totalsRowDxfId="1374"/>
    <tableColumn id="59" uniqueName="59" name="'21'" totalsRowFunction="sum" queryTableFieldId="62" dataDxfId="1373" totalsRowDxfId="1372"/>
    <tableColumn id="80" uniqueName="80" name="'23'" totalsRowFunction="sum" queryTableFieldId="85" dataDxfId="1371" totalsRowDxfId="1370"/>
    <tableColumn id="60" uniqueName="60" name="'30'" totalsRowFunction="sum" queryTableFieldId="63" dataDxfId="1369" totalsRowDxfId="1368"/>
    <tableColumn id="61" uniqueName="61" name="'34'" totalsRowFunction="sum" queryTableFieldId="64" dataDxfId="1367" totalsRowDxfId="1366"/>
    <tableColumn id="62" uniqueName="62" name="'42'" totalsRowFunction="sum" queryTableFieldId="65" dataDxfId="1365" totalsRowDxfId="1364"/>
    <tableColumn id="63" uniqueName="63" name="'43'" totalsRowFunction="sum" queryTableFieldId="66" dataDxfId="1363" totalsRowDxfId="1362"/>
    <tableColumn id="64" uniqueName="64" name="'46'" totalsRowFunction="sum" queryTableFieldId="67" dataDxfId="1361" totalsRowDxfId="1360"/>
    <tableColumn id="65" uniqueName="65" name="'48'" totalsRowFunction="sum" queryTableFieldId="68" dataDxfId="1359" totalsRowDxfId="1358"/>
    <tableColumn id="66" uniqueName="66" name="'58'" totalsRowFunction="sum" queryTableFieldId="69" dataDxfId="1357" totalsRowDxfId="1356"/>
    <tableColumn id="67" uniqueName="67" name="'63'" totalsRowFunction="sum" queryTableFieldId="70" dataDxfId="1355" totalsRowDxfId="1354"/>
    <tableColumn id="68" uniqueName="68" name="'69'" totalsRowFunction="sum" queryTableFieldId="71" dataDxfId="1353" totalsRowDxfId="1352"/>
    <tableColumn id="69" uniqueName="69" name="'71'" totalsRowFunction="sum" queryTableFieldId="72" dataDxfId="1351" totalsRowDxfId="1350"/>
    <tableColumn id="70" uniqueName="70" name="'81'" totalsRowFunction="sum" queryTableFieldId="73" dataDxfId="1349" totalsRowDxfId="1348"/>
    <tableColumn id="71" uniqueName="71" name="'82'" totalsRowFunction="sum" queryTableFieldId="74" dataDxfId="1347" totalsRowDxfId="1346"/>
    <tableColumn id="72" uniqueName="72" name="'87'" totalsRowFunction="sum" queryTableFieldId="75" dataDxfId="1345" totalsRowDxfId="1344"/>
    <tableColumn id="73" uniqueName="73" name="'89'" totalsRowFunction="sum" queryTableFieldId="76" dataDxfId="1343" totalsRowDxfId="1342"/>
    <tableColumn id="76" uniqueName="76" name="'Autre Public'" totalsRowFunction="sum" queryTableFieldId="79" dataDxfId="1341" totalsRowDxfId="1340"/>
    <tableColumn id="35" uniqueName="35" name="Avis Cofimac" queryTableFieldId="35" dataDxfId="1339" totalsRowDxfId="1338"/>
    <tableColumn id="5" uniqueName="5" name="Date début operation" queryTableFieldId="107" dataDxfId="1337" totalsRowDxfId="1336"/>
    <tableColumn id="4" uniqueName="4" name="Avis Prog" queryTableFieldId="95" dataDxfId="1335" totalsRowDxfId="1334"/>
  </tableColumns>
  <tableStyleInfo name="TableStyleMedium6" showFirstColumn="0" showLastColumn="0" showRowStripes="1" showColumnStripes="0"/>
</table>
</file>

<file path=xl/tables/table10.xml><?xml version="1.0" encoding="utf-8"?>
<table xmlns="http://schemas.openxmlformats.org/spreadsheetml/2006/main" id="7" name="Tableau_Lancer_la_requête_à_partir_de_Excel_Files1025678" displayName="Tableau_Lancer_la_requête_à_partir_de_Excel_Files1025678" ref="A6:AR55" tableType="queryTable" totalsRowCount="1" headerRowDxfId="595" dataDxfId="594" totalsRowDxfId="593">
  <autoFilter ref="A6:AR54"/>
  <sortState ref="A7:AR54">
    <sortCondition ref="A6:A18"/>
  </sortState>
  <tableColumns count="44">
    <tableColumn id="1" uniqueName="1" name="ID_Synergie" totalsRowLabel="Total" queryTableFieldId="1" dataDxfId="592" totalsRowDxfId="591"/>
    <tableColumn id="2" uniqueName="2" name="Nom_MO" totalsRowFunction="count" queryTableFieldId="2" dataDxfId="590" totalsRowDxfId="589"/>
    <tableColumn id="3" uniqueName="3" name="Intitule_Operation" queryTableFieldId="3" dataDxfId="588" totalsRowDxfId="587"/>
    <tableColumn id="43" uniqueName="43" name="'Coût total éligible'" totalsRowFunction="sum" queryTableFieldId="46" dataDxfId="586" totalsRowDxfId="585"/>
    <tableColumn id="39" uniqueName="39" name="Aide _x000a_publique" totalsRowFunction="sum" queryTableFieldId="42" dataDxfId="584" totalsRowDxfId="583">
      <calculatedColumnFormula>Tableau_Lancer_la_requête_à_partir_de_Excel_Files1025678[[#This Row],[Aide Massif]]+Tableau_Lancer_la_requête_à_partir_de_Excel_Files1025678[[#This Row],[''Autre Public'']]</calculatedColumnFormula>
    </tableColumn>
    <tableColumn id="81" uniqueName="81" name="Tx Aide publique" queryTableFieldId="92" dataDxfId="582" totalsRowDxfId="581">
      <calculatedColumnFormula>Tableau_Lancer_la_requête_à_partir_de_Excel_Files1025678[[#This Row],[Aide 
publique]]/Tableau_Lancer_la_requête_à_partir_de_Excel_Files1025678[[#This Row],[''Coût total éligible'']]</calculatedColumnFormula>
    </tableColumn>
    <tableColumn id="40" uniqueName="40" name="Aide Massif" totalsRowFunction="sum" queryTableFieldId="43" dataDxfId="580" totalsRowDxfId="579">
      <calculatedColumnFormula>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calculatedColumnFormula>
    </tableColumn>
    <tableColumn id="82" uniqueName="82" name="Tx_x000a_Aide Massif" queryTableFieldId="93" dataDxfId="578" totalsRowDxfId="577">
      <calculatedColumnFormula>Tableau_Lancer_la_requête_à_partir_de_Excel_Files1025678[[#This Row],[Aide Massif]]/Tableau_Lancer_la_requête_à_partir_de_Excel_Files1025678[[#This Row],[''Coût total éligible'']]</calculatedColumnFormula>
    </tableColumn>
    <tableColumn id="75" uniqueName="75" name="'FEDER'" totalsRowFunction="sum" queryTableFieldId="78" dataDxfId="576" totalsRowDxfId="575"/>
    <tableColumn id="7" uniqueName="7" name="Total Etat" totalsRowFunction="sum" queryTableFieldId="99" dataDxfId="574" totalsRowDxfId="573">
      <calculatedColumnFormula>Tableau_Lancer_la_requête_à_partir_de_Excel_Files1025678[[#This Row],[''FNADT '']]+Tableau_Lancer_la_requête_à_partir_de_Excel_Files1025678[[#This Row],[''Agriculture'']]</calculatedColumnFormula>
    </tableColumn>
    <tableColumn id="11" uniqueName="11" name="'FNADT '" queryTableFieldId="104" dataDxfId="572" totalsRowDxfId="571"/>
    <tableColumn id="46" uniqueName="46" name="'Agriculture'" totalsRowFunction="sum" queryTableFieldId="49" dataDxfId="570" totalsRowDxfId="569"/>
    <tableColumn id="8" uniqueName="8" name="Total Régions" totalsRowFunction="sum" queryTableFieldId="100" dataDxfId="568" totalsRowDxfId="567">
      <calculatedColumnFormula>Tableau_Lancer_la_requête_à_partir_de_Excel_Files1025678[[#This Row],[''ALPC'']]+Tableau_Lancer_la_requête_à_partir_de_Excel_Files1025678[[#This Row],[''AURA'']]+Tableau_Lancer_la_requête_à_partir_de_Excel_Files1025678[[#This Row],[''BFC'']]+Tableau_Lancer_la_requête_à_partir_de_Excel_Files1025678[[#This Row],[''LRMP'']]</calculatedColumnFormula>
    </tableColumn>
    <tableColumn id="48" uniqueName="48" name="'ALPC'" totalsRowFunction="sum" queryTableFieldId="51" dataDxfId="566" totalsRowDxfId="565"/>
    <tableColumn id="49" uniqueName="49" name="'AURA'" totalsRowFunction="sum" queryTableFieldId="52" dataDxfId="564" totalsRowDxfId="563"/>
    <tableColumn id="78" uniqueName="78" name="'BFC'" totalsRowFunction="sum" queryTableFieldId="81" dataDxfId="562" totalsRowDxfId="561"/>
    <tableColumn id="79" uniqueName="79" name="'LRMP'" totalsRowFunction="sum" queryTableFieldId="82" dataDxfId="560" totalsRowDxfId="559"/>
    <tableColumn id="9" uniqueName="9" name="Total Dpts" totalsRowFunction="sum" queryTableFieldId="101" dataDxfId="558" totalsRowDxfId="557">
      <calculatedColumnFormula>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calculatedColumnFormula>
    </tableColumn>
    <tableColumn id="53" uniqueName="53" name="'03'" totalsRowFunction="sum" queryTableFieldId="56" dataDxfId="556" totalsRowDxfId="555"/>
    <tableColumn id="54" uniqueName="54" name="'07'" totalsRowFunction="sum" queryTableFieldId="57" dataDxfId="554" totalsRowDxfId="553"/>
    <tableColumn id="55" uniqueName="55" name="'11'" totalsRowFunction="sum" queryTableFieldId="58" dataDxfId="552" totalsRowDxfId="551"/>
    <tableColumn id="56" uniqueName="56" name="'12'" totalsRowFunction="sum" queryTableFieldId="59" dataDxfId="550" totalsRowDxfId="549"/>
    <tableColumn id="57" uniqueName="57" name="'15'" totalsRowFunction="sum" queryTableFieldId="60" dataDxfId="548" totalsRowDxfId="547"/>
    <tableColumn id="58" uniqueName="58" name="'19'" totalsRowFunction="sum" queryTableFieldId="61" dataDxfId="546" totalsRowDxfId="545"/>
    <tableColumn id="59" uniqueName="59" name="'21'" totalsRowFunction="sum" queryTableFieldId="62" dataDxfId="544" totalsRowDxfId="543"/>
    <tableColumn id="80" uniqueName="80" name="'23'" totalsRowFunction="sum" queryTableFieldId="85" dataDxfId="542" totalsRowDxfId="541"/>
    <tableColumn id="60" uniqueName="60" name="'30'" totalsRowFunction="sum" queryTableFieldId="63" dataDxfId="540" totalsRowDxfId="539"/>
    <tableColumn id="61" uniqueName="61" name="'34'" totalsRowFunction="sum" queryTableFieldId="64" dataDxfId="538" totalsRowDxfId="537"/>
    <tableColumn id="62" uniqueName="62" name="'42'" totalsRowFunction="sum" queryTableFieldId="65" dataDxfId="536" totalsRowDxfId="535"/>
    <tableColumn id="63" uniqueName="63" name="'43'" totalsRowFunction="sum" queryTableFieldId="66" dataDxfId="534" totalsRowDxfId="533"/>
    <tableColumn id="64" uniqueName="64" name="'46'" totalsRowFunction="sum" queryTableFieldId="67" dataDxfId="532" totalsRowDxfId="531"/>
    <tableColumn id="65" uniqueName="65" name="'48'" totalsRowFunction="sum" queryTableFieldId="68" dataDxfId="530" totalsRowDxfId="529"/>
    <tableColumn id="66" uniqueName="66" name="'58'" totalsRowFunction="sum" queryTableFieldId="69" dataDxfId="528" totalsRowDxfId="527"/>
    <tableColumn id="67" uniqueName="67" name="'63'" totalsRowFunction="sum" queryTableFieldId="70" dataDxfId="526" totalsRowDxfId="525"/>
    <tableColumn id="68" uniqueName="68" name="'69'" totalsRowFunction="sum" queryTableFieldId="71" dataDxfId="524" totalsRowDxfId="523"/>
    <tableColumn id="69" uniqueName="69" name="'71'" totalsRowFunction="sum" queryTableFieldId="72" dataDxfId="522" totalsRowDxfId="521"/>
    <tableColumn id="70" uniqueName="70" name="'81'" totalsRowFunction="sum" queryTableFieldId="73" dataDxfId="520" totalsRowDxfId="519"/>
    <tableColumn id="71" uniqueName="71" name="'82'" totalsRowFunction="sum" queryTableFieldId="74" dataDxfId="518" totalsRowDxfId="517"/>
    <tableColumn id="72" uniqueName="72" name="'87'" totalsRowFunction="sum" queryTableFieldId="75" dataDxfId="516" totalsRowDxfId="515"/>
    <tableColumn id="73" uniqueName="73" name="'89'" totalsRowFunction="sum" queryTableFieldId="76" dataDxfId="514" totalsRowDxfId="513"/>
    <tableColumn id="76" uniqueName="76" name="'Autre Public'" totalsRowFunction="sum" queryTableFieldId="79" dataDxfId="512" totalsRowDxfId="511"/>
    <tableColumn id="35" uniqueName="35" name="Avis Cofimac" queryTableFieldId="35" dataDxfId="510" totalsRowDxfId="509"/>
    <tableColumn id="5" uniqueName="5" name="Date début operation" queryTableFieldId="107" dataDxfId="508" totalsRowDxfId="507"/>
    <tableColumn id="4" uniqueName="4" name="Avis Prog" queryTableFieldId="95" dataDxfId="506" totalsRowDxfId="505"/>
  </tableColumns>
  <tableStyleInfo name="TableStyleMedium6" showFirstColumn="0" showLastColumn="0" showRowStripes="1" showColumnStripes="0"/>
</table>
</file>

<file path=xl/tables/table11.xml><?xml version="1.0" encoding="utf-8"?>
<table xmlns="http://schemas.openxmlformats.org/spreadsheetml/2006/main" id="9" name="Tableau_Lancer_la_requête_à_partir_de_Excel_Files1025678910" displayName="Tableau_Lancer_la_requête_à_partir_de_Excel_Files1025678910" ref="A6:AR8" tableType="queryTable" insertRow="1" totalsRowCount="1" headerRowDxfId="487" dataDxfId="486" totalsRowDxfId="485">
  <autoFilter ref="A6:AR7"/>
  <sortState ref="A7:AR7">
    <sortCondition ref="A6:A18"/>
  </sortState>
  <tableColumns count="44">
    <tableColumn id="1" uniqueName="1" name="ID_Synergie" totalsRowLabel="Total" queryTableFieldId="1" dataDxfId="484" totalsRowDxfId="483"/>
    <tableColumn id="2" uniqueName="2" name="Nom_MO" totalsRowFunction="count" queryTableFieldId="2" dataDxfId="482" totalsRowDxfId="481"/>
    <tableColumn id="3" uniqueName="3" name="Intitule_Operation" queryTableFieldId="3" dataDxfId="480" totalsRowDxfId="479"/>
    <tableColumn id="43" uniqueName="43" name="'Coût total éligible'" totalsRowFunction="sum" queryTableFieldId="46" dataDxfId="478" totalsRowDxfId="477"/>
    <tableColumn id="39" uniqueName="39" name="Aide _x000a_publique" totalsRowFunction="sum" queryTableFieldId="42" dataDxfId="476" totalsRowDxfId="475">
      <calculatedColumnFormula>Tableau_Lancer_la_requête_à_partir_de_Excel_Files1025678910[[#This Row],[Aide Massif]]+Tableau_Lancer_la_requête_à_partir_de_Excel_Files1025678910[[#This Row],[''Autre Public'']]</calculatedColumnFormula>
    </tableColumn>
    <tableColumn id="81" uniqueName="81" name="Tx Aide publique" queryTableFieldId="92" dataDxfId="474" totalsRowDxfId="473">
      <calculatedColumnFormula>Tableau_Lancer_la_requête_à_partir_de_Excel_Files1025678910[[#This Row],[Aide 
publique]]/Tableau_Lancer_la_requête_à_partir_de_Excel_Files1025678910[[#This Row],[''Coût total éligible'']]</calculatedColumnFormula>
    </tableColumn>
    <tableColumn id="40" uniqueName="40" name="Aide Massif" totalsRowFunction="sum" queryTableFieldId="43" dataDxfId="472" totalsRowDxfId="471">
      <calculatedColumnFormula>Tableau_Lancer_la_requête_à_partir_de_Excel_Files1025678910[[#This Row],[''FEDER'']]+Tableau_Lancer_la_requête_à_partir_de_Excel_Files1025678910[[#This Row],[Total Etat]]+Tableau_Lancer_la_requête_à_partir_de_Excel_Files1025678910[[#This Row],[Total Régions]]+Tableau_Lancer_la_requête_à_partir_de_Excel_Files1025678910[[#This Row],[Total Dpts]]</calculatedColumnFormula>
    </tableColumn>
    <tableColumn id="82" uniqueName="82" name="Tx_x000a_Aide Massif" queryTableFieldId="93" dataDxfId="470" totalsRowDxfId="469">
      <calculatedColumnFormula>Tableau_Lancer_la_requête_à_partir_de_Excel_Files1025678910[[#This Row],[Aide Massif]]/Tableau_Lancer_la_requête_à_partir_de_Excel_Files1025678910[[#This Row],[''Coût total éligible'']]</calculatedColumnFormula>
    </tableColumn>
    <tableColumn id="75" uniqueName="75" name="'FEDER'" totalsRowFunction="sum" queryTableFieldId="78" dataDxfId="468" totalsRowDxfId="467"/>
    <tableColumn id="7" uniqueName="7" name="Total Etat" totalsRowFunction="sum" queryTableFieldId="99" dataDxfId="466" totalsRowDxfId="465">
      <calculatedColumnFormula>Tableau_Lancer_la_requête_à_partir_de_Excel_Files1025678910[[#This Row],[''FNADT '']]+Tableau_Lancer_la_requête_à_partir_de_Excel_Files1025678910[[#This Row],[''Agriculture'']]</calculatedColumnFormula>
    </tableColumn>
    <tableColumn id="11" uniqueName="11" name="'FNADT '" queryTableFieldId="104" dataDxfId="464" totalsRowDxfId="463"/>
    <tableColumn id="46" uniqueName="46" name="'Agriculture'" totalsRowFunction="sum" queryTableFieldId="49" dataDxfId="462" totalsRowDxfId="461"/>
    <tableColumn id="8" uniqueName="8" name="Total Régions" totalsRowFunction="sum" queryTableFieldId="100" dataDxfId="460" totalsRowDxfId="459">
      <calculatedColumnFormula>Tableau_Lancer_la_requête_à_partir_de_Excel_Files1025678910[[#This Row],[''ALPC'']]+Tableau_Lancer_la_requête_à_partir_de_Excel_Files1025678910[[#This Row],[''AURA'']]+Tableau_Lancer_la_requête_à_partir_de_Excel_Files1025678910[[#This Row],[''BFC'']]+Tableau_Lancer_la_requête_à_partir_de_Excel_Files1025678910[[#This Row],[''LRMP'']]</calculatedColumnFormula>
    </tableColumn>
    <tableColumn id="48" uniqueName="48" name="'ALPC'" totalsRowFunction="sum" queryTableFieldId="51" dataDxfId="458" totalsRowDxfId="457"/>
    <tableColumn id="49" uniqueName="49" name="'AURA'" totalsRowFunction="sum" queryTableFieldId="52" dataDxfId="456" totalsRowDxfId="455"/>
    <tableColumn id="78" uniqueName="78" name="'BFC'" totalsRowFunction="sum" queryTableFieldId="81" dataDxfId="454" totalsRowDxfId="453"/>
    <tableColumn id="79" uniqueName="79" name="'LRMP'" totalsRowFunction="sum" queryTableFieldId="82" dataDxfId="452" totalsRowDxfId="451"/>
    <tableColumn id="9" uniqueName="9" name="Total Dpts" totalsRowFunction="sum" queryTableFieldId="101" dataDxfId="450" totalsRowDxfId="449">
      <calculatedColumnFormula>Tableau_Lancer_la_requête_à_partir_de_Excel_Files1025678910[[#This Row],[''03'']]+Tableau_Lancer_la_requête_à_partir_de_Excel_Files1025678910[[#This Row],[''07'']]+Tableau_Lancer_la_requête_à_partir_de_Excel_Files1025678910[[#This Row],[''11'']]+Tableau_Lancer_la_requête_à_partir_de_Excel_Files1025678910[[#This Row],[''12'']]+Tableau_Lancer_la_requête_à_partir_de_Excel_Files1025678910[[#This Row],[''15'']]+Tableau_Lancer_la_requête_à_partir_de_Excel_Files1025678910[[#This Row],[''19'']]+Tableau_Lancer_la_requête_à_partir_de_Excel_Files1025678910[[#This Row],[''21'']]+Tableau_Lancer_la_requête_à_partir_de_Excel_Files1025678910[[#This Row],[''23'']]+Tableau_Lancer_la_requête_à_partir_de_Excel_Files1025678910[[#This Row],[''30'']]+Tableau_Lancer_la_requête_à_partir_de_Excel_Files1025678910[[#This Row],[''34'']]+Tableau_Lancer_la_requête_à_partir_de_Excel_Files1025678910[[#This Row],[''42'']]+Tableau_Lancer_la_requête_à_partir_de_Excel_Files1025678910[[#This Row],[''43'']]+Tableau_Lancer_la_requête_à_partir_de_Excel_Files1025678910[[#This Row],[''46'']]+Tableau_Lancer_la_requête_à_partir_de_Excel_Files1025678910[[#This Row],[''48'']]+Tableau_Lancer_la_requête_à_partir_de_Excel_Files1025678910[[#This Row],[''58'']]+Tableau_Lancer_la_requête_à_partir_de_Excel_Files1025678910[[#This Row],[''63'']]+Tableau_Lancer_la_requête_à_partir_de_Excel_Files1025678910[[#This Row],[''69'']]+Tableau_Lancer_la_requête_à_partir_de_Excel_Files1025678910[[#This Row],[''71'']]+Tableau_Lancer_la_requête_à_partir_de_Excel_Files1025678910[[#This Row],[''81'']]+Tableau_Lancer_la_requête_à_partir_de_Excel_Files1025678910[[#This Row],[''82'']]+Tableau_Lancer_la_requête_à_partir_de_Excel_Files1025678910[[#This Row],[''87'']]+Tableau_Lancer_la_requête_à_partir_de_Excel_Files1025678910[[#This Row],[''89'']]</calculatedColumnFormula>
    </tableColumn>
    <tableColumn id="53" uniqueName="53" name="'03'" totalsRowFunction="sum" queryTableFieldId="56" dataDxfId="448" totalsRowDxfId="447"/>
    <tableColumn id="54" uniqueName="54" name="'07'" totalsRowFunction="sum" queryTableFieldId="57" dataDxfId="446" totalsRowDxfId="445"/>
    <tableColumn id="55" uniqueName="55" name="'11'" totalsRowFunction="sum" queryTableFieldId="58" dataDxfId="444" totalsRowDxfId="443"/>
    <tableColumn id="56" uniqueName="56" name="'12'" totalsRowFunction="sum" queryTableFieldId="59" dataDxfId="442" totalsRowDxfId="441"/>
    <tableColumn id="57" uniqueName="57" name="'15'" totalsRowFunction="sum" queryTableFieldId="60" dataDxfId="440" totalsRowDxfId="439"/>
    <tableColumn id="58" uniqueName="58" name="'19'" totalsRowFunction="sum" queryTableFieldId="61" dataDxfId="438" totalsRowDxfId="437"/>
    <tableColumn id="59" uniqueName="59" name="'21'" totalsRowFunction="sum" queryTableFieldId="62" dataDxfId="436" totalsRowDxfId="435"/>
    <tableColumn id="80" uniqueName="80" name="'23'" totalsRowFunction="sum" queryTableFieldId="85" dataDxfId="434" totalsRowDxfId="433"/>
    <tableColumn id="60" uniqueName="60" name="'30'" totalsRowFunction="sum" queryTableFieldId="63" dataDxfId="432" totalsRowDxfId="431"/>
    <tableColumn id="61" uniqueName="61" name="'34'" totalsRowFunction="sum" queryTableFieldId="64" dataDxfId="430" totalsRowDxfId="429"/>
    <tableColumn id="62" uniqueName="62" name="'42'" totalsRowFunction="sum" queryTableFieldId="65" dataDxfId="428" totalsRowDxfId="427"/>
    <tableColumn id="63" uniqueName="63" name="'43'" totalsRowFunction="sum" queryTableFieldId="66" dataDxfId="426" totalsRowDxfId="425"/>
    <tableColumn id="64" uniqueName="64" name="'46'" totalsRowFunction="sum" queryTableFieldId="67" dataDxfId="424" totalsRowDxfId="423"/>
    <tableColumn id="65" uniqueName="65" name="'48'" totalsRowFunction="sum" queryTableFieldId="68" dataDxfId="422" totalsRowDxfId="421"/>
    <tableColumn id="66" uniqueName="66" name="'58'" totalsRowFunction="sum" queryTableFieldId="69" dataDxfId="420" totalsRowDxfId="419"/>
    <tableColumn id="67" uniqueName="67" name="'63'" totalsRowFunction="sum" queryTableFieldId="70" dataDxfId="418" totalsRowDxfId="417"/>
    <tableColumn id="68" uniqueName="68" name="'69'" totalsRowFunction="sum" queryTableFieldId="71" dataDxfId="416" totalsRowDxfId="415"/>
    <tableColumn id="69" uniqueName="69" name="'71'" totalsRowFunction="sum" queryTableFieldId="72" dataDxfId="414" totalsRowDxfId="413"/>
    <tableColumn id="70" uniqueName="70" name="'81'" totalsRowFunction="sum" queryTableFieldId="73" dataDxfId="412" totalsRowDxfId="411"/>
    <tableColumn id="71" uniqueName="71" name="'82'" totalsRowFunction="sum" queryTableFieldId="74" dataDxfId="410" totalsRowDxfId="409"/>
    <tableColumn id="72" uniqueName="72" name="'87'" totalsRowFunction="sum" queryTableFieldId="75" dataDxfId="408" totalsRowDxfId="407"/>
    <tableColumn id="73" uniqueName="73" name="'89'" totalsRowFunction="sum" queryTableFieldId="76" dataDxfId="406" totalsRowDxfId="405"/>
    <tableColumn id="76" uniqueName="76" name="'Autre Public'" totalsRowFunction="sum" queryTableFieldId="79" dataDxfId="404" totalsRowDxfId="403"/>
    <tableColumn id="35" uniqueName="35" name="Avis Cofimac" queryTableFieldId="35" dataDxfId="402" totalsRowDxfId="401"/>
    <tableColumn id="5" uniqueName="5" name="Date début operation" queryTableFieldId="107" dataDxfId="400" totalsRowDxfId="399"/>
    <tableColumn id="4" uniqueName="4" name="Avis Prog" queryTableFieldId="95" dataDxfId="398" totalsRowDxfId="397"/>
  </tableColumns>
  <tableStyleInfo name="TableStyleMedium6" showFirstColumn="0" showLastColumn="0" showRowStripes="1" showColumnStripes="0"/>
</table>
</file>

<file path=xl/tables/table12.xml><?xml version="1.0" encoding="utf-8"?>
<table xmlns="http://schemas.openxmlformats.org/spreadsheetml/2006/main" id="2" name="Tableau_Lancer_la_requête_à_partir_de_Excel_Files3" displayName="Tableau_Lancer_la_requête_à_partir_de_Excel_Files3" ref="A6:AT22" tableType="queryTable" totalsRowCount="1" headerRowDxfId="386" dataDxfId="385" totalsRowDxfId="384">
  <autoFilter ref="A6:AT21"/>
  <sortState ref="A7:AT21">
    <sortCondition ref="C6:C18"/>
  </sortState>
  <tableColumns count="46">
    <tableColumn id="1" uniqueName="1" name="Programme" totalsRowLabel="Total" queryTableFieldId="1" dataDxfId="383" totalsRowDxfId="382"/>
    <tableColumn id="50" uniqueName="50" name="ID_dossier GIP" queryTableFieldId="84" dataDxfId="381" totalsRowDxfId="380"/>
    <tableColumn id="43" uniqueName="43" name="ID_Synergie" totalsRowFunction="count" queryTableFieldId="48" dataDxfId="379" totalsRowDxfId="378"/>
    <tableColumn id="2" uniqueName="2" name="Nom_MO" queryTableFieldId="2" dataDxfId="377" totalsRowDxfId="376"/>
    <tableColumn id="3" uniqueName="3" name="Intitule_Operation" queryTableFieldId="3" dataDxfId="375" totalsRowDxfId="374"/>
    <tableColumn id="4" uniqueName="4" name="Coût total déposé" totalsRowFunction="sum" queryTableFieldId="4" dataDxfId="373" totalsRowDxfId="372"/>
    <tableColumn id="12" uniqueName="12" name="Coût total Eligible FEDER" queryTableFieldId="128" dataDxfId="371" totalsRowDxfId="370"/>
    <tableColumn id="13" uniqueName="13" name="Coût total" totalsRowFunction="sum" queryTableFieldId="131" dataDxfId="369" totalsRowDxfId="368">
      <calculatedColumnFormula>IF(Tableau_Lancer_la_requête_à_partir_de_Excel_Files3[[#This Row],[Coût total Eligible FEDER]]="",Tableau_Lancer_la_requête_à_partir_de_Excel_Files3[[#This Row],[Coût total déposé]],Tableau_Lancer_la_requête_à_partir_de_Excel_Files3[[#This Row],[Coût total Eligible FEDER]])</calculatedColumnFormula>
    </tableColumn>
    <tableColumn id="6" uniqueName="6" name="Aide Publique Obtenue" totalsRowFunction="sum" queryTableFieldId="92" dataDxfId="367" totalsRowDxfId="366">
      <calculatedColumnFormula>Tableau_Lancer_la_requête_à_partir_de_Excel_Files3[[#This Row],[Aide Massif Obtenu]]+Tableau_Lancer_la_requête_à_partir_de_Excel_Files3[[#This Row],[''Autre Public'']]</calculatedColumnFormula>
    </tableColumn>
    <tableColumn id="44" uniqueName="44" name="Taux Aide Publique" queryTableFieldId="44" dataDxfId="365" totalsRowDxfId="364">
      <calculatedColumnFormula>Tableau_Lancer_la_requête_à_partir_de_Excel_Files3[[#This Row],[Aide Publique Obtenue]]/Tableau_Lancer_la_requête_à_partir_de_Excel_Files3[[#This Row],[Coût total]]</calculatedColumnFormula>
    </tableColumn>
    <tableColumn id="40" uniqueName="40" name="Aide Massif Obtenu" totalsRowFunction="sum" queryTableFieldId="40" dataDxfId="363" totalsRowDxfId="362">
      <calculatedColumnFormula>Tableau_Lancer_la_requête_à_partir_de_Excel_Files3[[#This Row],[Etat]]+Tableau_Lancer_la_requête_à_partir_de_Excel_Files3[[#This Row],[Régions]]+Tableau_Lancer_la_requête_à_partir_de_Excel_Files3[[#This Row],[Départements]]+Tableau_Lancer_la_requête_à_partir_de_Excel_Files3[[#This Row],[''FEDER'']]</calculatedColumnFormula>
    </tableColumn>
    <tableColumn id="42" uniqueName="42" name="Taux Aide Massif" queryTableFieldId="42" dataDxfId="361" totalsRowDxfId="360">
      <calculatedColumnFormula>Tableau_Lancer_la_requête_à_partir_de_Excel_Files3[[#This Row],[Aide Massif Obtenu]]/Tableau_Lancer_la_requête_à_partir_de_Excel_Files3[[#This Row],[Coût total]]</calculatedColumnFormula>
    </tableColumn>
    <tableColumn id="52" uniqueName="52" name="Etat" totalsRowFunction="sum" queryTableFieldId="89" dataDxfId="359" totalsRowDxfId="358">
      <calculatedColumnFormula>Tableau_Lancer_la_requête_à_partir_de_Excel_Files3[[#This Row],[''FNADT'']]+Tableau_Lancer_la_requête_à_partir_de_Excel_Files3[[#This Row],[''Agriculture'']]</calculatedColumnFormula>
    </tableColumn>
    <tableColumn id="15" uniqueName="15" name="'FNADT'" queryTableFieldId="133" dataDxfId="357" totalsRowDxfId="356"/>
    <tableColumn id="16" uniqueName="16" name="'Agriculture'" queryTableFieldId="134" dataDxfId="355" totalsRowDxfId="354"/>
    <tableColumn id="54" uniqueName="54" name="Régions" totalsRowFunction="sum" queryTableFieldId="90" dataDxfId="353" totalsRowDxfId="352">
      <calculatedColumnFormula>Tableau_Lancer_la_requête_à_partir_de_Excel_Files3[[#This Row],[''ALPC'']]+Tableau_Lancer_la_requête_à_partir_de_Excel_Files3[[#This Row],[''AURA'']]+Tableau_Lancer_la_requête_à_partir_de_Excel_Files3[[#This Row],[''BFC'']]+Tableau_Lancer_la_requête_à_partir_de_Excel_Files3[[#This Row],[''LRMP'']]</calculatedColumnFormula>
    </tableColumn>
    <tableColumn id="20" uniqueName="20" name="'ALPC'" queryTableFieldId="138" dataDxfId="351" totalsRowDxfId="350"/>
    <tableColumn id="18" uniqueName="18" name="'AURA'" queryTableFieldId="136" dataDxfId="349" totalsRowDxfId="348"/>
    <tableColumn id="19" uniqueName="19" name="'BFC'" queryTableFieldId="137" dataDxfId="347" totalsRowDxfId="346"/>
    <tableColumn id="21" uniqueName="21" name="'LRMP'" queryTableFieldId="139" dataDxfId="345" totalsRowDxfId="344"/>
    <tableColumn id="55" uniqueName="55" name="Départements" totalsRowFunction="sum" queryTableFieldId="91" dataDxfId="343" totalsRowDxfId="342">
      <calculatedColumnFormula>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calculatedColumnFormula>
    </tableColumn>
    <tableColumn id="23" uniqueName="23" name="'03'" queryTableFieldId="141" dataDxfId="341" totalsRowDxfId="340"/>
    <tableColumn id="24" uniqueName="24" name="'07'" queryTableFieldId="142" dataDxfId="339" totalsRowDxfId="338"/>
    <tableColumn id="25" uniqueName="25" name="'11'" queryTableFieldId="143" dataDxfId="337" totalsRowDxfId="336"/>
    <tableColumn id="26" uniqueName="26" name="'12'" queryTableFieldId="144" dataDxfId="335" totalsRowDxfId="334"/>
    <tableColumn id="27" uniqueName="27" name="'15'" queryTableFieldId="145" dataDxfId="333" totalsRowDxfId="332"/>
    <tableColumn id="28" uniqueName="28" name="'19'" queryTableFieldId="146" dataDxfId="331" totalsRowDxfId="330"/>
    <tableColumn id="29" uniqueName="29" name="'21'" queryTableFieldId="147" dataDxfId="329" totalsRowDxfId="328"/>
    <tableColumn id="30" uniqueName="30" name="'23'" queryTableFieldId="148" dataDxfId="327" totalsRowDxfId="326"/>
    <tableColumn id="31" uniqueName="31" name="'30'" queryTableFieldId="149" dataDxfId="325" totalsRowDxfId="324"/>
    <tableColumn id="32" uniqueName="32" name="'34'" queryTableFieldId="150" dataDxfId="323" totalsRowDxfId="322"/>
    <tableColumn id="33" uniqueName="33" name="'42'" queryTableFieldId="151" dataDxfId="321" totalsRowDxfId="320"/>
    <tableColumn id="34" uniqueName="34" name="'43'" queryTableFieldId="152" dataDxfId="319" totalsRowDxfId="318"/>
    <tableColumn id="35" uniqueName="35" name="'46'" queryTableFieldId="153" dataDxfId="317" totalsRowDxfId="316"/>
    <tableColumn id="36" uniqueName="36" name="'48'" queryTableFieldId="154" dataDxfId="315" totalsRowDxfId="314"/>
    <tableColumn id="37" uniqueName="37" name="'58'" queryTableFieldId="155" dataDxfId="313" totalsRowDxfId="312"/>
    <tableColumn id="38" uniqueName="38" name="'63'" queryTableFieldId="156" dataDxfId="311" totalsRowDxfId="310"/>
    <tableColumn id="39" uniqueName="39" name="'69'" queryTableFieldId="157" dataDxfId="309" totalsRowDxfId="308"/>
    <tableColumn id="41" uniqueName="41" name="'71'" queryTableFieldId="158" dataDxfId="307" totalsRowDxfId="306"/>
    <tableColumn id="45" uniqueName="45" name="'81'" queryTableFieldId="159" dataDxfId="305" totalsRowDxfId="304"/>
    <tableColumn id="47" uniqueName="47" name="'82'" queryTableFieldId="160" dataDxfId="303" totalsRowDxfId="302"/>
    <tableColumn id="48" uniqueName="48" name="'87'" queryTableFieldId="161" dataDxfId="301" totalsRowDxfId="300"/>
    <tableColumn id="51" uniqueName="51" name="'89'" queryTableFieldId="162" dataDxfId="299" totalsRowDxfId="298"/>
    <tableColumn id="53" uniqueName="53" name="'FEDER'" totalsRowFunction="sum" queryTableFieldId="163" dataDxfId="297" totalsRowDxfId="296"/>
    <tableColumn id="56" uniqueName="56" name="'Autre Public'" queryTableFieldId="164" dataDxfId="295" totalsRowDxfId="294"/>
    <tableColumn id="5" uniqueName="5" name="Avis Prog" queryTableFieldId="169" dataDxfId="293" totalsRowDxfId="292"/>
  </tableColumns>
  <tableStyleInfo name="TableStyleMedium2" showFirstColumn="0" showLastColumn="0" showRowStripes="1" showColumnStripes="0"/>
</table>
</file>

<file path=xl/tables/table13.xml><?xml version="1.0" encoding="utf-8"?>
<table xmlns="http://schemas.openxmlformats.org/spreadsheetml/2006/main" id="3" name="Tableau3" displayName="Tableau3" ref="AX6:CE24" totalsRowCount="1" headerRowDxfId="291" dataDxfId="290" totalsRowDxfId="289">
  <autoFilter ref="AX6:CE23"/>
  <tableColumns count="34">
    <tableColumn id="1" name="NumSym" totalsRowLabel="Total" dataDxfId="288" totalsRowDxfId="287"/>
    <tableColumn id="2" name="Etat" totalsRowFunction="sum" dataDxfId="286" totalsRowDxfId="285">
      <calculatedColumnFormula>SUM(AZ7:BA7)</calculatedColumnFormula>
    </tableColumn>
    <tableColumn id="3" name="'FNADT'" totalsRowFunction="sum" dataDxfId="284" totalsRowDxfId="283"/>
    <tableColumn id="4" name="'Agriculture'" totalsRowFunction="sum" dataDxfId="282" totalsRowDxfId="281">
      <calculatedColumnFormula>SUM(BB7:BE7)</calculatedColumnFormula>
    </tableColumn>
    <tableColumn id="5" name="Régions" totalsRowFunction="sum" dataDxfId="280" totalsRowDxfId="279">
      <calculatedColumnFormula>SUM(BC7:BF7)</calculatedColumnFormula>
    </tableColumn>
    <tableColumn id="6" name="'ALPC'" totalsRowFunction="sum" dataDxfId="278" totalsRowDxfId="277"/>
    <tableColumn id="7" name="'AURA'" totalsRowFunction="sum" dataDxfId="276" totalsRowDxfId="275"/>
    <tableColumn id="8" name="'BFC'" totalsRowFunction="sum" dataDxfId="274" totalsRowDxfId="273"/>
    <tableColumn id="9" name="'LRMP'" totalsRowFunction="sum" dataDxfId="272" totalsRowDxfId="271">
      <calculatedColumnFormula>SUM(BG7:CB7)</calculatedColumnFormula>
    </tableColumn>
    <tableColumn id="10" name="Départements" totalsRowFunction="sum" dataDxfId="270" totalsRowDxfId="269">
      <calculatedColumnFormula>SUM(BH7:CC7)</calculatedColumnFormula>
    </tableColumn>
    <tableColumn id="11" name="'03'" totalsRowFunction="sum" dataDxfId="268" totalsRowDxfId="267"/>
    <tableColumn id="12" name="'07'" totalsRowFunction="sum" dataDxfId="266" totalsRowDxfId="265"/>
    <tableColumn id="13" name="'11'" totalsRowFunction="sum" dataDxfId="264" totalsRowDxfId="263"/>
    <tableColumn id="14" name="'12'" totalsRowFunction="sum" dataDxfId="262" totalsRowDxfId="261"/>
    <tableColumn id="15" name="'15'" totalsRowFunction="sum" dataDxfId="260" totalsRowDxfId="259"/>
    <tableColumn id="16" name="'19'" totalsRowFunction="sum" dataDxfId="258" totalsRowDxfId="257"/>
    <tableColumn id="17" name="'21'" totalsRowFunction="sum" dataDxfId="256" totalsRowDxfId="255"/>
    <tableColumn id="18" name="'23'" totalsRowFunction="sum" dataDxfId="254" totalsRowDxfId="253"/>
    <tableColumn id="19" name="'30'" totalsRowFunction="sum" dataDxfId="252" totalsRowDxfId="251"/>
    <tableColumn id="20" name="'34'" totalsRowFunction="sum" dataDxfId="250" totalsRowDxfId="249"/>
    <tableColumn id="21" name="'42'" totalsRowFunction="sum" dataDxfId="248" totalsRowDxfId="247"/>
    <tableColumn id="22" name="'43'" totalsRowFunction="sum" dataDxfId="246" totalsRowDxfId="245"/>
    <tableColumn id="23" name="'46'" totalsRowFunction="sum" dataDxfId="244" totalsRowDxfId="243"/>
    <tableColumn id="24" name="'48'" totalsRowFunction="sum" dataDxfId="242" totalsRowDxfId="241"/>
    <tableColumn id="25" name="'58'" totalsRowFunction="sum" dataDxfId="240" totalsRowDxfId="239"/>
    <tableColumn id="26" name="'63'" totalsRowFunction="sum" dataDxfId="238" totalsRowDxfId="237"/>
    <tableColumn id="27" name="'69'" totalsRowFunction="sum" dataDxfId="236" totalsRowDxfId="235"/>
    <tableColumn id="28" name="'71'" totalsRowFunction="sum" dataDxfId="234" totalsRowDxfId="233"/>
    <tableColumn id="29" name="'81'" totalsRowFunction="sum" dataDxfId="232" totalsRowDxfId="231"/>
    <tableColumn id="30" name="'82'" totalsRowFunction="sum" dataDxfId="230" totalsRowDxfId="229"/>
    <tableColumn id="31" name="'87'" totalsRowFunction="sum" dataDxfId="228" totalsRowDxfId="227"/>
    <tableColumn id="32" name="'89'" totalsRowFunction="sum" dataDxfId="226" totalsRowDxfId="225"/>
    <tableColumn id="33" name="'FEDER'" totalsRowFunction="sum" dataDxfId="224" totalsRowDxfId="223"/>
    <tableColumn id="34" name="Avis" totalsRowFunction="count" dataDxfId="222" totalsRowDxfId="221">
      <calculatedColumnFormula>VLOOKUP(Tableau3[[#This Row],[NumSym]],Tableau_Lancer_la_requête_à_partir_de_Excel_Files3[[ID_Synergie]:[Avis Prog]],44)</calculatedColumnFormula>
    </tableColumn>
  </tableColumns>
  <tableStyleInfo name="TableStyleLight1" showFirstColumn="0" showLastColumn="0" showRowStripes="1" showColumnStripes="0"/>
</table>
</file>

<file path=xl/tables/table14.xml><?xml version="1.0" encoding="utf-8"?>
<table xmlns="http://schemas.openxmlformats.org/spreadsheetml/2006/main" id="15" name="Tableau_Lancer_la_requête_à_partir_de_Excel_Files316" displayName="Tableau_Lancer_la_requête_à_partir_de_Excel_Files316" ref="A6:AT15" tableType="queryTable" totalsRowCount="1" headerRowDxfId="210" dataDxfId="209" totalsRowDxfId="208">
  <autoFilter ref="A6:AT14"/>
  <sortState ref="A7:AT14">
    <sortCondition ref="C6:C18"/>
  </sortState>
  <tableColumns count="46">
    <tableColumn id="1" uniqueName="1" name="Programme" totalsRowLabel="Total" queryTableFieldId="1" dataDxfId="207" totalsRowDxfId="206"/>
    <tableColumn id="50" uniqueName="50" name="ID_dossier GIP" queryTableFieldId="84" dataDxfId="205" totalsRowDxfId="204"/>
    <tableColumn id="43" uniqueName="43" name="ID_Synergie" totalsRowFunction="count" queryTableFieldId="48" dataDxfId="203" totalsRowDxfId="202"/>
    <tableColumn id="2" uniqueName="2" name="Nom_MO" queryTableFieldId="2" dataDxfId="201" totalsRowDxfId="200"/>
    <tableColumn id="3" uniqueName="3" name="Intitule_Operation" queryTableFieldId="3" dataDxfId="199" totalsRowDxfId="198"/>
    <tableColumn id="4" uniqueName="4" name="Coût total déposé" totalsRowFunction="sum" queryTableFieldId="4" dataDxfId="197" totalsRowDxfId="196"/>
    <tableColumn id="12" uniqueName="12" name="Coût total Eligible FEDER" queryTableFieldId="128" dataDxfId="195" totalsRowDxfId="194"/>
    <tableColumn id="13" uniqueName="13" name="Coût total" totalsRowFunction="sum" queryTableFieldId="131" dataDxfId="193" totalsRowDxfId="192">
      <calculatedColumnFormula>IF(Tableau_Lancer_la_requête_à_partir_de_Excel_Files316[[#This Row],[Coût total Eligible FEDER]]="",Tableau_Lancer_la_requête_à_partir_de_Excel_Files316[[#This Row],[Coût total déposé]],Tableau_Lancer_la_requête_à_partir_de_Excel_Files316[[#This Row],[Coût total Eligible FEDER]])</calculatedColumnFormula>
    </tableColumn>
    <tableColumn id="6" uniqueName="6" name="Aide Publique Obtenue" totalsRowFunction="sum" queryTableFieldId="92" dataDxfId="191" totalsRowDxfId="190">
      <calculatedColumnFormula>Tableau_Lancer_la_requête_à_partir_de_Excel_Files316[[#This Row],[Aide Massif Obtenu]]+Tableau_Lancer_la_requête_à_partir_de_Excel_Files316[[#This Row],[''Autre Public'']]</calculatedColumnFormula>
    </tableColumn>
    <tableColumn id="44" uniqueName="44" name="Taux Aide Publique" queryTableFieldId="44" dataDxfId="189" totalsRowDxfId="188">
      <calculatedColumnFormula>Tableau_Lancer_la_requête_à_partir_de_Excel_Files316[[#This Row],[Aide Publique Obtenue]]/Tableau_Lancer_la_requête_à_partir_de_Excel_Files316[[#This Row],[Coût total]]</calculatedColumnFormula>
    </tableColumn>
    <tableColumn id="40" uniqueName="40" name="Aide Massif Obtenu" totalsRowFunction="sum" queryTableFieldId="40" dataDxfId="187" totalsRowDxfId="186">
      <calculatedColumnFormula>Tableau_Lancer_la_requête_à_partir_de_Excel_Files316[[#This Row],[Etat]]+Tableau_Lancer_la_requête_à_partir_de_Excel_Files316[[#This Row],[Régions]]+Tableau_Lancer_la_requête_à_partir_de_Excel_Files316[[#This Row],[Départements]]+Tableau_Lancer_la_requête_à_partir_de_Excel_Files316[[#This Row],[''FEDER'']]</calculatedColumnFormula>
    </tableColumn>
    <tableColumn id="42" uniqueName="42" name="Taux Aide Massif" queryTableFieldId="42" dataDxfId="185" totalsRowDxfId="184">
      <calculatedColumnFormula>Tableau_Lancer_la_requête_à_partir_de_Excel_Files316[[#This Row],[Aide Massif Obtenu]]/Tableau_Lancer_la_requête_à_partir_de_Excel_Files316[[#This Row],[Coût total]]</calculatedColumnFormula>
    </tableColumn>
    <tableColumn id="52" uniqueName="52" name="Etat" totalsRowFunction="sum" queryTableFieldId="89" dataDxfId="183" totalsRowDxfId="182">
      <calculatedColumnFormula>Tableau_Lancer_la_requête_à_partir_de_Excel_Files316[[#This Row],[''FNADT'']]+Tableau_Lancer_la_requête_à_partir_de_Excel_Files316[[#This Row],[''Agriculture'']]</calculatedColumnFormula>
    </tableColumn>
    <tableColumn id="15" uniqueName="15" name="'FNADT'" queryTableFieldId="133" dataDxfId="181" totalsRowDxfId="180"/>
    <tableColumn id="16" uniqueName="16" name="'Agriculture'" queryTableFieldId="134" dataDxfId="179" totalsRowDxfId="178"/>
    <tableColumn id="54" uniqueName="54" name="Régions" totalsRowFunction="sum" queryTableFieldId="90" dataDxfId="177" totalsRowDxfId="176">
      <calculatedColumnFormula>Tableau_Lancer_la_requête_à_partir_de_Excel_Files316[[#This Row],[''ALPC'']]+Tableau_Lancer_la_requête_à_partir_de_Excel_Files316[[#This Row],[''AURA'']]+Tableau_Lancer_la_requête_à_partir_de_Excel_Files316[[#This Row],[''BFC'']]+Tableau_Lancer_la_requête_à_partir_de_Excel_Files316[[#This Row],[''LRMP'']]</calculatedColumnFormula>
    </tableColumn>
    <tableColumn id="20" uniqueName="20" name="'ALPC'" queryTableFieldId="138" dataDxfId="175" totalsRowDxfId="174"/>
    <tableColumn id="18" uniqueName="18" name="'AURA'" queryTableFieldId="136" dataDxfId="173" totalsRowDxfId="172"/>
    <tableColumn id="19" uniqueName="19" name="'BFC'" queryTableFieldId="137" dataDxfId="171" totalsRowDxfId="170"/>
    <tableColumn id="21" uniqueName="21" name="'LRMP'" queryTableFieldId="139" dataDxfId="169" totalsRowDxfId="168"/>
    <tableColumn id="55" uniqueName="55" name="Départements" totalsRowFunction="sum" queryTableFieldId="91" dataDxfId="167" totalsRowDxfId="166">
      <calculatedColumnFormula>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calculatedColumnFormula>
    </tableColumn>
    <tableColumn id="23" uniqueName="23" name="'03'" queryTableFieldId="141" dataDxfId="165" totalsRowDxfId="164"/>
    <tableColumn id="24" uniqueName="24" name="'07'" queryTableFieldId="142" dataDxfId="163" totalsRowDxfId="162"/>
    <tableColumn id="25" uniqueName="25" name="'11'" queryTableFieldId="143" dataDxfId="161" totalsRowDxfId="160"/>
    <tableColumn id="26" uniqueName="26" name="'12'" queryTableFieldId="144" dataDxfId="159" totalsRowDxfId="158"/>
    <tableColumn id="27" uniqueName="27" name="'15'" queryTableFieldId="145" dataDxfId="157" totalsRowDxfId="156"/>
    <tableColumn id="28" uniqueName="28" name="'19'" queryTableFieldId="146" dataDxfId="155" totalsRowDxfId="154"/>
    <tableColumn id="29" uniqueName="29" name="'21'" queryTableFieldId="147" dataDxfId="153" totalsRowDxfId="152"/>
    <tableColumn id="30" uniqueName="30" name="'23'" queryTableFieldId="148" dataDxfId="151" totalsRowDxfId="150"/>
    <tableColumn id="31" uniqueName="31" name="'30'" queryTableFieldId="149" dataDxfId="149" totalsRowDxfId="148"/>
    <tableColumn id="32" uniqueName="32" name="'34'" queryTableFieldId="150" dataDxfId="147" totalsRowDxfId="146"/>
    <tableColumn id="33" uniqueName="33" name="'42'" queryTableFieldId="151" dataDxfId="145" totalsRowDxfId="144"/>
    <tableColumn id="34" uniqueName="34" name="'43'" queryTableFieldId="152" dataDxfId="143" totalsRowDxfId="142"/>
    <tableColumn id="35" uniqueName="35" name="'46'" queryTableFieldId="153" dataDxfId="141" totalsRowDxfId="140"/>
    <tableColumn id="36" uniqueName="36" name="'48'" queryTableFieldId="154" dataDxfId="139" totalsRowDxfId="138"/>
    <tableColumn id="37" uniqueName="37" name="'58'" queryTableFieldId="155" dataDxfId="137" totalsRowDxfId="136"/>
    <tableColumn id="38" uniqueName="38" name="'63'" queryTableFieldId="156" dataDxfId="135" totalsRowDxfId="134"/>
    <tableColumn id="39" uniqueName="39" name="'69'" queryTableFieldId="157" dataDxfId="133" totalsRowDxfId="132"/>
    <tableColumn id="41" uniqueName="41" name="'71'" queryTableFieldId="158" dataDxfId="131" totalsRowDxfId="130"/>
    <tableColumn id="45" uniqueName="45" name="'81'" queryTableFieldId="159" dataDxfId="129" totalsRowDxfId="128"/>
    <tableColumn id="47" uniqueName="47" name="'82'" queryTableFieldId="160" dataDxfId="127" totalsRowDxfId="126"/>
    <tableColumn id="48" uniqueName="48" name="'87'" queryTableFieldId="161" dataDxfId="125" totalsRowDxfId="124"/>
    <tableColumn id="51" uniqueName="51" name="'89'" queryTableFieldId="162" dataDxfId="123" totalsRowDxfId="122"/>
    <tableColumn id="53" uniqueName="53" name="'FEDER'" totalsRowFunction="sum" queryTableFieldId="163" dataDxfId="121" totalsRowDxfId="120"/>
    <tableColumn id="56" uniqueName="56" name="'Autre Public'" queryTableFieldId="164" dataDxfId="119" totalsRowDxfId="118"/>
    <tableColumn id="5" uniqueName="5" name="Avis Prog" queryTableFieldId="169" dataDxfId="117" totalsRowDxfId="116"/>
  </tableColumns>
  <tableStyleInfo name="TableStyleMedium2" showFirstColumn="0" showLastColumn="0" showRowStripes="1" showColumnStripes="0"/>
</table>
</file>

<file path=xl/tables/table15.xml><?xml version="1.0" encoding="utf-8"?>
<table xmlns="http://schemas.openxmlformats.org/spreadsheetml/2006/main" id="16" name="Tableau317" displayName="Tableau317" ref="AX6:CE24" totalsRowCount="1" headerRowDxfId="115" dataDxfId="114" totalsRowDxfId="113">
  <autoFilter ref="AX6:CE23"/>
  <tableColumns count="34">
    <tableColumn id="1" name="NumSym" totalsRowLabel="Total" dataDxfId="112" totalsRowDxfId="111"/>
    <tableColumn id="2" name="Etat" totalsRowFunction="sum" dataDxfId="110" totalsRowDxfId="109">
      <calculatedColumnFormula>SUM(AZ7:BA7)</calculatedColumnFormula>
    </tableColumn>
    <tableColumn id="3" name="'FNADT'" totalsRowFunction="sum" dataDxfId="108" totalsRowDxfId="107"/>
    <tableColumn id="4" name="'Agriculture'" totalsRowFunction="sum" dataDxfId="106" totalsRowDxfId="105">
      <calculatedColumnFormula>SUM(BB7:BE7)</calculatedColumnFormula>
    </tableColumn>
    <tableColumn id="5" name="Régions" totalsRowFunction="sum" dataDxfId="104" totalsRowDxfId="103">
      <calculatedColumnFormula>SUM(BC7:BF7)</calculatedColumnFormula>
    </tableColumn>
    <tableColumn id="6" name="'ALPC'" totalsRowFunction="sum" dataDxfId="102" totalsRowDxfId="101"/>
    <tableColumn id="7" name="'AURA'" totalsRowFunction="sum" dataDxfId="100" totalsRowDxfId="99"/>
    <tableColumn id="8" name="'BFC'" totalsRowFunction="sum" dataDxfId="98" totalsRowDxfId="97"/>
    <tableColumn id="9" name="'LRMP'" totalsRowFunction="sum" dataDxfId="96" totalsRowDxfId="95">
      <calculatedColumnFormula>SUM(BG7:CB7)</calculatedColumnFormula>
    </tableColumn>
    <tableColumn id="10" name="Départements" totalsRowFunction="sum" dataDxfId="94" totalsRowDxfId="93">
      <calculatedColumnFormula>SUM(BH7:CC7)</calculatedColumnFormula>
    </tableColumn>
    <tableColumn id="11" name="'03'" totalsRowFunction="sum" dataDxfId="92" totalsRowDxfId="91"/>
    <tableColumn id="12" name="'07'" totalsRowFunction="sum" dataDxfId="90" totalsRowDxfId="89"/>
    <tableColumn id="13" name="'11'" totalsRowFunction="sum" dataDxfId="88" totalsRowDxfId="87"/>
    <tableColumn id="14" name="'12'" totalsRowFunction="sum" dataDxfId="86" totalsRowDxfId="85"/>
    <tableColumn id="15" name="'15'" totalsRowFunction="sum" dataDxfId="84" totalsRowDxfId="83"/>
    <tableColumn id="16" name="'19'" totalsRowFunction="sum" dataDxfId="82" totalsRowDxfId="81"/>
    <tableColumn id="17" name="'21'" totalsRowFunction="sum" dataDxfId="80" totalsRowDxfId="79"/>
    <tableColumn id="18" name="'23'" totalsRowFunction="sum" dataDxfId="78" totalsRowDxfId="77"/>
    <tableColumn id="19" name="'30'" totalsRowFunction="sum" dataDxfId="76" totalsRowDxfId="75"/>
    <tableColumn id="20" name="'34'" totalsRowFunction="sum" dataDxfId="74" totalsRowDxfId="73"/>
    <tableColumn id="21" name="'42'" totalsRowFunction="sum" dataDxfId="72" totalsRowDxfId="71"/>
    <tableColumn id="22" name="'43'" totalsRowFunction="sum" dataDxfId="70" totalsRowDxfId="69"/>
    <tableColumn id="23" name="'46'" totalsRowFunction="sum" dataDxfId="68" totalsRowDxfId="67"/>
    <tableColumn id="24" name="'48'" totalsRowFunction="sum" dataDxfId="66" totalsRowDxfId="65"/>
    <tableColumn id="25" name="'58'" totalsRowFunction="sum" dataDxfId="64" totalsRowDxfId="63"/>
    <tableColumn id="26" name="'63'" totalsRowFunction="sum" dataDxfId="62" totalsRowDxfId="61"/>
    <tableColumn id="27" name="'69'" totalsRowFunction="sum" dataDxfId="60" totalsRowDxfId="59"/>
    <tableColumn id="28" name="'71'" totalsRowFunction="sum" dataDxfId="58" totalsRowDxfId="57"/>
    <tableColumn id="29" name="'81'" totalsRowFunction="sum" dataDxfId="56" totalsRowDxfId="55"/>
    <tableColumn id="30" name="'82'" totalsRowFunction="sum" dataDxfId="54" totalsRowDxfId="53"/>
    <tableColumn id="31" name="'87'" totalsRowFunction="sum" dataDxfId="52" totalsRowDxfId="51"/>
    <tableColumn id="32" name="'89'" totalsRowFunction="sum" dataDxfId="50" totalsRowDxfId="49"/>
    <tableColumn id="33" name="'FEDER'" totalsRowFunction="sum" dataDxfId="48" totalsRowDxfId="47"/>
    <tableColumn id="34" name="Avis" totalsRowFunction="count" dataDxfId="46" totalsRowDxfId="45">
      <calculatedColumnFormula>VLOOKUP(Tableau317[[#This Row],[NumSym]],Tableau_Lancer_la_requête_à_partir_de_Excel_Files316[[ID_Synergie]:[Avis Prog]],44)</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11" name="Tableau_Lancer_la_requête_à_partir_de_Excel_Files102567891112" displayName="Tableau_Lancer_la_requête_à_partir_de_Excel_Files102567891112" ref="A52:AR55" tableType="queryTable" totalsRowCount="1" headerRowDxfId="1333" dataDxfId="1332" totalsRowDxfId="1331">
  <autoFilter ref="A52:AR54"/>
  <sortState ref="A53:AR54">
    <sortCondition ref="A6:A18"/>
  </sortState>
  <tableColumns count="44">
    <tableColumn id="1" uniqueName="1" name="ID_Synergie" totalsRowLabel="Total" queryTableFieldId="1" dataDxfId="1330" totalsRowDxfId="1329"/>
    <tableColumn id="2" uniqueName="2" name="Nom_MO" totalsRowFunction="count" queryTableFieldId="2" dataDxfId="1328" totalsRowDxfId="1327"/>
    <tableColumn id="3" uniqueName="3" name="Intitule_Operation" queryTableFieldId="3" dataDxfId="1326" totalsRowDxfId="1325"/>
    <tableColumn id="43" uniqueName="43" name="'Coût total éligible'" totalsRowFunction="sum" queryTableFieldId="46" dataDxfId="1324" totalsRowDxfId="1323"/>
    <tableColumn id="39" uniqueName="39" name="Aide _x000a_publique" totalsRowFunction="sum" queryTableFieldId="42" dataDxfId="1322" totalsRowDxfId="1321">
      <calculatedColumnFormula>Tableau_Lancer_la_requête_à_partir_de_Excel_Files102567891112[[#This Row],[Aide Massif]]+Tableau_Lancer_la_requête_à_partir_de_Excel_Files102567891112[[#This Row],[''Autre Public'']]</calculatedColumnFormula>
    </tableColumn>
    <tableColumn id="81" uniqueName="81" name="Tx Aide publique" queryTableFieldId="92" dataDxfId="1320" totalsRowDxfId="1319">
      <calculatedColumnFormula>Tableau_Lancer_la_requête_à_partir_de_Excel_Files102567891112[[#This Row],[Aide 
publique]]/Tableau_Lancer_la_requête_à_partir_de_Excel_Files102567891112[[#This Row],[''Coût total éligible'']]</calculatedColumnFormula>
    </tableColumn>
    <tableColumn id="40" uniqueName="40" name="Aide Massif" totalsRowFunction="sum" queryTableFieldId="43" dataDxfId="1318" totalsRowDxfId="1317">
      <calculatedColumnFormula>Tableau_Lancer_la_requête_à_partir_de_Excel_Files102567891112[[#This Row],[''FEDER'']]+Tableau_Lancer_la_requête_à_partir_de_Excel_Files102567891112[[#This Row],[Total Etat]]+Tableau_Lancer_la_requête_à_partir_de_Excel_Files102567891112[[#This Row],[Total Régions]]+Tableau_Lancer_la_requête_à_partir_de_Excel_Files102567891112[[#This Row],[Total Dpts]]</calculatedColumnFormula>
    </tableColumn>
    <tableColumn id="82" uniqueName="82" name="Tx_x000a_Aide Massif" queryTableFieldId="93" dataDxfId="1316" totalsRowDxfId="1315">
      <calculatedColumnFormula>Tableau_Lancer_la_requête_à_partir_de_Excel_Files102567891112[[#This Row],[Aide Massif]]/Tableau_Lancer_la_requête_à_partir_de_Excel_Files102567891112[[#This Row],[''Coût total éligible'']]</calculatedColumnFormula>
    </tableColumn>
    <tableColumn id="75" uniqueName="75" name="'FEDER'" totalsRowFunction="sum" queryTableFieldId="78" dataDxfId="1314" totalsRowDxfId="1313"/>
    <tableColumn id="7" uniqueName="7" name="Total Etat" totalsRowFunction="sum" queryTableFieldId="99" dataDxfId="1312" totalsRowDxfId="1311">
      <calculatedColumnFormula>Tableau_Lancer_la_requête_à_partir_de_Excel_Files102567891112[[#This Row],[''FNADT '']]+Tableau_Lancer_la_requête_à_partir_de_Excel_Files102567891112[[#This Row],[''Agriculture'']]</calculatedColumnFormula>
    </tableColumn>
    <tableColumn id="11" uniqueName="11" name="'FNADT '" queryTableFieldId="104" dataDxfId="1310" totalsRowDxfId="1309"/>
    <tableColumn id="46" uniqueName="46" name="'Agriculture'" totalsRowFunction="sum" queryTableFieldId="49" dataDxfId="1308" totalsRowDxfId="1307"/>
    <tableColumn id="8" uniqueName="8" name="Total Régions" totalsRowFunction="sum" queryTableFieldId="100" dataDxfId="1306" totalsRowDxfId="1305">
      <calculatedColumnFormula>Tableau_Lancer_la_requête_à_partir_de_Excel_Files102567891112[[#This Row],[''ALPC'']]+Tableau_Lancer_la_requête_à_partir_de_Excel_Files102567891112[[#This Row],[''AURA'']]+Tableau_Lancer_la_requête_à_partir_de_Excel_Files102567891112[[#This Row],[''BFC'']]+Tableau_Lancer_la_requête_à_partir_de_Excel_Files102567891112[[#This Row],[''LRMP'']]</calculatedColumnFormula>
    </tableColumn>
    <tableColumn id="48" uniqueName="48" name="'ALPC'" totalsRowFunction="sum" queryTableFieldId="51" dataDxfId="1304" totalsRowDxfId="1303"/>
    <tableColumn id="49" uniqueName="49" name="'AURA'" totalsRowFunction="sum" queryTableFieldId="52" dataDxfId="1302" totalsRowDxfId="1301"/>
    <tableColumn id="78" uniqueName="78" name="'BFC'" totalsRowFunction="sum" queryTableFieldId="81" dataDxfId="1300" totalsRowDxfId="1299"/>
    <tableColumn id="79" uniqueName="79" name="'LRMP'" totalsRowFunction="sum" queryTableFieldId="82" dataDxfId="1298" totalsRowDxfId="1297"/>
    <tableColumn id="9" uniqueName="9" name="Total Dpts" totalsRowFunction="sum" queryTableFieldId="101" dataDxfId="1296" totalsRowDxfId="1295">
      <calculatedColumnFormula>Tableau_Lancer_la_requête_à_partir_de_Excel_Files102567891112[[#This Row],[''03'']]+Tableau_Lancer_la_requête_à_partir_de_Excel_Files102567891112[[#This Row],[''07'']]+Tableau_Lancer_la_requête_à_partir_de_Excel_Files102567891112[[#This Row],[''11'']]+Tableau_Lancer_la_requête_à_partir_de_Excel_Files102567891112[[#This Row],[''12'']]+Tableau_Lancer_la_requête_à_partir_de_Excel_Files102567891112[[#This Row],[''15'']]+Tableau_Lancer_la_requête_à_partir_de_Excel_Files102567891112[[#This Row],[''19'']]+Tableau_Lancer_la_requête_à_partir_de_Excel_Files102567891112[[#This Row],[''21'']]+Tableau_Lancer_la_requête_à_partir_de_Excel_Files102567891112[[#This Row],[''23'']]+Tableau_Lancer_la_requête_à_partir_de_Excel_Files102567891112[[#This Row],[''30'']]+Tableau_Lancer_la_requête_à_partir_de_Excel_Files102567891112[[#This Row],[''34'']]+Tableau_Lancer_la_requête_à_partir_de_Excel_Files102567891112[[#This Row],[''42'']]+Tableau_Lancer_la_requête_à_partir_de_Excel_Files102567891112[[#This Row],[''43'']]+Tableau_Lancer_la_requête_à_partir_de_Excel_Files102567891112[[#This Row],[''46'']]+Tableau_Lancer_la_requête_à_partir_de_Excel_Files102567891112[[#This Row],[''48'']]+Tableau_Lancer_la_requête_à_partir_de_Excel_Files102567891112[[#This Row],[''58'']]+Tableau_Lancer_la_requête_à_partir_de_Excel_Files102567891112[[#This Row],[''63'']]+Tableau_Lancer_la_requête_à_partir_de_Excel_Files102567891112[[#This Row],[''69'']]+Tableau_Lancer_la_requête_à_partir_de_Excel_Files102567891112[[#This Row],[''71'']]+Tableau_Lancer_la_requête_à_partir_de_Excel_Files102567891112[[#This Row],[''81'']]+Tableau_Lancer_la_requête_à_partir_de_Excel_Files102567891112[[#This Row],[''82'']]+Tableau_Lancer_la_requête_à_partir_de_Excel_Files102567891112[[#This Row],[''87'']]+Tableau_Lancer_la_requête_à_partir_de_Excel_Files102567891112[[#This Row],[''89'']]</calculatedColumnFormula>
    </tableColumn>
    <tableColumn id="53" uniqueName="53" name="'03'" totalsRowFunction="sum" queryTableFieldId="56" dataDxfId="1294" totalsRowDxfId="1293"/>
    <tableColumn id="54" uniqueName="54" name="'07'" totalsRowFunction="sum" queryTableFieldId="57" dataDxfId="1292" totalsRowDxfId="1291"/>
    <tableColumn id="55" uniqueName="55" name="'11'" totalsRowFunction="sum" queryTableFieldId="58" dataDxfId="1290" totalsRowDxfId="1289"/>
    <tableColumn id="56" uniqueName="56" name="'12'" totalsRowFunction="sum" queryTableFieldId="59" dataDxfId="1288" totalsRowDxfId="1287"/>
    <tableColumn id="57" uniqueName="57" name="'15'" totalsRowFunction="sum" queryTableFieldId="60" dataDxfId="1286" totalsRowDxfId="1285"/>
    <tableColumn id="58" uniqueName="58" name="'19'" totalsRowFunction="sum" queryTableFieldId="61" dataDxfId="1284" totalsRowDxfId="1283"/>
    <tableColumn id="59" uniqueName="59" name="'21'" totalsRowFunction="sum" queryTableFieldId="62" dataDxfId="1282" totalsRowDxfId="1281"/>
    <tableColumn id="80" uniqueName="80" name="'23'" totalsRowFunction="sum" queryTableFieldId="85" dataDxfId="1280" totalsRowDxfId="1279"/>
    <tableColumn id="60" uniqueName="60" name="'30'" totalsRowFunction="sum" queryTableFieldId="63" dataDxfId="1278" totalsRowDxfId="1277"/>
    <tableColumn id="61" uniqueName="61" name="'34'" totalsRowFunction="sum" queryTableFieldId="64" dataDxfId="1276" totalsRowDxfId="1275"/>
    <tableColumn id="62" uniqueName="62" name="'42'" totalsRowFunction="sum" queryTableFieldId="65" dataDxfId="1274" totalsRowDxfId="1273"/>
    <tableColumn id="63" uniqueName="63" name="'43'" totalsRowFunction="sum" queryTableFieldId="66" dataDxfId="1272" totalsRowDxfId="1271"/>
    <tableColumn id="64" uniqueName="64" name="'46'" totalsRowFunction="sum" queryTableFieldId="67" dataDxfId="1270" totalsRowDxfId="1269"/>
    <tableColumn id="65" uniqueName="65" name="'48'" totalsRowFunction="sum" queryTableFieldId="68" dataDxfId="1268" totalsRowDxfId="1267"/>
    <tableColumn id="66" uniqueName="66" name="'58'" totalsRowFunction="sum" queryTableFieldId="69" dataDxfId="1266" totalsRowDxfId="1265"/>
    <tableColumn id="67" uniqueName="67" name="'63'" totalsRowFunction="sum" queryTableFieldId="70" dataDxfId="1264" totalsRowDxfId="1263"/>
    <tableColumn id="68" uniqueName="68" name="'69'" totalsRowFunction="sum" queryTableFieldId="71" dataDxfId="1262" totalsRowDxfId="1261"/>
    <tableColumn id="69" uniqueName="69" name="'71'" totalsRowFunction="sum" queryTableFieldId="72" dataDxfId="1260" totalsRowDxfId="1259"/>
    <tableColumn id="70" uniqueName="70" name="'81'" totalsRowFunction="sum" queryTableFieldId="73" dataDxfId="1258" totalsRowDxfId="1257"/>
    <tableColumn id="71" uniqueName="71" name="'82'" totalsRowFunction="sum" queryTableFieldId="74" dataDxfId="1256" totalsRowDxfId="1255"/>
    <tableColumn id="72" uniqueName="72" name="'87'" totalsRowFunction="sum" queryTableFieldId="75" dataDxfId="1254" totalsRowDxfId="1253"/>
    <tableColumn id="73" uniqueName="73" name="'89'" totalsRowFunction="sum" queryTableFieldId="76" dataDxfId="1252" totalsRowDxfId="1251"/>
    <tableColumn id="76" uniqueName="76" name="'Autre Public'" totalsRowFunction="sum" queryTableFieldId="79" dataDxfId="1250" totalsRowDxfId="1249"/>
    <tableColumn id="35" uniqueName="35" name="Avis Cofimac" queryTableFieldId="35" dataDxfId="1248" totalsRowDxfId="1247"/>
    <tableColumn id="5" uniqueName="5" name="Date début operation" queryTableFieldId="107" dataDxfId="1246" totalsRowDxfId="1245"/>
    <tableColumn id="4" uniqueName="4" name="Avis Prog" queryTableFieldId="95" dataDxfId="1244" totalsRowDxfId="1243"/>
  </tableColumns>
  <tableStyleInfo name="TableStyleMedium6" showFirstColumn="0" showLastColumn="0" showRowStripes="1" showColumnStripes="0"/>
</table>
</file>

<file path=xl/tables/table3.xml><?xml version="1.0" encoding="utf-8"?>
<table xmlns="http://schemas.openxmlformats.org/spreadsheetml/2006/main" id="12" name="Tableau_Lancer_la_requête_à_partir_de_Excel_Files102567891113" displayName="Tableau_Lancer_la_requête_à_partir_de_Excel_Files102567891113" ref="A14:AR28" tableType="queryTable" totalsRowCount="1" headerRowDxfId="1242" dataDxfId="1241" totalsRowDxfId="1240">
  <autoFilter ref="A14:AR27"/>
  <sortState ref="A15:AR27">
    <sortCondition ref="A6:A18"/>
  </sortState>
  <tableColumns count="44">
    <tableColumn id="1" uniqueName="1" name="ID_Synergie" totalsRowLabel="Total" queryTableFieldId="1" dataDxfId="1239" totalsRowDxfId="1238"/>
    <tableColumn id="2" uniqueName="2" name="Nom_MO" totalsRowFunction="count" queryTableFieldId="2" dataDxfId="1237" totalsRowDxfId="1236"/>
    <tableColumn id="3" uniqueName="3" name="Intitule_Operation" queryTableFieldId="3" dataDxfId="1235" totalsRowDxfId="1234"/>
    <tableColumn id="43" uniqueName="43" name="'Coût total éligible'" totalsRowFunction="sum" queryTableFieldId="46" dataDxfId="1233" totalsRowDxfId="1232"/>
    <tableColumn id="39" uniqueName="39" name="Aide _x000a_publique" totalsRowFunction="sum" queryTableFieldId="42" dataDxfId="1231" totalsRowDxfId="1230">
      <calculatedColumnFormula>Tableau_Lancer_la_requête_à_partir_de_Excel_Files102567891113[[#This Row],[Aide Massif]]+Tableau_Lancer_la_requête_à_partir_de_Excel_Files102567891113[[#This Row],[''Autre Public'']]</calculatedColumnFormula>
    </tableColumn>
    <tableColumn id="81" uniqueName="81" name="Tx Aide publique" queryTableFieldId="92" dataDxfId="1229" totalsRowDxfId="1228">
      <calculatedColumnFormula>Tableau_Lancer_la_requête_à_partir_de_Excel_Files102567891113[[#This Row],[Aide 
publique]]/Tableau_Lancer_la_requête_à_partir_de_Excel_Files102567891113[[#This Row],[''Coût total éligible'']]</calculatedColumnFormula>
    </tableColumn>
    <tableColumn id="40" uniqueName="40" name="Aide Massif" totalsRowFunction="sum" queryTableFieldId="43" dataDxfId="1227" totalsRowDxfId="1226">
      <calculatedColumnFormula>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calculatedColumnFormula>
    </tableColumn>
    <tableColumn id="82" uniqueName="82" name="Tx_x000a_Aide Massif" queryTableFieldId="93" dataDxfId="1225" totalsRowDxfId="1224">
      <calculatedColumnFormula>Tableau_Lancer_la_requête_à_partir_de_Excel_Files102567891113[[#This Row],[Aide Massif]]/Tableau_Lancer_la_requête_à_partir_de_Excel_Files102567891113[[#This Row],[''Coût total éligible'']]</calculatedColumnFormula>
    </tableColumn>
    <tableColumn id="75" uniqueName="75" name="'FEDER'" totalsRowFunction="sum" queryTableFieldId="78" dataDxfId="1223" totalsRowDxfId="1222"/>
    <tableColumn id="7" uniqueName="7" name="Total Etat" totalsRowFunction="sum" queryTableFieldId="99" dataDxfId="1221" totalsRowDxfId="1220">
      <calculatedColumnFormula>Tableau_Lancer_la_requête_à_partir_de_Excel_Files102567891113[[#This Row],[''FNADT '']]+Tableau_Lancer_la_requête_à_partir_de_Excel_Files102567891113[[#This Row],[''Agriculture'']]</calculatedColumnFormula>
    </tableColumn>
    <tableColumn id="11" uniqueName="11" name="'FNADT '" queryTableFieldId="104" dataDxfId="1219" totalsRowDxfId="1218"/>
    <tableColumn id="46" uniqueName="46" name="'Agriculture'" totalsRowFunction="sum" queryTableFieldId="49" dataDxfId="1217" totalsRowDxfId="1216"/>
    <tableColumn id="8" uniqueName="8" name="Total Régions" totalsRowFunction="sum" queryTableFieldId="100" dataDxfId="1215" totalsRowDxfId="1214">
      <calculatedColumnFormula>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calculatedColumnFormula>
    </tableColumn>
    <tableColumn id="48" uniqueName="48" name="'ALPC'" totalsRowFunction="sum" queryTableFieldId="51" dataDxfId="1213" totalsRowDxfId="1212"/>
    <tableColumn id="49" uniqueName="49" name="'AURA'" totalsRowFunction="sum" queryTableFieldId="52" dataDxfId="1211" totalsRowDxfId="1210"/>
    <tableColumn id="78" uniqueName="78" name="'BFC'" totalsRowFunction="sum" queryTableFieldId="81" dataDxfId="1209" totalsRowDxfId="1208"/>
    <tableColumn id="79" uniqueName="79" name="'LRMP'" totalsRowFunction="sum" queryTableFieldId="82" dataDxfId="1207" totalsRowDxfId="1206"/>
    <tableColumn id="9" uniqueName="9" name="Total Dpts" totalsRowFunction="sum" queryTableFieldId="101" dataDxfId="1205" totalsRowDxfId="1204">
      <calculatedColumnFormula>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calculatedColumnFormula>
    </tableColumn>
    <tableColumn id="53" uniqueName="53" name="'03'" totalsRowFunction="sum" queryTableFieldId="56" dataDxfId="1203" totalsRowDxfId="1202"/>
    <tableColumn id="54" uniqueName="54" name="'07'" totalsRowFunction="sum" queryTableFieldId="57" dataDxfId="1201" totalsRowDxfId="1200"/>
    <tableColumn id="55" uniqueName="55" name="'11'" totalsRowFunction="sum" queryTableFieldId="58" dataDxfId="1199" totalsRowDxfId="1198"/>
    <tableColumn id="56" uniqueName="56" name="'12'" totalsRowFunction="sum" queryTableFieldId="59" dataDxfId="1197" totalsRowDxfId="1196"/>
    <tableColumn id="57" uniqueName="57" name="'15'" totalsRowFunction="sum" queryTableFieldId="60" dataDxfId="1195" totalsRowDxfId="1194"/>
    <tableColumn id="58" uniqueName="58" name="'19'" totalsRowFunction="sum" queryTableFieldId="61" dataDxfId="1193" totalsRowDxfId="1192"/>
    <tableColumn id="59" uniqueName="59" name="'21'" totalsRowFunction="sum" queryTableFieldId="62" dataDxfId="1191" totalsRowDxfId="1190"/>
    <tableColumn id="80" uniqueName="80" name="'23'" totalsRowFunction="sum" queryTableFieldId="85" dataDxfId="1189" totalsRowDxfId="1188"/>
    <tableColumn id="60" uniqueName="60" name="'30'" totalsRowFunction="sum" queryTableFieldId="63" dataDxfId="1187" totalsRowDxfId="1186"/>
    <tableColumn id="61" uniqueName="61" name="'34'" totalsRowFunction="sum" queryTableFieldId="64" dataDxfId="1185" totalsRowDxfId="1184"/>
    <tableColumn id="62" uniqueName="62" name="'42'" totalsRowFunction="sum" queryTableFieldId="65" dataDxfId="1183" totalsRowDxfId="1182"/>
    <tableColumn id="63" uniqueName="63" name="'43'" totalsRowFunction="sum" queryTableFieldId="66" dataDxfId="1181" totalsRowDxfId="1180"/>
    <tableColumn id="64" uniqueName="64" name="'46'" totalsRowFunction="sum" queryTableFieldId="67" dataDxfId="1179" totalsRowDxfId="1178"/>
    <tableColumn id="65" uniqueName="65" name="'48'" totalsRowFunction="sum" queryTableFieldId="68" dataDxfId="1177" totalsRowDxfId="1176"/>
    <tableColumn id="66" uniqueName="66" name="'58'" totalsRowFunction="sum" queryTableFieldId="69" dataDxfId="1175" totalsRowDxfId="1174"/>
    <tableColumn id="67" uniqueName="67" name="'63'" totalsRowFunction="sum" queryTableFieldId="70" dataDxfId="1173" totalsRowDxfId="1172"/>
    <tableColumn id="68" uniqueName="68" name="'69'" totalsRowFunction="sum" queryTableFieldId="71" dataDxfId="1171" totalsRowDxfId="1170"/>
    <tableColumn id="69" uniqueName="69" name="'71'" totalsRowFunction="sum" queryTableFieldId="72" dataDxfId="1169" totalsRowDxfId="1168"/>
    <tableColumn id="70" uniqueName="70" name="'81'" totalsRowFunction="sum" queryTableFieldId="73" dataDxfId="1167" totalsRowDxfId="1166"/>
    <tableColumn id="71" uniqueName="71" name="'82'" totalsRowFunction="sum" queryTableFieldId="74" dataDxfId="1165" totalsRowDxfId="1164"/>
    <tableColumn id="72" uniqueName="72" name="'87'" totalsRowFunction="sum" queryTableFieldId="75" dataDxfId="1163" totalsRowDxfId="1162"/>
    <tableColumn id="73" uniqueName="73" name="'89'" totalsRowFunction="sum" queryTableFieldId="76" dataDxfId="1161" totalsRowDxfId="1160"/>
    <tableColumn id="76" uniqueName="76" name="'Autre Public'" totalsRowFunction="sum" queryTableFieldId="79" dataDxfId="1159" totalsRowDxfId="1158"/>
    <tableColumn id="35" uniqueName="35" name="Avis Cofimac" queryTableFieldId="35" dataDxfId="1157" totalsRowDxfId="1156"/>
    <tableColumn id="5" uniqueName="5" name="Date début operation" queryTableFieldId="107" dataDxfId="1155" totalsRowDxfId="1154"/>
    <tableColumn id="4" uniqueName="4" name="Avis Prog" queryTableFieldId="95" dataDxfId="1153" totalsRowDxfId="1152"/>
  </tableColumns>
  <tableStyleInfo name="TableStyleMedium6" showFirstColumn="0" showLastColumn="0" showRowStripes="1" showColumnStripes="0"/>
</table>
</file>

<file path=xl/tables/table4.xml><?xml version="1.0" encoding="utf-8"?>
<table xmlns="http://schemas.openxmlformats.org/spreadsheetml/2006/main" id="13" name="Tableau_Lancer_la_requête_à_partir_de_Excel_Files10256789111214" displayName="Tableau_Lancer_la_requête_à_partir_de_Excel_Files10256789111214" ref="A32:AR48" tableType="queryTable" totalsRowCount="1" headerRowDxfId="1151" dataDxfId="1150" totalsRowDxfId="1149">
  <autoFilter ref="A32:AR47"/>
  <sortState ref="A33:AR47">
    <sortCondition ref="A6:A18"/>
  </sortState>
  <tableColumns count="44">
    <tableColumn id="1" uniqueName="1" name="ID_Synergie" totalsRowLabel="Total" queryTableFieldId="1" dataDxfId="1148" totalsRowDxfId="1147"/>
    <tableColumn id="2" uniqueName="2" name="Nom_MO" totalsRowFunction="count" queryTableFieldId="2" dataDxfId="1146" totalsRowDxfId="1145"/>
    <tableColumn id="3" uniqueName="3" name="Intitule_Operation" queryTableFieldId="3" dataDxfId="1144" totalsRowDxfId="1143"/>
    <tableColumn id="43" uniqueName="43" name="'Coût total éligible'" totalsRowFunction="sum" queryTableFieldId="46" dataDxfId="1142" totalsRowDxfId="1141"/>
    <tableColumn id="39" uniqueName="39" name="Aide _x000a_publique" totalsRowFunction="sum" queryTableFieldId="42" dataDxfId="1140" totalsRowDxfId="1139">
      <calculatedColumnFormula>Tableau_Lancer_la_requête_à_partir_de_Excel_Files10256789111214[[#This Row],[Aide Massif]]+Tableau_Lancer_la_requête_à_partir_de_Excel_Files10256789111214[[#This Row],[''Autre Public'']]</calculatedColumnFormula>
    </tableColumn>
    <tableColumn id="81" uniqueName="81" name="Tx Aide publique" queryTableFieldId="92" dataDxfId="1138" totalsRowDxfId="1137">
      <calculatedColumnFormula>Tableau_Lancer_la_requête_à_partir_de_Excel_Files10256789111214[[#This Row],[Aide 
publique]]/Tableau_Lancer_la_requête_à_partir_de_Excel_Files10256789111214[[#This Row],[''Coût total éligible'']]</calculatedColumnFormula>
    </tableColumn>
    <tableColumn id="40" uniqueName="40" name="Aide Massif" totalsRowFunction="sum" queryTableFieldId="43" dataDxfId="1136" totalsRowDxfId="1135">
      <calculatedColumnFormula>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calculatedColumnFormula>
    </tableColumn>
    <tableColumn id="82" uniqueName="82" name="Tx_x000a_Aide Massif" queryTableFieldId="93" dataDxfId="1134" totalsRowDxfId="1133">
      <calculatedColumnFormula>Tableau_Lancer_la_requête_à_partir_de_Excel_Files10256789111214[[#This Row],[Aide Massif]]/Tableau_Lancer_la_requête_à_partir_de_Excel_Files10256789111214[[#This Row],[''Coût total éligible'']]</calculatedColumnFormula>
    </tableColumn>
    <tableColumn id="75" uniqueName="75" name="'FEDER'" totalsRowFunction="sum" queryTableFieldId="78" dataDxfId="1132" totalsRowDxfId="1131"/>
    <tableColumn id="7" uniqueName="7" name="Total Etat" totalsRowFunction="sum" queryTableFieldId="99" dataDxfId="1130" totalsRowDxfId="1129">
      <calculatedColumnFormula>Tableau_Lancer_la_requête_à_partir_de_Excel_Files10256789111214[[#This Row],[''FNADT '']]+Tableau_Lancer_la_requête_à_partir_de_Excel_Files10256789111214[[#This Row],[''Agriculture'']]</calculatedColumnFormula>
    </tableColumn>
    <tableColumn id="11" uniqueName="11" name="'FNADT '" queryTableFieldId="104" dataDxfId="1128" totalsRowDxfId="1127"/>
    <tableColumn id="46" uniqueName="46" name="'Agriculture'" totalsRowFunction="sum" queryTableFieldId="49" dataDxfId="1126" totalsRowDxfId="1125"/>
    <tableColumn id="8" uniqueName="8" name="Total Régions" totalsRowFunction="sum" queryTableFieldId="100" dataDxfId="1124" totalsRowDxfId="1123">
      <calculatedColumnFormula>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calculatedColumnFormula>
    </tableColumn>
    <tableColumn id="48" uniqueName="48" name="'ALPC'" totalsRowFunction="sum" queryTableFieldId="51" dataDxfId="1122" totalsRowDxfId="1121"/>
    <tableColumn id="49" uniqueName="49" name="'AURA'" totalsRowFunction="sum" queryTableFieldId="52" dataDxfId="1120" totalsRowDxfId="1119"/>
    <tableColumn id="78" uniqueName="78" name="'BFC'" totalsRowFunction="sum" queryTableFieldId="81" dataDxfId="1118" totalsRowDxfId="1117"/>
    <tableColumn id="79" uniqueName="79" name="'LRMP'" totalsRowFunction="sum" queryTableFieldId="82" dataDxfId="1116" totalsRowDxfId="1115"/>
    <tableColumn id="9" uniqueName="9" name="Total Dpts" totalsRowFunction="sum" queryTableFieldId="101" dataDxfId="1114" totalsRowDxfId="1113">
      <calculatedColumnFormula>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calculatedColumnFormula>
    </tableColumn>
    <tableColumn id="53" uniqueName="53" name="'03'" totalsRowFunction="sum" queryTableFieldId="56" dataDxfId="1112" totalsRowDxfId="1111"/>
    <tableColumn id="54" uniqueName="54" name="'07'" totalsRowFunction="sum" queryTableFieldId="57" dataDxfId="1110" totalsRowDxfId="1109"/>
    <tableColumn id="55" uniqueName="55" name="'11'" totalsRowFunction="sum" queryTableFieldId="58" dataDxfId="1108" totalsRowDxfId="1107"/>
    <tableColumn id="56" uniqueName="56" name="'12'" totalsRowFunction="sum" queryTableFieldId="59" dataDxfId="1106" totalsRowDxfId="1105"/>
    <tableColumn id="57" uniqueName="57" name="'15'" totalsRowFunction="sum" queryTableFieldId="60" dataDxfId="1104" totalsRowDxfId="1103"/>
    <tableColumn id="58" uniqueName="58" name="'19'" totalsRowFunction="sum" queryTableFieldId="61" dataDxfId="1102" totalsRowDxfId="1101"/>
    <tableColumn id="59" uniqueName="59" name="'21'" totalsRowFunction="sum" queryTableFieldId="62" dataDxfId="1100" totalsRowDxfId="1099"/>
    <tableColumn id="80" uniqueName="80" name="'23'" totalsRowFunction="sum" queryTableFieldId="85" dataDxfId="1098" totalsRowDxfId="1097"/>
    <tableColumn id="60" uniqueName="60" name="'30'" totalsRowFunction="sum" queryTableFieldId="63" dataDxfId="1096" totalsRowDxfId="1095"/>
    <tableColumn id="61" uniqueName="61" name="'34'" totalsRowFunction="sum" queryTableFieldId="64" dataDxfId="1094" totalsRowDxfId="1093"/>
    <tableColumn id="62" uniqueName="62" name="'42'" totalsRowFunction="sum" queryTableFieldId="65" dataDxfId="1092" totalsRowDxfId="1091"/>
    <tableColumn id="63" uniqueName="63" name="'43'" totalsRowFunction="sum" queryTableFieldId="66" dataDxfId="1090" totalsRowDxfId="1089"/>
    <tableColumn id="64" uniqueName="64" name="'46'" totalsRowFunction="sum" queryTableFieldId="67" dataDxfId="1088" totalsRowDxfId="1087"/>
    <tableColumn id="65" uniqueName="65" name="'48'" totalsRowFunction="sum" queryTableFieldId="68" dataDxfId="1086" totalsRowDxfId="1085"/>
    <tableColumn id="66" uniqueName="66" name="'58'" totalsRowFunction="sum" queryTableFieldId="69" dataDxfId="1084" totalsRowDxfId="1083"/>
    <tableColumn id="67" uniqueName="67" name="'63'" totalsRowFunction="sum" queryTableFieldId="70" dataDxfId="1082" totalsRowDxfId="1081"/>
    <tableColumn id="68" uniqueName="68" name="'69'" totalsRowFunction="sum" queryTableFieldId="71" dataDxfId="1080" totalsRowDxfId="1079"/>
    <tableColumn id="69" uniqueName="69" name="'71'" totalsRowFunction="sum" queryTableFieldId="72" dataDxfId="1078" totalsRowDxfId="1077"/>
    <tableColumn id="70" uniqueName="70" name="'81'" totalsRowFunction="sum" queryTableFieldId="73" dataDxfId="1076" totalsRowDxfId="1075"/>
    <tableColumn id="71" uniqueName="71" name="'82'" totalsRowFunction="sum" queryTableFieldId="74" dataDxfId="1074" totalsRowDxfId="1073"/>
    <tableColumn id="72" uniqueName="72" name="'87'" totalsRowFunction="sum" queryTableFieldId="75" dataDxfId="1072" totalsRowDxfId="1071"/>
    <tableColumn id="73" uniqueName="73" name="'89'" totalsRowFunction="sum" queryTableFieldId="76" dataDxfId="1070" totalsRowDxfId="1069"/>
    <tableColumn id="76" uniqueName="76" name="'Autre Public'" totalsRowFunction="sum" queryTableFieldId="79" dataDxfId="1068" totalsRowDxfId="1067"/>
    <tableColumn id="35" uniqueName="35" name="Avis Cofimac" queryTableFieldId="35" dataDxfId="1066" totalsRowDxfId="1065"/>
    <tableColumn id="5" uniqueName="5" name="Date début operation" queryTableFieldId="107" dataDxfId="1064" totalsRowDxfId="1063"/>
    <tableColumn id="4" uniqueName="4" name="Avis Prog" queryTableFieldId="95" dataDxfId="1062" totalsRowDxfId="1061"/>
  </tableColumns>
  <tableStyleInfo name="TableStyleMedium6" showFirstColumn="0" showLastColumn="0" showRowStripes="1" showColumnStripes="0"/>
</table>
</file>

<file path=xl/tables/table5.xml><?xml version="1.0" encoding="utf-8"?>
<table xmlns="http://schemas.openxmlformats.org/spreadsheetml/2006/main" id="8" name="Tableau_Lancer_la_requête_à_partir_de_Excel_Files10256789" displayName="Tableau_Lancer_la_requête_à_partir_de_Excel_Files10256789" ref="A6:AR8" tableType="queryTable" totalsRowCount="1" headerRowDxfId="1051" dataDxfId="1050" totalsRowDxfId="1049">
  <autoFilter ref="A6:AR7"/>
  <sortState ref="A7:AR7">
    <sortCondition ref="A6:A18"/>
  </sortState>
  <tableColumns count="44">
    <tableColumn id="1" uniqueName="1" name="ID_Synergie" totalsRowLabel="Total" queryTableFieldId="1" dataDxfId="1048" totalsRowDxfId="1047"/>
    <tableColumn id="2" uniqueName="2" name="Nom_MO" totalsRowFunction="count" queryTableFieldId="2" dataDxfId="1046" totalsRowDxfId="1045"/>
    <tableColumn id="3" uniqueName="3" name="Intitule_Operation" queryTableFieldId="3" dataDxfId="1044" totalsRowDxfId="1043"/>
    <tableColumn id="43" uniqueName="43" name="'Coût total éligible'" totalsRowFunction="sum" queryTableFieldId="46" dataDxfId="1042" totalsRowDxfId="1041"/>
    <tableColumn id="39" uniqueName="39" name="Aide _x000a_publique" totalsRowFunction="sum" queryTableFieldId="42" dataDxfId="1040" totalsRowDxfId="1039">
      <calculatedColumnFormula>Tableau_Lancer_la_requête_à_partir_de_Excel_Files10256789[[#This Row],[Aide Massif]]+Tableau_Lancer_la_requête_à_partir_de_Excel_Files10256789[[#This Row],[''Autre Public'']]</calculatedColumnFormula>
    </tableColumn>
    <tableColumn id="81" uniqueName="81" name="Tx Aide publique" queryTableFieldId="92" dataDxfId="1038" totalsRowDxfId="1037">
      <calculatedColumnFormula>Tableau_Lancer_la_requête_à_partir_de_Excel_Files10256789[[#This Row],[Aide 
publique]]/Tableau_Lancer_la_requête_à_partir_de_Excel_Files10256789[[#This Row],[''Coût total éligible'']]</calculatedColumnFormula>
    </tableColumn>
    <tableColumn id="40" uniqueName="40" name="Aide Massif" totalsRowFunction="sum" queryTableFieldId="43" dataDxfId="1036" totalsRowDxfId="1035">
      <calculatedColumnFormula>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calculatedColumnFormula>
    </tableColumn>
    <tableColumn id="82" uniqueName="82" name="Tx_x000a_Aide Massif" queryTableFieldId="93" dataDxfId="1034" totalsRowDxfId="1033">
      <calculatedColumnFormula>Tableau_Lancer_la_requête_à_partir_de_Excel_Files10256789[[#This Row],[Aide Massif]]/Tableau_Lancer_la_requête_à_partir_de_Excel_Files10256789[[#This Row],[''Coût total éligible'']]</calculatedColumnFormula>
    </tableColumn>
    <tableColumn id="75" uniqueName="75" name="'FEDER'" totalsRowFunction="sum" queryTableFieldId="78" dataDxfId="1032" totalsRowDxfId="1031"/>
    <tableColumn id="7" uniqueName="7" name="Total Etat" totalsRowFunction="sum" queryTableFieldId="99" dataDxfId="1030" totalsRowDxfId="1029">
      <calculatedColumnFormula>Tableau_Lancer_la_requête_à_partir_de_Excel_Files10256789[[#This Row],[''FNADT '']]+Tableau_Lancer_la_requête_à_partir_de_Excel_Files10256789[[#This Row],[''Agriculture'']]</calculatedColumnFormula>
    </tableColumn>
    <tableColumn id="11" uniqueName="11" name="'FNADT '" queryTableFieldId="104" dataDxfId="1028" totalsRowDxfId="1027"/>
    <tableColumn id="46" uniqueName="46" name="'Agriculture'" totalsRowFunction="sum" queryTableFieldId="49" dataDxfId="1026" totalsRowDxfId="1025"/>
    <tableColumn id="8" uniqueName="8" name="Total Régions" totalsRowFunction="sum" queryTableFieldId="100" dataDxfId="1024" totalsRowDxfId="1023">
      <calculatedColumnFormula>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calculatedColumnFormula>
    </tableColumn>
    <tableColumn id="48" uniqueName="48" name="'ALPC'" totalsRowFunction="sum" queryTableFieldId="51" dataDxfId="1022" totalsRowDxfId="1021"/>
    <tableColumn id="49" uniqueName="49" name="'AURA'" totalsRowFunction="sum" queryTableFieldId="52" dataDxfId="1020" totalsRowDxfId="1019"/>
    <tableColumn id="78" uniqueName="78" name="'BFC'" totalsRowFunction="sum" queryTableFieldId="81" dataDxfId="1018" totalsRowDxfId="1017"/>
    <tableColumn id="79" uniqueName="79" name="'LRMP'" totalsRowFunction="sum" queryTableFieldId="82" dataDxfId="1016" totalsRowDxfId="1015"/>
    <tableColumn id="9" uniqueName="9" name="Total Dpts" totalsRowFunction="sum" queryTableFieldId="101" dataDxfId="1014" totalsRowDxfId="1013">
      <calculatedColumnFormula>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calculatedColumnFormula>
    </tableColumn>
    <tableColumn id="53" uniqueName="53" name="'03'" totalsRowFunction="sum" queryTableFieldId="56" dataDxfId="1012" totalsRowDxfId="1011"/>
    <tableColumn id="54" uniqueName="54" name="'07'" totalsRowFunction="sum" queryTableFieldId="57" dataDxfId="1010" totalsRowDxfId="1009"/>
    <tableColumn id="55" uniqueName="55" name="'11'" totalsRowFunction="sum" queryTableFieldId="58" dataDxfId="1008" totalsRowDxfId="1007"/>
    <tableColumn id="56" uniqueName="56" name="'12'" totalsRowFunction="sum" queryTableFieldId="59" dataDxfId="1006" totalsRowDxfId="1005"/>
    <tableColumn id="57" uniqueName="57" name="'15'" totalsRowFunction="sum" queryTableFieldId="60" dataDxfId="1004" totalsRowDxfId="1003"/>
    <tableColumn id="58" uniqueName="58" name="'19'" totalsRowFunction="sum" queryTableFieldId="61" dataDxfId="1002" totalsRowDxfId="1001"/>
    <tableColumn id="59" uniqueName="59" name="'21'" totalsRowFunction="sum" queryTableFieldId="62" dataDxfId="1000" totalsRowDxfId="999"/>
    <tableColumn id="80" uniqueName="80" name="'23'" totalsRowFunction="sum" queryTableFieldId="85" dataDxfId="998" totalsRowDxfId="997"/>
    <tableColumn id="60" uniqueName="60" name="'30'" totalsRowFunction="sum" queryTableFieldId="63" dataDxfId="996" totalsRowDxfId="995"/>
    <tableColumn id="61" uniqueName="61" name="'34'" totalsRowFunction="sum" queryTableFieldId="64" dataDxfId="994" totalsRowDxfId="993"/>
    <tableColumn id="62" uniqueName="62" name="'42'" totalsRowFunction="sum" queryTableFieldId="65" dataDxfId="992" totalsRowDxfId="991"/>
    <tableColumn id="63" uniqueName="63" name="'43'" totalsRowFunction="sum" queryTableFieldId="66" dataDxfId="990" totalsRowDxfId="989"/>
    <tableColumn id="64" uniqueName="64" name="'46'" totalsRowFunction="sum" queryTableFieldId="67" dataDxfId="988" totalsRowDxfId="987"/>
    <tableColumn id="65" uniqueName="65" name="'48'" totalsRowFunction="sum" queryTableFieldId="68" dataDxfId="986" totalsRowDxfId="985"/>
    <tableColumn id="66" uniqueName="66" name="'58'" totalsRowFunction="sum" queryTableFieldId="69" dataDxfId="984" totalsRowDxfId="983"/>
    <tableColumn id="67" uniqueName="67" name="'63'" totalsRowFunction="sum" queryTableFieldId="70" dataDxfId="982" totalsRowDxfId="981"/>
    <tableColumn id="68" uniqueName="68" name="'69'" totalsRowFunction="sum" queryTableFieldId="71" dataDxfId="980" totalsRowDxfId="979"/>
    <tableColumn id="69" uniqueName="69" name="'71'" totalsRowFunction="sum" queryTableFieldId="72" dataDxfId="978" totalsRowDxfId="977"/>
    <tableColumn id="70" uniqueName="70" name="'81'" totalsRowFunction="sum" queryTableFieldId="73" dataDxfId="976" totalsRowDxfId="975"/>
    <tableColumn id="71" uniqueName="71" name="'82'" totalsRowFunction="sum" queryTableFieldId="74" dataDxfId="974" totalsRowDxfId="973"/>
    <tableColumn id="72" uniqueName="72" name="'87'" totalsRowFunction="sum" queryTableFieldId="75" dataDxfId="972" totalsRowDxfId="971"/>
    <tableColumn id="73" uniqueName="73" name="'89'" totalsRowFunction="sum" queryTableFieldId="76" dataDxfId="970" totalsRowDxfId="969"/>
    <tableColumn id="76" uniqueName="76" name="'Autre Public'" totalsRowFunction="sum" queryTableFieldId="79" dataDxfId="968" totalsRowDxfId="967"/>
    <tableColumn id="35" uniqueName="35" name="Avis Cofimac" queryTableFieldId="35" dataDxfId="966" totalsRowDxfId="965"/>
    <tableColumn id="5" uniqueName="5" name="Date début operation" queryTableFieldId="107" dataDxfId="964" totalsRowDxfId="963"/>
    <tableColumn id="4" uniqueName="4" name="Avis Prog" queryTableFieldId="95" dataDxfId="962" totalsRowDxfId="961"/>
  </tableColumns>
  <tableStyleInfo name="TableStyleMedium6" showFirstColumn="0" showLastColumn="0" showRowStripes="1" showColumnStripes="0"/>
</table>
</file>

<file path=xl/tables/table6.xml><?xml version="1.0" encoding="utf-8"?>
<table xmlns="http://schemas.openxmlformats.org/spreadsheetml/2006/main" id="1" name="Tableau_Lancer_la_requête_à_partir_de_Excel_Files102" displayName="Tableau_Lancer_la_requête_à_partir_de_Excel_Files102" ref="A6:AR19" tableType="queryTable" totalsRowCount="1" headerRowDxfId="950" dataDxfId="949" totalsRowDxfId="948">
  <autoFilter ref="A6:AR18"/>
  <sortState ref="A7:AR18">
    <sortCondition ref="A6:A18"/>
  </sortState>
  <tableColumns count="44">
    <tableColumn id="1" uniqueName="1" name="ID_Synergie" totalsRowLabel="Total" queryTableFieldId="1" dataDxfId="947" totalsRowDxfId="946"/>
    <tableColumn id="2" uniqueName="2" name="Nom_MO" totalsRowFunction="count" queryTableFieldId="2" dataDxfId="945" totalsRowDxfId="944"/>
    <tableColumn id="3" uniqueName="3" name="Intitule_Operation" queryTableFieldId="3" dataDxfId="943" totalsRowDxfId="942"/>
    <tableColumn id="43" uniqueName="43" name="'Coût total éligible'" totalsRowFunction="sum" queryTableFieldId="46" dataDxfId="941" totalsRowDxfId="940"/>
    <tableColumn id="39" uniqueName="39" name="Aide _x000a_publique" totalsRowFunction="sum" queryTableFieldId="42" dataDxfId="939" totalsRowDxfId="938">
      <calculatedColumnFormula>Tableau_Lancer_la_requête_à_partir_de_Excel_Files102[[#This Row],[Aide Massif]]+Tableau_Lancer_la_requête_à_partir_de_Excel_Files102[[#This Row],[''Autre Public'']]</calculatedColumnFormula>
    </tableColumn>
    <tableColumn id="81" uniqueName="81" name="Tx Aide publique" queryTableFieldId="92" dataDxfId="937" totalsRowDxfId="936">
      <calculatedColumnFormula>Tableau_Lancer_la_requête_à_partir_de_Excel_Files102[[#This Row],[Aide 
publique]]/Tableau_Lancer_la_requête_à_partir_de_Excel_Files102[[#This Row],[''Coût total éligible'']]</calculatedColumnFormula>
    </tableColumn>
    <tableColumn id="40" uniqueName="40" name="Aide Massif" totalsRowFunction="sum" queryTableFieldId="43" dataDxfId="935" totalsRowDxfId="934">
      <calculatedColumnFormula>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calculatedColumnFormula>
    </tableColumn>
    <tableColumn id="82" uniqueName="82" name="Tx_x000a_Aide Massif" queryTableFieldId="93" dataDxfId="933" totalsRowDxfId="932">
      <calculatedColumnFormula>Tableau_Lancer_la_requête_à_partir_de_Excel_Files102[[#This Row],[Aide Massif]]/Tableau_Lancer_la_requête_à_partir_de_Excel_Files102[[#This Row],[''Coût total éligible'']]</calculatedColumnFormula>
    </tableColumn>
    <tableColumn id="75" uniqueName="75" name="'FEDER'" totalsRowFunction="sum" queryTableFieldId="78" dataDxfId="931" totalsRowDxfId="930"/>
    <tableColumn id="7" uniqueName="7" name="Total Etat" totalsRowFunction="sum" queryTableFieldId="99" dataDxfId="929" totalsRowDxfId="928">
      <calculatedColumnFormula>Tableau_Lancer_la_requête_à_partir_de_Excel_Files102[[#This Row],[''FNADT '']]+Tableau_Lancer_la_requête_à_partir_de_Excel_Files102[[#This Row],[''Agriculture'']]</calculatedColumnFormula>
    </tableColumn>
    <tableColumn id="10" uniqueName="10" name="'FNADT '" queryTableFieldId="102" dataDxfId="927" totalsRowDxfId="926"/>
    <tableColumn id="46" uniqueName="46" name="'Agriculture'" totalsRowFunction="sum" queryTableFieldId="49" dataDxfId="925" totalsRowDxfId="924"/>
    <tableColumn id="8" uniqueName="8" name="Total Régions" totalsRowFunction="sum" queryTableFieldId="100" dataDxfId="923" totalsRowDxfId="922">
      <calculatedColumnFormula>Tableau_Lancer_la_requête_à_partir_de_Excel_Files102[[#This Row],[''ALPC'']]+Tableau_Lancer_la_requête_à_partir_de_Excel_Files102[[#This Row],[''AURA'']]+Tableau_Lancer_la_requête_à_partir_de_Excel_Files102[[#This Row],[''BFC'']]+Tableau_Lancer_la_requête_à_partir_de_Excel_Files102[[#This Row],[''LRMP'']]</calculatedColumnFormula>
    </tableColumn>
    <tableColumn id="48" uniqueName="48" name="'ALPC'" totalsRowFunction="sum" queryTableFieldId="51" dataDxfId="921" totalsRowDxfId="920"/>
    <tableColumn id="49" uniqueName="49" name="'AURA'" totalsRowFunction="sum" queryTableFieldId="52" dataDxfId="919" totalsRowDxfId="918"/>
    <tableColumn id="78" uniqueName="78" name="'BFC'" totalsRowFunction="sum" queryTableFieldId="81" dataDxfId="917" totalsRowDxfId="916"/>
    <tableColumn id="79" uniqueName="79" name="'LRMP'" totalsRowFunction="sum" queryTableFieldId="82" dataDxfId="915" totalsRowDxfId="914"/>
    <tableColumn id="9" uniqueName="9" name="Total Dpts" totalsRowFunction="sum" queryTableFieldId="101" dataDxfId="913" totalsRowDxfId="912">
      <calculatedColumnFormula>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calculatedColumnFormula>
    </tableColumn>
    <tableColumn id="53" uniqueName="53" name="'03'" totalsRowFunction="sum" queryTableFieldId="56" dataDxfId="911" totalsRowDxfId="910"/>
    <tableColumn id="54" uniqueName="54" name="'07'" totalsRowFunction="sum" queryTableFieldId="57" dataDxfId="909" totalsRowDxfId="908"/>
    <tableColumn id="55" uniqueName="55" name="'11'" totalsRowFunction="sum" queryTableFieldId="58" dataDxfId="907" totalsRowDxfId="906"/>
    <tableColumn id="56" uniqueName="56" name="'12'" totalsRowFunction="sum" queryTableFieldId="59" dataDxfId="905" totalsRowDxfId="904"/>
    <tableColumn id="57" uniqueName="57" name="'15'" totalsRowFunction="sum" queryTableFieldId="60" dataDxfId="903" totalsRowDxfId="902"/>
    <tableColumn id="58" uniqueName="58" name="'19'" totalsRowFunction="sum" queryTableFieldId="61" dataDxfId="901" totalsRowDxfId="900"/>
    <tableColumn id="59" uniqueName="59" name="'21'" totalsRowFunction="sum" queryTableFieldId="62" dataDxfId="899" totalsRowDxfId="898"/>
    <tableColumn id="80" uniqueName="80" name="'23'" totalsRowFunction="sum" queryTableFieldId="85" dataDxfId="897" totalsRowDxfId="896"/>
    <tableColumn id="60" uniqueName="60" name="'30'" totalsRowFunction="sum" queryTableFieldId="63" dataDxfId="895" totalsRowDxfId="894"/>
    <tableColumn id="61" uniqueName="61" name="'34'" totalsRowFunction="sum" queryTableFieldId="64" dataDxfId="893" totalsRowDxfId="892"/>
    <tableColumn id="62" uniqueName="62" name="'42'" totalsRowFunction="sum" queryTableFieldId="65" dataDxfId="891" totalsRowDxfId="890"/>
    <tableColumn id="63" uniqueName="63" name="'43'" totalsRowFunction="sum" queryTableFieldId="66" dataDxfId="889" totalsRowDxfId="888"/>
    <tableColumn id="64" uniqueName="64" name="'46'" totalsRowFunction="sum" queryTableFieldId="67" dataDxfId="887" totalsRowDxfId="886"/>
    <tableColumn id="65" uniqueName="65" name="'48'" totalsRowFunction="sum" queryTableFieldId="68" dataDxfId="885" totalsRowDxfId="884"/>
    <tableColumn id="66" uniqueName="66" name="'58'" totalsRowFunction="sum" queryTableFieldId="69" dataDxfId="883" totalsRowDxfId="882"/>
    <tableColumn id="67" uniqueName="67" name="'63'" totalsRowFunction="sum" queryTableFieldId="70" dataDxfId="881" totalsRowDxfId="880"/>
    <tableColumn id="68" uniqueName="68" name="'69'" totalsRowFunction="sum" queryTableFieldId="71" dataDxfId="879" totalsRowDxfId="878"/>
    <tableColumn id="69" uniqueName="69" name="'71'" totalsRowFunction="sum" queryTableFieldId="72" dataDxfId="877" totalsRowDxfId="876"/>
    <tableColumn id="70" uniqueName="70" name="'81'" totalsRowFunction="sum" queryTableFieldId="73" dataDxfId="875" totalsRowDxfId="874"/>
    <tableColumn id="71" uniqueName="71" name="'82'" totalsRowFunction="sum" queryTableFieldId="74" dataDxfId="873" totalsRowDxfId="872"/>
    <tableColumn id="72" uniqueName="72" name="'87'" totalsRowFunction="sum" queryTableFieldId="75" dataDxfId="871" totalsRowDxfId="870"/>
    <tableColumn id="73" uniqueName="73" name="'89'" totalsRowFunction="sum" queryTableFieldId="76" dataDxfId="869" totalsRowDxfId="868"/>
    <tableColumn id="76" uniqueName="76" name="'Autre Public'" totalsRowFunction="sum" queryTableFieldId="79" dataDxfId="867" totalsRowDxfId="866"/>
    <tableColumn id="35" uniqueName="35" name="Avis Cofimac" queryTableFieldId="35" dataDxfId="865" totalsRowDxfId="864"/>
    <tableColumn id="5" uniqueName="5" name="Date début operation" queryTableFieldId="105" dataDxfId="863" totalsRowDxfId="862"/>
    <tableColumn id="4" uniqueName="4" name="Avis Prog" queryTableFieldId="104" dataDxfId="861" totalsRowDxfId="860"/>
  </tableColumns>
  <tableStyleInfo name="TableStyleMedium6" showFirstColumn="0" showLastColumn="0" showRowStripes="1" showColumnStripes="0"/>
</table>
</file>

<file path=xl/tables/table7.xml><?xml version="1.0" encoding="utf-8"?>
<table xmlns="http://schemas.openxmlformats.org/spreadsheetml/2006/main" id="4" name="Tableau_Lancer_la_requête_à_partir_de_Excel_Files1025" displayName="Tableau_Lancer_la_requête_à_partir_de_Excel_Files1025" ref="A6:AQ8" tableType="queryTable" insertRow="1" totalsRowCount="1" headerRowDxfId="847" dataDxfId="846" totalsRowDxfId="845">
  <autoFilter ref="A6:AQ7"/>
  <sortState ref="A7:AQ7">
    <sortCondition ref="A6:A18"/>
  </sortState>
  <tableColumns count="43">
    <tableColumn id="1" uniqueName="1" name="ID_Synergie" totalsRowLabel="Total" queryTableFieldId="1" dataDxfId="844" totalsRowDxfId="843"/>
    <tableColumn id="2" uniqueName="2" name="Nom_MO" totalsRowFunction="count" queryTableFieldId="2" dataDxfId="842" totalsRowDxfId="841"/>
    <tableColumn id="3" uniqueName="3" name="Intitule_Operation" queryTableFieldId="3" dataDxfId="840" totalsRowDxfId="839"/>
    <tableColumn id="43" uniqueName="43" name="'Coût total éligible'" totalsRowFunction="sum" queryTableFieldId="46" dataDxfId="838" totalsRowDxfId="837"/>
    <tableColumn id="39" uniqueName="39" name="Aide _x000a_publique" totalsRowFunction="sum" queryTableFieldId="42" dataDxfId="836" totalsRowDxfId="835">
      <calculatedColumnFormula>Tableau_Lancer_la_requête_à_partir_de_Excel_Files1025[[#This Row],[Aide Massif]]+Tableau_Lancer_la_requête_à_partir_de_Excel_Files1025[[#This Row],[''Autre Public'']]</calculatedColumnFormula>
    </tableColumn>
    <tableColumn id="81" uniqueName="81" name="Tx Aide publique" queryTableFieldId="92" dataDxfId="834" totalsRowDxfId="833">
      <calculatedColumnFormula>Tableau_Lancer_la_requête_à_partir_de_Excel_Files1025[[#This Row],[Aide 
publique]]/Tableau_Lancer_la_requête_à_partir_de_Excel_Files1025[[#This Row],[''Coût total éligible'']]</calculatedColumnFormula>
    </tableColumn>
    <tableColumn id="40" uniqueName="40" name="Aide Massif" totalsRowFunction="sum" queryTableFieldId="43" dataDxfId="832" totalsRowDxfId="831">
      <calculatedColumnFormula>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calculatedColumnFormula>
    </tableColumn>
    <tableColumn id="82" uniqueName="82" name="Tx_x000a_Aide Massif" queryTableFieldId="93" dataDxfId="830" totalsRowDxfId="829">
      <calculatedColumnFormula>Tableau_Lancer_la_requête_à_partir_de_Excel_Files1025[[#This Row],[Aide Massif]]/Tableau_Lancer_la_requête_à_partir_de_Excel_Files1025[[#This Row],[''Coût total éligible'']]</calculatedColumnFormula>
    </tableColumn>
    <tableColumn id="75" uniqueName="75" name="'FEDER'" totalsRowFunction="sum" queryTableFieldId="78" dataDxfId="828" totalsRowDxfId="827"/>
    <tableColumn id="7" uniqueName="7" name="Total Etat" totalsRowFunction="sum" queryTableFieldId="99" dataDxfId="826" totalsRowDxfId="825">
      <calculatedColumnFormula>Tableau_Lancer_la_requête_à_partir_de_Excel_Files1025[[#This Row],[''FNADT '']]+Tableau_Lancer_la_requête_à_partir_de_Excel_Files1025[[#This Row],[''Agriculture'']]</calculatedColumnFormula>
    </tableColumn>
    <tableColumn id="11" uniqueName="11" name="'FNADT '" queryTableFieldId="104" dataDxfId="824" totalsRowDxfId="823"/>
    <tableColumn id="46" uniqueName="46" name="'Agriculture'" totalsRowFunction="sum" queryTableFieldId="49" dataDxfId="822" totalsRowDxfId="821"/>
    <tableColumn id="8" uniqueName="8" name="Total Régions" totalsRowFunction="sum" queryTableFieldId="100" dataDxfId="820" totalsRowDxfId="819">
      <calculatedColumnFormula>Tableau_Lancer_la_requête_à_partir_de_Excel_Files1025[[#This Row],[''ALPC'']]+Tableau_Lancer_la_requête_à_partir_de_Excel_Files1025[[#This Row],[''AURA'']]+Tableau_Lancer_la_requête_à_partir_de_Excel_Files1025[[#This Row],[''BFC'']]+Tableau_Lancer_la_requête_à_partir_de_Excel_Files1025[[#This Row],[''LRMP'']]</calculatedColumnFormula>
    </tableColumn>
    <tableColumn id="48" uniqueName="48" name="'ALPC'" totalsRowFunction="sum" queryTableFieldId="51" dataDxfId="818" totalsRowDxfId="817"/>
    <tableColumn id="49" uniqueName="49" name="'AURA'" totalsRowFunction="sum" queryTableFieldId="52" dataDxfId="816" totalsRowDxfId="815"/>
    <tableColumn id="78" uniqueName="78" name="'BFC'" totalsRowFunction="sum" queryTableFieldId="81" dataDxfId="814" totalsRowDxfId="813"/>
    <tableColumn id="79" uniqueName="79" name="'LRMP'" totalsRowFunction="sum" queryTableFieldId="82" dataDxfId="812" totalsRowDxfId="811"/>
    <tableColumn id="9" uniqueName="9" name="Total Dpts" totalsRowFunction="sum" queryTableFieldId="101" dataDxfId="810" totalsRowDxfId="809">
      <calculatedColumnFormula>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calculatedColumnFormula>
    </tableColumn>
    <tableColumn id="53" uniqueName="53" name="'03'" totalsRowFunction="sum" queryTableFieldId="56" dataDxfId="808" totalsRowDxfId="807"/>
    <tableColumn id="54" uniqueName="54" name="'07'" totalsRowFunction="sum" queryTableFieldId="57" dataDxfId="806" totalsRowDxfId="805"/>
    <tableColumn id="55" uniqueName="55" name="'11'" totalsRowFunction="sum" queryTableFieldId="58" dataDxfId="804" totalsRowDxfId="803"/>
    <tableColumn id="56" uniqueName="56" name="'12'" totalsRowFunction="sum" queryTableFieldId="59" dataDxfId="802" totalsRowDxfId="801"/>
    <tableColumn id="57" uniqueName="57" name="'15'" totalsRowFunction="sum" queryTableFieldId="60" dataDxfId="800" totalsRowDxfId="799"/>
    <tableColumn id="58" uniqueName="58" name="'19'" totalsRowFunction="sum" queryTableFieldId="61" dataDxfId="798" totalsRowDxfId="797"/>
    <tableColumn id="59" uniqueName="59" name="'21'" totalsRowFunction="sum" queryTableFieldId="62" dataDxfId="796" totalsRowDxfId="795"/>
    <tableColumn id="80" uniqueName="80" name="'23'" totalsRowFunction="sum" queryTableFieldId="85" dataDxfId="794" totalsRowDxfId="793"/>
    <tableColumn id="60" uniqueName="60" name="'30'" totalsRowFunction="sum" queryTableFieldId="63" dataDxfId="792" totalsRowDxfId="791"/>
    <tableColumn id="61" uniqueName="61" name="'34'" totalsRowFunction="sum" queryTableFieldId="64" dataDxfId="790" totalsRowDxfId="789"/>
    <tableColumn id="62" uniqueName="62" name="'42'" totalsRowFunction="sum" queryTableFieldId="65" dataDxfId="788" totalsRowDxfId="787"/>
    <tableColumn id="63" uniqueName="63" name="'43'" totalsRowFunction="sum" queryTableFieldId="66" dataDxfId="786" totalsRowDxfId="785"/>
    <tableColumn id="64" uniqueName="64" name="'46'" totalsRowFunction="sum" queryTableFieldId="67" dataDxfId="784" totalsRowDxfId="783"/>
    <tableColumn id="65" uniqueName="65" name="'48'" totalsRowFunction="sum" queryTableFieldId="68" dataDxfId="782" totalsRowDxfId="781"/>
    <tableColumn id="66" uniqueName="66" name="'58'" totalsRowFunction="sum" queryTableFieldId="69" dataDxfId="780" totalsRowDxfId="779"/>
    <tableColumn id="67" uniqueName="67" name="'63'" totalsRowFunction="sum" queryTableFieldId="70" dataDxfId="778" totalsRowDxfId="777"/>
    <tableColumn id="68" uniqueName="68" name="'69'" totalsRowFunction="sum" queryTableFieldId="71" dataDxfId="776" totalsRowDxfId="775"/>
    <tableColumn id="69" uniqueName="69" name="'71'" totalsRowFunction="sum" queryTableFieldId="72" dataDxfId="774" totalsRowDxfId="773"/>
    <tableColumn id="70" uniqueName="70" name="'81'" totalsRowFunction="sum" queryTableFieldId="73" dataDxfId="772" totalsRowDxfId="771"/>
    <tableColumn id="71" uniqueName="71" name="'82'" totalsRowFunction="sum" queryTableFieldId="74" dataDxfId="770" totalsRowDxfId="769"/>
    <tableColumn id="72" uniqueName="72" name="'87'" totalsRowFunction="sum" queryTableFieldId="75" dataDxfId="768" totalsRowDxfId="767"/>
    <tableColumn id="73" uniqueName="73" name="'89'" totalsRowFunction="sum" queryTableFieldId="76" dataDxfId="766" totalsRowDxfId="765"/>
    <tableColumn id="76" uniqueName="76" name="'Autre Public'" totalsRowFunction="sum" queryTableFieldId="79" dataDxfId="764" totalsRowDxfId="763"/>
    <tableColumn id="35" uniqueName="35" name="Avis Cofimac" queryTableFieldId="35" dataDxfId="762" totalsRowDxfId="761"/>
    <tableColumn id="4" uniqueName="4" name="Avis Prog" queryTableFieldId="95" dataDxfId="760" totalsRowDxfId="759"/>
  </tableColumns>
  <tableStyleInfo name="TableStyleMedium6" showFirstColumn="0" showLastColumn="0" showRowStripes="1" showColumnStripes="0"/>
</table>
</file>

<file path=xl/tables/table8.xml><?xml version="1.0" encoding="utf-8"?>
<table xmlns="http://schemas.openxmlformats.org/spreadsheetml/2006/main" id="5" name="Tableau_Lancer_la_requête_à_partir_de_Excel_Files10256" displayName="Tableau_Lancer_la_requête_à_partir_de_Excel_Files10256" ref="A6:AR20" tableType="queryTable" totalsRowCount="1" headerRowDxfId="749" dataDxfId="748" totalsRowDxfId="747">
  <autoFilter ref="A6:AR19"/>
  <sortState ref="A7:AR19">
    <sortCondition ref="A6:A18"/>
  </sortState>
  <tableColumns count="44">
    <tableColumn id="1" uniqueName="1" name="ID_Synergie" totalsRowLabel="Total" queryTableFieldId="1" dataDxfId="746" totalsRowDxfId="745"/>
    <tableColumn id="2" uniqueName="2" name="Nom_MO" totalsRowFunction="count" queryTableFieldId="2" dataDxfId="744" totalsRowDxfId="743"/>
    <tableColumn id="3" uniqueName="3" name="Intitule_Operation" queryTableFieldId="3" dataDxfId="742" totalsRowDxfId="741"/>
    <tableColumn id="43" uniqueName="43" name="'Coût total éligible'" totalsRowFunction="sum" queryTableFieldId="46" dataDxfId="740" totalsRowDxfId="739"/>
    <tableColumn id="39" uniqueName="39" name="Aide _x000a_publique" totalsRowFunction="sum" queryTableFieldId="42" dataDxfId="738" totalsRowDxfId="737">
      <calculatedColumnFormula>Tableau_Lancer_la_requête_à_partir_de_Excel_Files10256[[#This Row],[Aide Massif]]+Tableau_Lancer_la_requête_à_partir_de_Excel_Files10256[[#This Row],[''Autre Public'']]</calculatedColumnFormula>
    </tableColumn>
    <tableColumn id="81" uniqueName="81" name="Tx Aide publique" queryTableFieldId="92" dataDxfId="736" totalsRowDxfId="735">
      <calculatedColumnFormula>Tableau_Lancer_la_requête_à_partir_de_Excel_Files10256[[#This Row],[Aide 
publique]]/Tableau_Lancer_la_requête_à_partir_de_Excel_Files10256[[#This Row],[''Coût total éligible'']]</calculatedColumnFormula>
    </tableColumn>
    <tableColumn id="40" uniqueName="40" name="Aide Massif" totalsRowFunction="sum" queryTableFieldId="43" dataDxfId="734" totalsRowDxfId="733">
      <calculatedColumnFormula>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calculatedColumnFormula>
    </tableColumn>
    <tableColumn id="82" uniqueName="82" name="Tx_x000a_Aide Massif" queryTableFieldId="93" dataDxfId="732" totalsRowDxfId="731">
      <calculatedColumnFormula>Tableau_Lancer_la_requête_à_partir_de_Excel_Files10256[[#This Row],[Aide Massif]]/Tableau_Lancer_la_requête_à_partir_de_Excel_Files10256[[#This Row],[''Coût total éligible'']]</calculatedColumnFormula>
    </tableColumn>
    <tableColumn id="75" uniqueName="75" name="'FEDER'" totalsRowFunction="sum" queryTableFieldId="78" dataDxfId="730" totalsRowDxfId="729"/>
    <tableColumn id="7" uniqueName="7" name="Total Etat" totalsRowFunction="sum" queryTableFieldId="99" dataDxfId="728" totalsRowDxfId="727">
      <calculatedColumnFormula>Tableau_Lancer_la_requête_à_partir_de_Excel_Files10256[[#This Row],[''FNADT '']]+Tableau_Lancer_la_requête_à_partir_de_Excel_Files10256[[#This Row],[''Agriculture'']]</calculatedColumnFormula>
    </tableColumn>
    <tableColumn id="11" uniqueName="11" name="'FNADT '" queryTableFieldId="104" dataDxfId="726" totalsRowDxfId="725"/>
    <tableColumn id="46" uniqueName="46" name="'Agriculture'" totalsRowFunction="sum" queryTableFieldId="49" dataDxfId="724" totalsRowDxfId="723"/>
    <tableColumn id="8" uniqueName="8" name="Total Régions" totalsRowFunction="sum" queryTableFieldId="100" dataDxfId="722" totalsRowDxfId="721">
      <calculatedColumnFormula>Tableau_Lancer_la_requête_à_partir_de_Excel_Files10256[[#This Row],[''ALPC'']]+Tableau_Lancer_la_requête_à_partir_de_Excel_Files10256[[#This Row],[''AURA'']]+Tableau_Lancer_la_requête_à_partir_de_Excel_Files10256[[#This Row],[''BFC'']]+Tableau_Lancer_la_requête_à_partir_de_Excel_Files10256[[#This Row],[''LRMP'']]</calculatedColumnFormula>
    </tableColumn>
    <tableColumn id="48" uniqueName="48" name="'ALPC'" totalsRowFunction="sum" queryTableFieldId="51" dataDxfId="720" totalsRowDxfId="719"/>
    <tableColumn id="49" uniqueName="49" name="'AURA'" totalsRowFunction="sum" queryTableFieldId="52" dataDxfId="718" totalsRowDxfId="717"/>
    <tableColumn id="78" uniqueName="78" name="'BFC'" totalsRowFunction="sum" queryTableFieldId="81" dataDxfId="716" totalsRowDxfId="715"/>
    <tableColumn id="79" uniqueName="79" name="'LRMP'" totalsRowFunction="sum" queryTableFieldId="82" dataDxfId="714" totalsRowDxfId="713"/>
    <tableColumn id="9" uniqueName="9" name="Total Dpts" totalsRowFunction="sum" queryTableFieldId="101" dataDxfId="712" totalsRowDxfId="711">
      <calculatedColumnFormula>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calculatedColumnFormula>
    </tableColumn>
    <tableColumn id="53" uniqueName="53" name="'03'" totalsRowFunction="sum" queryTableFieldId="56" dataDxfId="710" totalsRowDxfId="709"/>
    <tableColumn id="54" uniqueName="54" name="'07'" totalsRowFunction="sum" queryTableFieldId="57" dataDxfId="708" totalsRowDxfId="707"/>
    <tableColumn id="55" uniqueName="55" name="'11'" totalsRowFunction="sum" queryTableFieldId="58" dataDxfId="706" totalsRowDxfId="705"/>
    <tableColumn id="56" uniqueName="56" name="'12'" totalsRowFunction="sum" queryTableFieldId="59" dataDxfId="704" totalsRowDxfId="703"/>
    <tableColumn id="57" uniqueName="57" name="'15'" totalsRowFunction="sum" queryTableFieldId="60" dataDxfId="702" totalsRowDxfId="701"/>
    <tableColumn id="58" uniqueName="58" name="'19'" totalsRowFunction="sum" queryTableFieldId="61" dataDxfId="700" totalsRowDxfId="699"/>
    <tableColumn id="59" uniqueName="59" name="'21'" totalsRowFunction="sum" queryTableFieldId="62" dataDxfId="698" totalsRowDxfId="697"/>
    <tableColumn id="80" uniqueName="80" name="'23'" totalsRowFunction="sum" queryTableFieldId="85" dataDxfId="696" totalsRowDxfId="695"/>
    <tableColumn id="60" uniqueName="60" name="'30'" totalsRowFunction="sum" queryTableFieldId="63" dataDxfId="694" totalsRowDxfId="693"/>
    <tableColumn id="61" uniqueName="61" name="'34'" totalsRowFunction="sum" queryTableFieldId="64" dataDxfId="692" totalsRowDxfId="691"/>
    <tableColumn id="62" uniqueName="62" name="'42'" totalsRowFunction="sum" queryTableFieldId="65" dataDxfId="690" totalsRowDxfId="689"/>
    <tableColumn id="63" uniqueName="63" name="'43'" totalsRowFunction="sum" queryTableFieldId="66" dataDxfId="688" totalsRowDxfId="687"/>
    <tableColumn id="64" uniqueName="64" name="'46'" totalsRowFunction="sum" queryTableFieldId="67" dataDxfId="686" totalsRowDxfId="685"/>
    <tableColumn id="65" uniqueName="65" name="'48'" totalsRowFunction="sum" queryTableFieldId="68" dataDxfId="684" totalsRowDxfId="683"/>
    <tableColumn id="66" uniqueName="66" name="'58'" totalsRowFunction="sum" queryTableFieldId="69" dataDxfId="682" totalsRowDxfId="681"/>
    <tableColumn id="67" uniqueName="67" name="'63'" totalsRowFunction="sum" queryTableFieldId="70" dataDxfId="680" totalsRowDxfId="679"/>
    <tableColumn id="68" uniqueName="68" name="'69'" totalsRowFunction="sum" queryTableFieldId="71" dataDxfId="678" totalsRowDxfId="677"/>
    <tableColumn id="69" uniqueName="69" name="'71'" totalsRowFunction="sum" queryTableFieldId="72" dataDxfId="676" totalsRowDxfId="675"/>
    <tableColumn id="70" uniqueName="70" name="'81'" totalsRowFunction="sum" queryTableFieldId="73" dataDxfId="674" totalsRowDxfId="673"/>
    <tableColumn id="71" uniqueName="71" name="'82'" totalsRowFunction="sum" queryTableFieldId="74" dataDxfId="672" totalsRowDxfId="671"/>
    <tableColumn id="72" uniqueName="72" name="'87'" totalsRowFunction="sum" queryTableFieldId="75" dataDxfId="670" totalsRowDxfId="669"/>
    <tableColumn id="73" uniqueName="73" name="'89'" totalsRowFunction="sum" queryTableFieldId="76" dataDxfId="668" totalsRowDxfId="667"/>
    <tableColumn id="76" uniqueName="76" name="'Autre Public'" totalsRowFunction="sum" queryTableFieldId="79" dataDxfId="666" totalsRowDxfId="665"/>
    <tableColumn id="35" uniqueName="35" name="Avis Cofimac" queryTableFieldId="35" dataDxfId="664" totalsRowDxfId="663"/>
    <tableColumn id="5" uniqueName="5" name="Date début operation" queryTableFieldId="107" dataDxfId="662" totalsRowDxfId="661"/>
    <tableColumn id="4" uniqueName="4" name="Avis Prog" queryTableFieldId="95" dataDxfId="660" totalsRowDxfId="659"/>
  </tableColumns>
  <tableStyleInfo name="TableStyleMedium6" showFirstColumn="0" showLastColumn="0" showRowStripes="1" showColumnStripes="0"/>
</table>
</file>

<file path=xl/tables/table9.xml><?xml version="1.0" encoding="utf-8"?>
<table xmlns="http://schemas.openxmlformats.org/spreadsheetml/2006/main" id="6" name="Tableau_Lancer_la_requête_à_partir_de_Excel_Files102567" displayName="Tableau_Lancer_la_requête_à_partir_de_Excel_Files102567" ref="A6:AS30" tableType="queryTable" totalsRowCount="1" headerRowDxfId="648" dataDxfId="647" totalsRowDxfId="646">
  <autoFilter ref="A6:AS29"/>
  <sortState ref="A7:AS29">
    <sortCondition ref="A7:A21"/>
    <sortCondition ref="B7:B21"/>
  </sortState>
  <tableColumns count="45">
    <tableColumn id="6" uniqueName="6" name="'Thématique '" queryTableFieldId="109" dataDxfId="645" totalsRowDxfId="44"/>
    <tableColumn id="1" uniqueName="1" name="ID_Synergie" totalsRowLabel="Total" queryTableFieldId="1" dataDxfId="644" totalsRowDxfId="43"/>
    <tableColumn id="2" uniqueName="2" name="Nom_MO" totalsRowFunction="count" queryTableFieldId="2" dataDxfId="643" totalsRowDxfId="42"/>
    <tableColumn id="3" uniqueName="3" name="Intitule_Operation" queryTableFieldId="3" dataDxfId="642" totalsRowDxfId="41"/>
    <tableColumn id="43" uniqueName="43" name="'Coût total éligible'" totalsRowFunction="sum" queryTableFieldId="46" dataDxfId="641" totalsRowDxfId="40"/>
    <tableColumn id="39" uniqueName="39" name="Aide _x000a_publique" totalsRowFunction="sum" queryTableFieldId="42" dataDxfId="640" totalsRowDxfId="39">
      <calculatedColumnFormula>Tableau_Lancer_la_requête_à_partir_de_Excel_Files102567[[#This Row],[Aide Massif]]+Tableau_Lancer_la_requête_à_partir_de_Excel_Files102567[[#This Row],[''Autre Public'']]</calculatedColumnFormula>
    </tableColumn>
    <tableColumn id="81" uniqueName="81" name="Tx Aide publique" queryTableFieldId="92" dataDxfId="639" totalsRowDxfId="38">
      <calculatedColumnFormula>Tableau_Lancer_la_requête_à_partir_de_Excel_Files102567[[#This Row],[Aide 
publique]]/Tableau_Lancer_la_requête_à_partir_de_Excel_Files102567[[#This Row],[''Coût total éligible'']]</calculatedColumnFormula>
    </tableColumn>
    <tableColumn id="40" uniqueName="40" name="Aide Massif" totalsRowFunction="sum" queryTableFieldId="43" dataDxfId="638" totalsRowDxfId="37">
      <calculatedColumnFormula>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calculatedColumnFormula>
    </tableColumn>
    <tableColumn id="82" uniqueName="82" name="Tx_x000a_Aide Massif" queryTableFieldId="93" dataDxfId="637" totalsRowDxfId="36">
      <calculatedColumnFormula>Tableau_Lancer_la_requête_à_partir_de_Excel_Files102567[[#This Row],[Aide Massif]]/Tableau_Lancer_la_requête_à_partir_de_Excel_Files102567[[#This Row],[''Coût total éligible'']]</calculatedColumnFormula>
    </tableColumn>
    <tableColumn id="75" uniqueName="75" name="'FEDER'" totalsRowFunction="sum" queryTableFieldId="78" dataDxfId="636" totalsRowDxfId="35"/>
    <tableColumn id="7" uniqueName="7" name="Total Etat" totalsRowFunction="sum" queryTableFieldId="99" dataDxfId="635" totalsRowDxfId="34">
      <calculatedColumnFormula>Tableau_Lancer_la_requête_à_partir_de_Excel_Files102567[[#This Row],[''FNADT '']]+Tableau_Lancer_la_requête_à_partir_de_Excel_Files102567[[#This Row],[''Agriculture'']]</calculatedColumnFormula>
    </tableColumn>
    <tableColumn id="11" uniqueName="11" name="'FNADT '" queryTableFieldId="104" dataDxfId="634" totalsRowDxfId="33"/>
    <tableColumn id="46" uniqueName="46" name="'Agriculture'" totalsRowFunction="sum" queryTableFieldId="49" dataDxfId="633" totalsRowDxfId="32"/>
    <tableColumn id="8" uniqueName="8" name="Total Régions" totalsRowFunction="sum" queryTableFieldId="100" dataDxfId="632" totalsRowDxfId="31">
      <calculatedColumnFormula>Tableau_Lancer_la_requête_à_partir_de_Excel_Files102567[[#This Row],[''ALPC'']]+Tableau_Lancer_la_requête_à_partir_de_Excel_Files102567[[#This Row],[''AURA'']]+Tableau_Lancer_la_requête_à_partir_de_Excel_Files102567[[#This Row],[''BFC'']]+Tableau_Lancer_la_requête_à_partir_de_Excel_Files102567[[#This Row],[''LRMP'']]</calculatedColumnFormula>
    </tableColumn>
    <tableColumn id="48" uniqueName="48" name="'ALPC'" totalsRowFunction="sum" queryTableFieldId="51" dataDxfId="631" totalsRowDxfId="30"/>
    <tableColumn id="49" uniqueName="49" name="'AURA'" totalsRowFunction="sum" queryTableFieldId="52" dataDxfId="630" totalsRowDxfId="29"/>
    <tableColumn id="78" uniqueName="78" name="'BFC'" totalsRowFunction="sum" queryTableFieldId="81" dataDxfId="629" totalsRowDxfId="28"/>
    <tableColumn id="79" uniqueName="79" name="'LRMP'" totalsRowFunction="sum" queryTableFieldId="82" dataDxfId="628" totalsRowDxfId="27"/>
    <tableColumn id="9" uniqueName="9" name="Total Dpts" totalsRowFunction="sum" queryTableFieldId="101" dataDxfId="627" totalsRowDxfId="26">
      <calculatedColumnFormula>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calculatedColumnFormula>
    </tableColumn>
    <tableColumn id="53" uniqueName="53" name="'03'" totalsRowFunction="sum" queryTableFieldId="56" dataDxfId="626" totalsRowDxfId="25"/>
    <tableColumn id="54" uniqueName="54" name="'07'" totalsRowFunction="sum" queryTableFieldId="57" dataDxfId="625" totalsRowDxfId="24"/>
    <tableColumn id="55" uniqueName="55" name="'11'" totalsRowFunction="sum" queryTableFieldId="58" dataDxfId="624" totalsRowDxfId="23"/>
    <tableColumn id="56" uniqueName="56" name="'12'" totalsRowFunction="sum" queryTableFieldId="59" dataDxfId="623" totalsRowDxfId="22"/>
    <tableColumn id="57" uniqueName="57" name="'15'" totalsRowFunction="sum" queryTableFieldId="60" dataDxfId="622" totalsRowDxfId="21"/>
    <tableColumn id="58" uniqueName="58" name="'19'" totalsRowFunction="sum" queryTableFieldId="61" dataDxfId="621" totalsRowDxfId="20"/>
    <tableColumn id="59" uniqueName="59" name="'21'" totalsRowFunction="sum" queryTableFieldId="62" dataDxfId="620" totalsRowDxfId="19"/>
    <tableColumn id="80" uniqueName="80" name="'23'" totalsRowFunction="sum" queryTableFieldId="85" dataDxfId="619" totalsRowDxfId="18"/>
    <tableColumn id="60" uniqueName="60" name="'30'" totalsRowFunction="sum" queryTableFieldId="63" dataDxfId="618" totalsRowDxfId="17"/>
    <tableColumn id="61" uniqueName="61" name="'34'" totalsRowFunction="sum" queryTableFieldId="64" dataDxfId="617" totalsRowDxfId="16"/>
    <tableColumn id="62" uniqueName="62" name="'42'" totalsRowFunction="sum" queryTableFieldId="65" dataDxfId="616" totalsRowDxfId="15"/>
    <tableColumn id="63" uniqueName="63" name="'43'" totalsRowFunction="sum" queryTableFieldId="66" dataDxfId="615" totalsRowDxfId="14"/>
    <tableColumn id="64" uniqueName="64" name="'46'" totalsRowFunction="sum" queryTableFieldId="67" dataDxfId="614" totalsRowDxfId="13"/>
    <tableColumn id="65" uniqueName="65" name="'48'" totalsRowFunction="sum" queryTableFieldId="68" dataDxfId="613" totalsRowDxfId="12"/>
    <tableColumn id="66" uniqueName="66" name="'58'" totalsRowFunction="sum" queryTableFieldId="69" dataDxfId="612" totalsRowDxfId="11"/>
    <tableColumn id="67" uniqueName="67" name="'63'" totalsRowFunction="sum" queryTableFieldId="70" dataDxfId="611" totalsRowDxfId="10"/>
    <tableColumn id="68" uniqueName="68" name="'69'" totalsRowFunction="sum" queryTableFieldId="71" dataDxfId="610" totalsRowDxfId="9"/>
    <tableColumn id="69" uniqueName="69" name="'71'" totalsRowFunction="sum" queryTableFieldId="72" dataDxfId="609" totalsRowDxfId="8"/>
    <tableColumn id="70" uniqueName="70" name="'81'" totalsRowFunction="sum" queryTableFieldId="73" dataDxfId="608" totalsRowDxfId="7"/>
    <tableColumn id="71" uniqueName="71" name="'82'" totalsRowFunction="sum" queryTableFieldId="74" dataDxfId="607" totalsRowDxfId="6"/>
    <tableColumn id="72" uniqueName="72" name="'87'" totalsRowFunction="sum" queryTableFieldId="75" dataDxfId="606" totalsRowDxfId="5"/>
    <tableColumn id="73" uniqueName="73" name="'89'" totalsRowFunction="sum" queryTableFieldId="76" dataDxfId="605" totalsRowDxfId="4"/>
    <tableColumn id="76" uniqueName="76" name="'Autre Public'" totalsRowFunction="sum" queryTableFieldId="79" dataDxfId="604" totalsRowDxfId="3"/>
    <tableColumn id="35" uniqueName="35" name="Avis Cofimac" queryTableFieldId="35" dataDxfId="603" totalsRowDxfId="2"/>
    <tableColumn id="5" uniqueName="5" name="Date début operation" queryTableFieldId="112" dataDxfId="602" totalsRowDxfId="1"/>
    <tableColumn id="4" uniqueName="4" name="Avis Prog" queryTableFieldId="95" dataDxfId="601" totalsRowDxfId="0"/>
  </tableColumns>
  <tableStyleInfo name="TableStyleMedium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98"/>
  <sheetViews>
    <sheetView view="pageBreakPreview" topLeftCell="A19" zoomScale="80" zoomScaleNormal="60" zoomScaleSheetLayoutView="80" workbookViewId="0">
      <selection activeCell="AR59" sqref="AR59"/>
    </sheetView>
  </sheetViews>
  <sheetFormatPr baseColWidth="10" defaultRowHeight="15" outlineLevelCol="1" x14ac:dyDescent="0.25"/>
  <cols>
    <col min="1" max="1" width="13.85546875" style="3" customWidth="1"/>
    <col min="2" max="2" width="35" style="4" customWidth="1"/>
    <col min="3" max="3" width="48" style="5" customWidth="1"/>
    <col min="4" max="4" width="14.85546875" style="3" bestFit="1" customWidth="1"/>
    <col min="5" max="5" width="14" style="3"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5.7109375" style="3" hidden="1" customWidth="1" outlineLevel="1"/>
    <col min="12" max="12" width="5.42578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2.28515625" style="3" customWidth="1" collapsed="1"/>
    <col min="42" max="43" width="11.5703125" style="3" customWidth="1"/>
    <col min="44" max="44" width="15.42578125" style="4" bestFit="1" customWidth="1"/>
    <col min="45" max="45" width="3.42578125" style="3" customWidth="1"/>
    <col min="46" max="46" width="69" style="4" customWidth="1"/>
    <col min="47" max="47" width="15.42578125" style="3" bestFit="1" customWidth="1"/>
    <col min="48" max="48" width="17.28515625" style="3" bestFit="1" customWidth="1"/>
    <col min="49" max="49" width="9.42578125" style="3" customWidth="1"/>
    <col min="50" max="64" width="9.7109375" style="3" customWidth="1"/>
    <col min="65" max="65" width="15.140625" style="3" customWidth="1"/>
    <col min="66" max="66" width="14.5703125" style="3" customWidth="1"/>
    <col min="67" max="67" width="18.5703125" style="3" customWidth="1"/>
    <col min="68" max="68" width="12.5703125" style="3" customWidth="1"/>
    <col min="69" max="69" width="20.42578125" style="3" customWidth="1"/>
    <col min="70" max="70" width="12.7109375" style="3" customWidth="1"/>
    <col min="71" max="71" width="9.28515625" style="3" customWidth="1"/>
    <col min="72" max="72" width="14.28515625" style="3" customWidth="1"/>
    <col min="73" max="73" width="11.42578125" style="3" customWidth="1"/>
    <col min="74" max="74" width="9" style="3" customWidth="1"/>
    <col min="75" max="75" width="9.5703125" style="3" customWidth="1"/>
    <col min="76" max="76" width="11" style="3" customWidth="1"/>
    <col min="77" max="77" width="12.7109375" style="3" customWidth="1"/>
    <col min="78" max="80" width="9.7109375" style="3" customWidth="1"/>
    <col min="81" max="81" width="15.140625" style="3" customWidth="1"/>
    <col min="82" max="82" width="17.28515625" style="3" customWidth="1"/>
    <col min="83" max="83" width="49.28515625" style="4" customWidth="1"/>
    <col min="84" max="84" width="17.28515625" style="3" customWidth="1"/>
    <col min="85" max="16384" width="11.42578125" style="3"/>
  </cols>
  <sheetData>
    <row r="1" spans="1:46" ht="18.75" x14ac:dyDescent="0.3">
      <c r="B1" s="21" t="s">
        <v>78</v>
      </c>
      <c r="C1" s="22">
        <v>42663</v>
      </c>
    </row>
    <row r="5" spans="1:46" x14ac:dyDescent="0.25">
      <c r="A5" s="1" t="s">
        <v>260</v>
      </c>
      <c r="B5" s="2"/>
    </row>
    <row r="6" spans="1:46" s="7" customFormat="1" ht="45"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7" t="s">
        <v>249</v>
      </c>
      <c r="AR6" s="17" t="s">
        <v>57</v>
      </c>
      <c r="AT6" s="31" t="s">
        <v>65</v>
      </c>
    </row>
    <row r="7" spans="1:46" s="10" customFormat="1" ht="30" x14ac:dyDescent="0.25">
      <c r="A7" s="13" t="s">
        <v>432</v>
      </c>
      <c r="B7" s="12" t="s">
        <v>178</v>
      </c>
      <c r="C7" s="12" t="s">
        <v>179</v>
      </c>
      <c r="D7" s="15">
        <v>120000</v>
      </c>
      <c r="E7" s="15">
        <f>Tableau_Lancer_la_requête_à_partir_de_Excel_Files1025678911[[#This Row],[Aide Massif]]+Tableau_Lancer_la_requête_à_partir_de_Excel_Files1025678911[[#This Row],[''Autre Public'']]</f>
        <v>77399.08</v>
      </c>
      <c r="F7" s="16">
        <f>Tableau_Lancer_la_requête_à_partir_de_Excel_Files1025678911[[#This Row],[Aide 
publique]]/Tableau_Lancer_la_requête_à_partir_de_Excel_Files1025678911[[#This Row],[''Coût total éligible'']]</f>
        <v>0.64499233333333339</v>
      </c>
      <c r="G7" s="15">
        <f>Tableau_Lancer_la_requête_à_partir_de_Excel_Files1025678911[[#This Row],[''FEDER'']]+Tableau_Lancer_la_requête_à_partir_de_Excel_Files1025678911[[#This Row],[Total Etat]]+Tableau_Lancer_la_requête_à_partir_de_Excel_Files1025678911[[#This Row],[Total Régions]]+Tableau_Lancer_la_requête_à_partir_de_Excel_Files1025678911[[#This Row],[Total Dpts]]</f>
        <v>77399.08</v>
      </c>
      <c r="H7" s="16">
        <f>Tableau_Lancer_la_requête_à_partir_de_Excel_Files1025678911[[#This Row],[Aide Massif]]/Tableau_Lancer_la_requête_à_partir_de_Excel_Files1025678911[[#This Row],[''Coût total éligible'']]</f>
        <v>0.64499233333333339</v>
      </c>
      <c r="I7" s="15">
        <v>47898.58</v>
      </c>
      <c r="J7" s="15">
        <f>Tableau_Lancer_la_requête_à_partir_de_Excel_Files1025678911[[#This Row],[''FNADT '']]+Tableau_Lancer_la_requête_à_partir_de_Excel_Files1025678911[[#This Row],[''Agriculture'']]</f>
        <v>19500.5</v>
      </c>
      <c r="K7" s="15">
        <v>19500.5</v>
      </c>
      <c r="L7" s="15"/>
      <c r="M7" s="15">
        <f>Tableau_Lancer_la_requête_à_partir_de_Excel_Files1025678911[[#This Row],[''ALPC'']]+Tableau_Lancer_la_requête_à_partir_de_Excel_Files1025678911[[#This Row],[''AURA'']]+Tableau_Lancer_la_requête_à_partir_de_Excel_Files1025678911[[#This Row],[''BFC'']]+Tableau_Lancer_la_requête_à_partir_de_Excel_Files1025678911[[#This Row],[''LRMP'']]</f>
        <v>10000</v>
      </c>
      <c r="N7" s="15"/>
      <c r="O7" s="15">
        <v>10000</v>
      </c>
      <c r="P7" s="15"/>
      <c r="Q7" s="15"/>
      <c r="R7" s="15">
        <f>Tableau_Lancer_la_requête_à_partir_de_Excel_Files1025678911[[#This Row],[''03'']]+Tableau_Lancer_la_requête_à_partir_de_Excel_Files1025678911[[#This Row],[''07'']]+Tableau_Lancer_la_requête_à_partir_de_Excel_Files1025678911[[#This Row],[''11'']]+Tableau_Lancer_la_requête_à_partir_de_Excel_Files1025678911[[#This Row],[''12'']]+Tableau_Lancer_la_requête_à_partir_de_Excel_Files1025678911[[#This Row],[''15'']]+Tableau_Lancer_la_requête_à_partir_de_Excel_Files1025678911[[#This Row],[''19'']]+Tableau_Lancer_la_requête_à_partir_de_Excel_Files1025678911[[#This Row],[''21'']]+Tableau_Lancer_la_requête_à_partir_de_Excel_Files1025678911[[#This Row],[''23'']]+Tableau_Lancer_la_requête_à_partir_de_Excel_Files1025678911[[#This Row],[''30'']]+Tableau_Lancer_la_requête_à_partir_de_Excel_Files1025678911[[#This Row],[''34'']]+Tableau_Lancer_la_requête_à_partir_de_Excel_Files1025678911[[#This Row],[''42'']]+Tableau_Lancer_la_requête_à_partir_de_Excel_Files1025678911[[#This Row],[''43'']]+Tableau_Lancer_la_requête_à_partir_de_Excel_Files1025678911[[#This Row],[''46'']]+Tableau_Lancer_la_requête_à_partir_de_Excel_Files1025678911[[#This Row],[''48'']]+Tableau_Lancer_la_requête_à_partir_de_Excel_Files1025678911[[#This Row],[''58'']]+Tableau_Lancer_la_requête_à_partir_de_Excel_Files1025678911[[#This Row],[''63'']]+Tableau_Lancer_la_requête_à_partir_de_Excel_Files1025678911[[#This Row],[''69'']]+Tableau_Lancer_la_requête_à_partir_de_Excel_Files1025678911[[#This Row],[''71'']]+Tableau_Lancer_la_requête_à_partir_de_Excel_Files1025678911[[#This Row],[''81'']]+Tableau_Lancer_la_requête_à_partir_de_Excel_Files1025678911[[#This Row],[''82'']]+Tableau_Lancer_la_requête_à_partir_de_Excel_Files1025678911[[#This Row],[''87'']]+Tableau_Lancer_la_requête_à_partir_de_Excel_Files1025678911[[#This Row],[''89'']]</f>
        <v>0</v>
      </c>
      <c r="S7" s="15"/>
      <c r="T7" s="15"/>
      <c r="U7" s="15"/>
      <c r="V7" s="15"/>
      <c r="W7" s="15"/>
      <c r="X7" s="15"/>
      <c r="Y7" s="15"/>
      <c r="Z7" s="15"/>
      <c r="AA7" s="15"/>
      <c r="AB7" s="15"/>
      <c r="AC7" s="15"/>
      <c r="AD7" s="15"/>
      <c r="AE7" s="15"/>
      <c r="AF7" s="15"/>
      <c r="AG7" s="15"/>
      <c r="AH7" s="15"/>
      <c r="AI7" s="15"/>
      <c r="AJ7" s="15"/>
      <c r="AK7" s="15"/>
      <c r="AL7" s="15"/>
      <c r="AM7" s="15"/>
      <c r="AN7" s="15"/>
      <c r="AO7" s="15">
        <v>0</v>
      </c>
      <c r="AP7" s="11" t="s">
        <v>337</v>
      </c>
      <c r="AQ7" s="69">
        <v>42736</v>
      </c>
      <c r="AR7" s="12" t="s">
        <v>337</v>
      </c>
      <c r="AT7" s="72"/>
    </row>
    <row r="8" spans="1:46" s="10" customFormat="1" ht="62.25" customHeight="1" x14ac:dyDescent="0.25">
      <c r="A8" s="6" t="s">
        <v>433</v>
      </c>
      <c r="B8" s="5" t="s">
        <v>174</v>
      </c>
      <c r="C8" s="5" t="s">
        <v>180</v>
      </c>
      <c r="D8" s="8">
        <v>210500</v>
      </c>
      <c r="E8" s="8">
        <f>Tableau_Lancer_la_requête_à_partir_de_Excel_Files1025678911[[#This Row],[Aide Massif]]+Tableau_Lancer_la_requête_à_partir_de_Excel_Files1025678911[[#This Row],[''Autre Public'']]</f>
        <v>147350</v>
      </c>
      <c r="F8" s="9">
        <f>Tableau_Lancer_la_requête_à_partir_de_Excel_Files1025678911[[#This Row],[Aide 
publique]]/Tableau_Lancer_la_requête_à_partir_de_Excel_Files1025678911[[#This Row],[''Coût total éligible'']]</f>
        <v>0.7</v>
      </c>
      <c r="G8" s="8">
        <f>Tableau_Lancer_la_requête_à_partir_de_Excel_Files1025678911[[#This Row],[''FEDER'']]+Tableau_Lancer_la_requête_à_partir_de_Excel_Files1025678911[[#This Row],[Total Etat]]+Tableau_Lancer_la_requête_à_partir_de_Excel_Files1025678911[[#This Row],[Total Régions]]+Tableau_Lancer_la_requête_à_partir_de_Excel_Files1025678911[[#This Row],[Total Dpts]]</f>
        <v>147350</v>
      </c>
      <c r="H8" s="9">
        <f>Tableau_Lancer_la_requête_à_partir_de_Excel_Files1025678911[[#This Row],[Aide Massif]]/Tableau_Lancer_la_requête_à_partir_de_Excel_Files1025678911[[#This Row],[''Coût total éligible'']]</f>
        <v>0.7</v>
      </c>
      <c r="I8" s="8">
        <v>84200</v>
      </c>
      <c r="J8" s="8">
        <f>Tableau_Lancer_la_requête_à_partir_de_Excel_Files1025678911[[#This Row],[''FNADT '']]+Tableau_Lancer_la_requête_à_partir_de_Excel_Files1025678911[[#This Row],[''Agriculture'']]</f>
        <v>0</v>
      </c>
      <c r="K8" s="8"/>
      <c r="L8" s="8"/>
      <c r="M8" s="8">
        <f>Tableau_Lancer_la_requête_à_partir_de_Excel_Files1025678911[[#This Row],[''ALPC'']]+Tableau_Lancer_la_requête_à_partir_de_Excel_Files1025678911[[#This Row],[''AURA'']]+Tableau_Lancer_la_requête_à_partir_de_Excel_Files1025678911[[#This Row],[''BFC'']]+Tableau_Lancer_la_requête_à_partir_de_Excel_Files1025678911[[#This Row],[''LRMP'']]</f>
        <v>63150</v>
      </c>
      <c r="N8" s="8"/>
      <c r="O8" s="8">
        <v>63150</v>
      </c>
      <c r="P8" s="8"/>
      <c r="Q8" s="8"/>
      <c r="R8" s="8">
        <f>Tableau_Lancer_la_requête_à_partir_de_Excel_Files1025678911[[#This Row],[''03'']]+Tableau_Lancer_la_requête_à_partir_de_Excel_Files1025678911[[#This Row],[''07'']]+Tableau_Lancer_la_requête_à_partir_de_Excel_Files1025678911[[#This Row],[''11'']]+Tableau_Lancer_la_requête_à_partir_de_Excel_Files1025678911[[#This Row],[''12'']]+Tableau_Lancer_la_requête_à_partir_de_Excel_Files1025678911[[#This Row],[''15'']]+Tableau_Lancer_la_requête_à_partir_de_Excel_Files1025678911[[#This Row],[''19'']]+Tableau_Lancer_la_requête_à_partir_de_Excel_Files1025678911[[#This Row],[''21'']]+Tableau_Lancer_la_requête_à_partir_de_Excel_Files1025678911[[#This Row],[''23'']]+Tableau_Lancer_la_requête_à_partir_de_Excel_Files1025678911[[#This Row],[''30'']]+Tableau_Lancer_la_requête_à_partir_de_Excel_Files1025678911[[#This Row],[''34'']]+Tableau_Lancer_la_requête_à_partir_de_Excel_Files1025678911[[#This Row],[''42'']]+Tableau_Lancer_la_requête_à_partir_de_Excel_Files1025678911[[#This Row],[''43'']]+Tableau_Lancer_la_requête_à_partir_de_Excel_Files1025678911[[#This Row],[''46'']]+Tableau_Lancer_la_requête_à_partir_de_Excel_Files1025678911[[#This Row],[''48'']]+Tableau_Lancer_la_requête_à_partir_de_Excel_Files1025678911[[#This Row],[''58'']]+Tableau_Lancer_la_requête_à_partir_de_Excel_Files1025678911[[#This Row],[''63'']]+Tableau_Lancer_la_requête_à_partir_de_Excel_Files1025678911[[#This Row],[''69'']]+Tableau_Lancer_la_requête_à_partir_de_Excel_Files1025678911[[#This Row],[''71'']]+Tableau_Lancer_la_requête_à_partir_de_Excel_Files1025678911[[#This Row],[''81'']]+Tableau_Lancer_la_requête_à_partir_de_Excel_Files1025678911[[#This Row],[''82'']]+Tableau_Lancer_la_requête_à_partir_de_Excel_Files1025678911[[#This Row],[''87'']]+Tableau_Lancer_la_requête_à_partir_de_Excel_Files1025678911[[#This Row],[''89'']]</f>
        <v>0</v>
      </c>
      <c r="S8" s="8"/>
      <c r="T8" s="8"/>
      <c r="U8" s="8"/>
      <c r="V8" s="8"/>
      <c r="W8" s="8"/>
      <c r="X8" s="8"/>
      <c r="Y8" s="8"/>
      <c r="Z8" s="8"/>
      <c r="AA8" s="8"/>
      <c r="AB8" s="8"/>
      <c r="AC8" s="8"/>
      <c r="AD8" s="8"/>
      <c r="AE8" s="8"/>
      <c r="AF8" s="8"/>
      <c r="AG8" s="8"/>
      <c r="AH8" s="8"/>
      <c r="AI8" s="8"/>
      <c r="AJ8" s="8"/>
      <c r="AK8" s="8"/>
      <c r="AL8" s="8"/>
      <c r="AM8" s="8"/>
      <c r="AN8" s="8"/>
      <c r="AO8" s="8">
        <v>0</v>
      </c>
      <c r="AP8" s="10" t="s">
        <v>337</v>
      </c>
      <c r="AQ8" s="69">
        <v>42736</v>
      </c>
      <c r="AR8" s="5" t="s">
        <v>337</v>
      </c>
      <c r="AT8" s="74"/>
    </row>
    <row r="9" spans="1:46" s="10" customFormat="1" ht="45.75" thickBot="1" x14ac:dyDescent="0.3">
      <c r="A9" s="6" t="s">
        <v>434</v>
      </c>
      <c r="B9" s="5" t="s">
        <v>181</v>
      </c>
      <c r="C9" s="5" t="s">
        <v>180</v>
      </c>
      <c r="D9" s="8">
        <v>142240</v>
      </c>
      <c r="E9" s="8">
        <f>Tableau_Lancer_la_requête_à_partir_de_Excel_Files1025678911[[#This Row],[Aide Massif]]+Tableau_Lancer_la_requête_à_partir_de_Excel_Files1025678911[[#This Row],[''Autre Public'']]</f>
        <v>99568</v>
      </c>
      <c r="F9" s="9">
        <f>Tableau_Lancer_la_requête_à_partir_de_Excel_Files1025678911[[#This Row],[Aide 
publique]]/Tableau_Lancer_la_requête_à_partir_de_Excel_Files1025678911[[#This Row],[''Coût total éligible'']]</f>
        <v>0.7</v>
      </c>
      <c r="G9" s="8">
        <f>Tableau_Lancer_la_requête_à_partir_de_Excel_Files1025678911[[#This Row],[''FEDER'']]+Tableau_Lancer_la_requête_à_partir_de_Excel_Files1025678911[[#This Row],[Total Etat]]+Tableau_Lancer_la_requête_à_partir_de_Excel_Files1025678911[[#This Row],[Total Régions]]+Tableau_Lancer_la_requête_à_partir_de_Excel_Files1025678911[[#This Row],[Total Dpts]]</f>
        <v>99568</v>
      </c>
      <c r="H9" s="9">
        <f>Tableau_Lancer_la_requête_à_partir_de_Excel_Files1025678911[[#This Row],[Aide Massif]]/Tableau_Lancer_la_requête_à_partir_de_Excel_Files1025678911[[#This Row],[''Coût total éligible'']]</f>
        <v>0.7</v>
      </c>
      <c r="I9" s="8">
        <v>56896</v>
      </c>
      <c r="J9" s="8">
        <f>Tableau_Lancer_la_requête_à_partir_de_Excel_Files1025678911[[#This Row],[''FNADT '']]+Tableau_Lancer_la_requête_à_partir_de_Excel_Files1025678911[[#This Row],[''Agriculture'']]</f>
        <v>0</v>
      </c>
      <c r="K9" s="8"/>
      <c r="L9" s="8"/>
      <c r="M9" s="8">
        <f>Tableau_Lancer_la_requête_à_partir_de_Excel_Files1025678911[[#This Row],[''ALPC'']]+Tableau_Lancer_la_requête_à_partir_de_Excel_Files1025678911[[#This Row],[''AURA'']]+Tableau_Lancer_la_requête_à_partir_de_Excel_Files1025678911[[#This Row],[''BFC'']]+Tableau_Lancer_la_requête_à_partir_de_Excel_Files1025678911[[#This Row],[''LRMP'']]</f>
        <v>42672</v>
      </c>
      <c r="N9" s="8"/>
      <c r="O9" s="8">
        <v>42672</v>
      </c>
      <c r="P9" s="8"/>
      <c r="Q9" s="8"/>
      <c r="R9" s="8">
        <f>Tableau_Lancer_la_requête_à_partir_de_Excel_Files1025678911[[#This Row],[''03'']]+Tableau_Lancer_la_requête_à_partir_de_Excel_Files1025678911[[#This Row],[''07'']]+Tableau_Lancer_la_requête_à_partir_de_Excel_Files1025678911[[#This Row],[''11'']]+Tableau_Lancer_la_requête_à_partir_de_Excel_Files1025678911[[#This Row],[''12'']]+Tableau_Lancer_la_requête_à_partir_de_Excel_Files1025678911[[#This Row],[''15'']]+Tableau_Lancer_la_requête_à_partir_de_Excel_Files1025678911[[#This Row],[''19'']]+Tableau_Lancer_la_requête_à_partir_de_Excel_Files1025678911[[#This Row],[''21'']]+Tableau_Lancer_la_requête_à_partir_de_Excel_Files1025678911[[#This Row],[''23'']]+Tableau_Lancer_la_requête_à_partir_de_Excel_Files1025678911[[#This Row],[''30'']]+Tableau_Lancer_la_requête_à_partir_de_Excel_Files1025678911[[#This Row],[''34'']]+Tableau_Lancer_la_requête_à_partir_de_Excel_Files1025678911[[#This Row],[''42'']]+Tableau_Lancer_la_requête_à_partir_de_Excel_Files1025678911[[#This Row],[''43'']]+Tableau_Lancer_la_requête_à_partir_de_Excel_Files1025678911[[#This Row],[''46'']]+Tableau_Lancer_la_requête_à_partir_de_Excel_Files1025678911[[#This Row],[''48'']]+Tableau_Lancer_la_requête_à_partir_de_Excel_Files1025678911[[#This Row],[''58'']]+Tableau_Lancer_la_requête_à_partir_de_Excel_Files1025678911[[#This Row],[''63'']]+Tableau_Lancer_la_requête_à_partir_de_Excel_Files1025678911[[#This Row],[''69'']]+Tableau_Lancer_la_requête_à_partir_de_Excel_Files1025678911[[#This Row],[''71'']]+Tableau_Lancer_la_requête_à_partir_de_Excel_Files1025678911[[#This Row],[''81'']]+Tableau_Lancer_la_requête_à_partir_de_Excel_Files1025678911[[#This Row],[''82'']]+Tableau_Lancer_la_requête_à_partir_de_Excel_Files1025678911[[#This Row],[''87'']]+Tableau_Lancer_la_requête_à_partir_de_Excel_Files1025678911[[#This Row],[''89'']]</f>
        <v>0</v>
      </c>
      <c r="S9" s="8"/>
      <c r="T9" s="8"/>
      <c r="U9" s="8"/>
      <c r="V9" s="8"/>
      <c r="W9" s="8"/>
      <c r="X9" s="8"/>
      <c r="Y9" s="8"/>
      <c r="Z9" s="8"/>
      <c r="AA9" s="8"/>
      <c r="AB9" s="8"/>
      <c r="AC9" s="8"/>
      <c r="AD9" s="8"/>
      <c r="AE9" s="8"/>
      <c r="AF9" s="8"/>
      <c r="AG9" s="8"/>
      <c r="AH9" s="8"/>
      <c r="AI9" s="8"/>
      <c r="AJ9" s="8"/>
      <c r="AK9" s="8"/>
      <c r="AL9" s="8"/>
      <c r="AM9" s="8"/>
      <c r="AN9" s="8"/>
      <c r="AO9" s="8">
        <v>0</v>
      </c>
      <c r="AP9" s="10" t="s">
        <v>337</v>
      </c>
      <c r="AQ9" s="69">
        <v>42736</v>
      </c>
      <c r="AR9" s="5" t="s">
        <v>337</v>
      </c>
      <c r="AT9" s="72"/>
    </row>
    <row r="10" spans="1:46" s="10" customFormat="1" ht="15.75" thickTop="1" x14ac:dyDescent="0.25">
      <c r="A10" s="111" t="s">
        <v>8</v>
      </c>
      <c r="B10" s="112">
        <f>SUBTOTAL(103,Tableau_Lancer_la_requête_à_partir_de_Excel_Files1025678911[Nom_MO])</f>
        <v>3</v>
      </c>
      <c r="C10" s="112"/>
      <c r="D10" s="113">
        <f>SUBTOTAL(109,Tableau_Lancer_la_requête_à_partir_de_Excel_Files1025678911[''Coût total éligible''])</f>
        <v>472740</v>
      </c>
      <c r="E10" s="113">
        <f>SUBTOTAL(109,Tableau_Lancer_la_requête_à_partir_de_Excel_Files1025678911[Aide 
publique])</f>
        <v>324317.08</v>
      </c>
      <c r="F10" s="114"/>
      <c r="G10" s="113">
        <f>SUBTOTAL(109,Tableau_Lancer_la_requête_à_partir_de_Excel_Files1025678911[Aide Massif])</f>
        <v>324317.08</v>
      </c>
      <c r="H10" s="114"/>
      <c r="I10" s="113">
        <f>SUBTOTAL(109,Tableau_Lancer_la_requête_à_partir_de_Excel_Files1025678911[''FEDER''])</f>
        <v>188994.58000000002</v>
      </c>
      <c r="J10" s="113">
        <f>SUBTOTAL(109,Tableau_Lancer_la_requête_à_partir_de_Excel_Files1025678911[Total Etat])</f>
        <v>19500.5</v>
      </c>
      <c r="K10" s="111"/>
      <c r="L10" s="113">
        <f>SUBTOTAL(109,Tableau_Lancer_la_requête_à_partir_de_Excel_Files1025678911[''Agriculture''])</f>
        <v>0</v>
      </c>
      <c r="M10" s="113">
        <f>SUBTOTAL(109,Tableau_Lancer_la_requête_à_partir_de_Excel_Files1025678911[Total Régions])</f>
        <v>115822</v>
      </c>
      <c r="N10" s="113">
        <f>SUBTOTAL(109,Tableau_Lancer_la_requête_à_partir_de_Excel_Files1025678911[''ALPC''])</f>
        <v>0</v>
      </c>
      <c r="O10" s="113">
        <f>SUBTOTAL(109,Tableau_Lancer_la_requête_à_partir_de_Excel_Files1025678911[''AURA''])</f>
        <v>115822</v>
      </c>
      <c r="P10" s="113">
        <f>SUBTOTAL(109,Tableau_Lancer_la_requête_à_partir_de_Excel_Files1025678911[''BFC''])</f>
        <v>0</v>
      </c>
      <c r="Q10" s="113">
        <f>SUBTOTAL(109,Tableau_Lancer_la_requête_à_partir_de_Excel_Files1025678911[''LRMP''])</f>
        <v>0</v>
      </c>
      <c r="R10" s="113">
        <f>SUBTOTAL(109,Tableau_Lancer_la_requête_à_partir_de_Excel_Files1025678911[Total Dpts])</f>
        <v>0</v>
      </c>
      <c r="S10" s="113">
        <f>SUBTOTAL(109,Tableau_Lancer_la_requête_à_partir_de_Excel_Files1025678911[''03''])</f>
        <v>0</v>
      </c>
      <c r="T10" s="113">
        <f>SUBTOTAL(109,Tableau_Lancer_la_requête_à_partir_de_Excel_Files1025678911[''07''])</f>
        <v>0</v>
      </c>
      <c r="U10" s="113">
        <f>SUBTOTAL(109,Tableau_Lancer_la_requête_à_partir_de_Excel_Files1025678911[''11''])</f>
        <v>0</v>
      </c>
      <c r="V10" s="113">
        <f>SUBTOTAL(109,Tableau_Lancer_la_requête_à_partir_de_Excel_Files1025678911[''12''])</f>
        <v>0</v>
      </c>
      <c r="W10" s="113">
        <f>SUBTOTAL(109,Tableau_Lancer_la_requête_à_partir_de_Excel_Files1025678911[''15''])</f>
        <v>0</v>
      </c>
      <c r="X10" s="113">
        <f>SUBTOTAL(109,Tableau_Lancer_la_requête_à_partir_de_Excel_Files1025678911[''19''])</f>
        <v>0</v>
      </c>
      <c r="Y10" s="113">
        <f>SUBTOTAL(109,Tableau_Lancer_la_requête_à_partir_de_Excel_Files1025678911[''21''])</f>
        <v>0</v>
      </c>
      <c r="Z10" s="113">
        <f>SUBTOTAL(109,Tableau_Lancer_la_requête_à_partir_de_Excel_Files1025678911[''23''])</f>
        <v>0</v>
      </c>
      <c r="AA10" s="113">
        <f>SUBTOTAL(109,Tableau_Lancer_la_requête_à_partir_de_Excel_Files1025678911[''30''])</f>
        <v>0</v>
      </c>
      <c r="AB10" s="113">
        <f>SUBTOTAL(109,Tableau_Lancer_la_requête_à_partir_de_Excel_Files1025678911[''34''])</f>
        <v>0</v>
      </c>
      <c r="AC10" s="113">
        <f>SUBTOTAL(109,Tableau_Lancer_la_requête_à_partir_de_Excel_Files1025678911[''42''])</f>
        <v>0</v>
      </c>
      <c r="AD10" s="113">
        <f>SUBTOTAL(109,Tableau_Lancer_la_requête_à_partir_de_Excel_Files1025678911[''43''])</f>
        <v>0</v>
      </c>
      <c r="AE10" s="113">
        <f>SUBTOTAL(109,Tableau_Lancer_la_requête_à_partir_de_Excel_Files1025678911[''46''])</f>
        <v>0</v>
      </c>
      <c r="AF10" s="113">
        <f>SUBTOTAL(109,Tableau_Lancer_la_requête_à_partir_de_Excel_Files1025678911[''48''])</f>
        <v>0</v>
      </c>
      <c r="AG10" s="113">
        <f>SUBTOTAL(109,Tableau_Lancer_la_requête_à_partir_de_Excel_Files1025678911[''58''])</f>
        <v>0</v>
      </c>
      <c r="AH10" s="113">
        <f>SUBTOTAL(109,Tableau_Lancer_la_requête_à_partir_de_Excel_Files1025678911[''63''])</f>
        <v>0</v>
      </c>
      <c r="AI10" s="113">
        <f>SUBTOTAL(109,Tableau_Lancer_la_requête_à_partir_de_Excel_Files1025678911[''69''])</f>
        <v>0</v>
      </c>
      <c r="AJ10" s="113">
        <f>SUBTOTAL(109,Tableau_Lancer_la_requête_à_partir_de_Excel_Files1025678911[''71''])</f>
        <v>0</v>
      </c>
      <c r="AK10" s="113">
        <f>SUBTOTAL(109,Tableau_Lancer_la_requête_à_partir_de_Excel_Files1025678911[''81''])</f>
        <v>0</v>
      </c>
      <c r="AL10" s="113">
        <f>SUBTOTAL(109,Tableau_Lancer_la_requête_à_partir_de_Excel_Files1025678911[''82''])</f>
        <v>0</v>
      </c>
      <c r="AM10" s="113">
        <f>SUBTOTAL(109,Tableau_Lancer_la_requête_à_partir_de_Excel_Files1025678911[''87''])</f>
        <v>0</v>
      </c>
      <c r="AN10" s="113">
        <f>SUBTOTAL(109,Tableau_Lancer_la_requête_à_partir_de_Excel_Files1025678911[''89''])</f>
        <v>0</v>
      </c>
      <c r="AO10" s="113">
        <f>SUBTOTAL(109,Tableau_Lancer_la_requête_à_partir_de_Excel_Files1025678911[''Autre Public''])</f>
        <v>0</v>
      </c>
      <c r="AP10" s="111"/>
      <c r="AQ10" s="111"/>
      <c r="AR10" s="115"/>
      <c r="AT10" s="75"/>
    </row>
    <row r="11" spans="1:46" s="10" customFormat="1" x14ac:dyDescent="0.25">
      <c r="B11" s="5"/>
      <c r="C11" s="5"/>
      <c r="D11" s="58"/>
      <c r="E11" s="58"/>
      <c r="F11" s="59"/>
      <c r="G11" s="58"/>
      <c r="H11" s="59"/>
      <c r="I11" s="58"/>
      <c r="J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R11" s="4"/>
      <c r="AT11" s="3"/>
    </row>
    <row r="12" spans="1:46" s="10" customFormat="1" x14ac:dyDescent="0.25">
      <c r="B12" s="5"/>
      <c r="C12" s="5"/>
      <c r="D12" s="58"/>
      <c r="E12" s="58"/>
      <c r="F12" s="59"/>
      <c r="G12" s="58"/>
      <c r="H12" s="59"/>
      <c r="I12" s="58"/>
      <c r="J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R12" s="4"/>
      <c r="AT12" s="3"/>
    </row>
    <row r="13" spans="1:46" x14ac:dyDescent="0.25">
      <c r="A13" s="1" t="s">
        <v>262</v>
      </c>
      <c r="B13" s="2"/>
      <c r="AT13" s="3"/>
    </row>
    <row r="14" spans="1:46" s="7" customFormat="1" ht="45" x14ac:dyDescent="0.25">
      <c r="A14" s="7" t="s">
        <v>7</v>
      </c>
      <c r="B14" s="7" t="s">
        <v>1</v>
      </c>
      <c r="C14" s="7" t="s">
        <v>2</v>
      </c>
      <c r="D14" s="7" t="s">
        <v>52</v>
      </c>
      <c r="E14" s="7" t="s">
        <v>55</v>
      </c>
      <c r="F14" s="7" t="s">
        <v>53</v>
      </c>
      <c r="G14" s="7" t="s">
        <v>50</v>
      </c>
      <c r="H14" s="7" t="s">
        <v>56</v>
      </c>
      <c r="I14" s="7" t="s">
        <v>44</v>
      </c>
      <c r="J14" s="7" t="s">
        <v>66</v>
      </c>
      <c r="K14" s="7" t="s">
        <v>70</v>
      </c>
      <c r="L14" s="7" t="s">
        <v>17</v>
      </c>
      <c r="M14" s="7" t="s">
        <v>67</v>
      </c>
      <c r="N14" s="7" t="s">
        <v>20</v>
      </c>
      <c r="O14" s="7" t="s">
        <v>18</v>
      </c>
      <c r="P14" s="7" t="s">
        <v>19</v>
      </c>
      <c r="Q14" s="7" t="s">
        <v>21</v>
      </c>
      <c r="R14" s="7" t="s">
        <v>68</v>
      </c>
      <c r="S14" s="7" t="s">
        <v>22</v>
      </c>
      <c r="T14" s="7" t="s">
        <v>23</v>
      </c>
      <c r="U14" s="7" t="s">
        <v>24</v>
      </c>
      <c r="V14" s="7" t="s">
        <v>25</v>
      </c>
      <c r="W14" s="7" t="s">
        <v>26</v>
      </c>
      <c r="X14" s="7" t="s">
        <v>27</v>
      </c>
      <c r="Y14" s="7" t="s">
        <v>28</v>
      </c>
      <c r="Z14" s="7" t="s">
        <v>29</v>
      </c>
      <c r="AA14" s="7" t="s">
        <v>30</v>
      </c>
      <c r="AB14" s="7" t="s">
        <v>31</v>
      </c>
      <c r="AC14" s="7" t="s">
        <v>32</v>
      </c>
      <c r="AD14" s="7" t="s">
        <v>33</v>
      </c>
      <c r="AE14" s="7" t="s">
        <v>34</v>
      </c>
      <c r="AF14" s="7" t="s">
        <v>35</v>
      </c>
      <c r="AG14" s="7" t="s">
        <v>36</v>
      </c>
      <c r="AH14" s="7" t="s">
        <v>37</v>
      </c>
      <c r="AI14" s="7" t="s">
        <v>38</v>
      </c>
      <c r="AJ14" s="7" t="s">
        <v>39</v>
      </c>
      <c r="AK14" s="7" t="s">
        <v>40</v>
      </c>
      <c r="AL14" s="7" t="s">
        <v>41</v>
      </c>
      <c r="AM14" s="7" t="s">
        <v>42</v>
      </c>
      <c r="AN14" s="7" t="s">
        <v>43</v>
      </c>
      <c r="AO14" s="7" t="s">
        <v>45</v>
      </c>
      <c r="AP14" s="7" t="s">
        <v>49</v>
      </c>
      <c r="AQ14" s="7" t="s">
        <v>249</v>
      </c>
      <c r="AR14" s="17" t="s">
        <v>57</v>
      </c>
      <c r="AT14" s="31" t="s">
        <v>65</v>
      </c>
    </row>
    <row r="15" spans="1:46" s="10" customFormat="1" ht="30" x14ac:dyDescent="0.25">
      <c r="A15" s="13" t="s">
        <v>435</v>
      </c>
      <c r="B15" s="12" t="s">
        <v>182</v>
      </c>
      <c r="C15" s="12" t="s">
        <v>208</v>
      </c>
      <c r="D15" s="15">
        <v>238052</v>
      </c>
      <c r="E15" s="15">
        <f>Tableau_Lancer_la_requête_à_partir_de_Excel_Files102567891113[[#This Row],[Aide Massif]]+Tableau_Lancer_la_requête_à_partir_de_Excel_Files102567891113[[#This Row],[''Autre Public'']]</f>
        <v>150867.29999999999</v>
      </c>
      <c r="F15" s="16">
        <f>Tableau_Lancer_la_requête_à_partir_de_Excel_Files102567891113[[#This Row],[Aide 
publique]]/Tableau_Lancer_la_requête_à_partir_de_Excel_Files102567891113[[#This Row],[''Coût total éligible'']]</f>
        <v>0.63375775040747395</v>
      </c>
      <c r="G15" s="15">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150867.29999999999</v>
      </c>
      <c r="H15" s="16">
        <f>Tableau_Lancer_la_requête_à_partir_de_Excel_Files102567891113[[#This Row],[Aide Massif]]/Tableau_Lancer_la_requête_à_partir_de_Excel_Files102567891113[[#This Row],[''Coût total éligible'']]</f>
        <v>0.63375775040747395</v>
      </c>
      <c r="I15" s="15">
        <v>95220.800000000003</v>
      </c>
      <c r="J15" s="15">
        <f>Tableau_Lancer_la_requête_à_partir_de_Excel_Files102567891113[[#This Row],[''FNADT '']]+Tableau_Lancer_la_requête_à_partir_de_Excel_Files102567891113[[#This Row],[''Agriculture'']]</f>
        <v>20994</v>
      </c>
      <c r="K15" s="15">
        <v>20994</v>
      </c>
      <c r="L15" s="15"/>
      <c r="M15" s="15">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34652.5</v>
      </c>
      <c r="N15" s="15"/>
      <c r="O15" s="15">
        <v>34652.5</v>
      </c>
      <c r="P15" s="15"/>
      <c r="Q15" s="15"/>
      <c r="R15" s="15">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15" s="15"/>
      <c r="T15" s="15"/>
      <c r="U15" s="15"/>
      <c r="V15" s="15"/>
      <c r="W15" s="15"/>
      <c r="X15" s="15"/>
      <c r="Y15" s="15"/>
      <c r="Z15" s="15"/>
      <c r="AA15" s="15"/>
      <c r="AB15" s="15"/>
      <c r="AC15" s="15"/>
      <c r="AD15" s="15"/>
      <c r="AE15" s="15"/>
      <c r="AF15" s="15"/>
      <c r="AG15" s="15"/>
      <c r="AH15" s="15"/>
      <c r="AI15" s="15"/>
      <c r="AJ15" s="15"/>
      <c r="AK15" s="15"/>
      <c r="AL15" s="15"/>
      <c r="AM15" s="15"/>
      <c r="AN15" s="15"/>
      <c r="AO15" s="15">
        <v>0</v>
      </c>
      <c r="AP15" s="11" t="s">
        <v>339</v>
      </c>
      <c r="AQ15" s="69">
        <v>42644</v>
      </c>
      <c r="AR15" s="12" t="s">
        <v>337</v>
      </c>
      <c r="AT15" s="72"/>
    </row>
    <row r="16" spans="1:46" s="10" customFormat="1" ht="62.25" customHeight="1" x14ac:dyDescent="0.25">
      <c r="A16" s="6" t="s">
        <v>436</v>
      </c>
      <c r="B16" s="5" t="s">
        <v>209</v>
      </c>
      <c r="C16" s="5" t="s">
        <v>210</v>
      </c>
      <c r="D16" s="8">
        <v>28608.61</v>
      </c>
      <c r="E16" s="8">
        <f>Tableau_Lancer_la_requête_à_partir_de_Excel_Files102567891113[[#This Row],[Aide Massif]]+Tableau_Lancer_la_requête_à_partir_de_Excel_Files102567891113[[#This Row],[''Autre Public'']]</f>
        <v>18595.440000000002</v>
      </c>
      <c r="F16" s="9">
        <f>Tableau_Lancer_la_requête_à_partir_de_Excel_Files102567891113[[#This Row],[Aide 
publique]]/Tableau_Lancer_la_requête_à_partir_de_Excel_Files102567891113[[#This Row],[''Coût total éligible'']]</f>
        <v>0.64999452961888049</v>
      </c>
      <c r="G16"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18595.440000000002</v>
      </c>
      <c r="H16" s="9">
        <f>Tableau_Lancer_la_requête_à_partir_de_Excel_Files102567891113[[#This Row],[Aide Massif]]/Tableau_Lancer_la_requête_à_partir_de_Excel_Files102567891113[[#This Row],[''Coût total éligible'']]</f>
        <v>0.64999452961888049</v>
      </c>
      <c r="I16" s="8">
        <v>11443.44</v>
      </c>
      <c r="J16" s="8">
        <f>Tableau_Lancer_la_requête_à_partir_de_Excel_Files102567891113[[#This Row],[''FNADT '']]+Tableau_Lancer_la_requête_à_partir_de_Excel_Files102567891113[[#This Row],[''Agriculture'']]</f>
        <v>0</v>
      </c>
      <c r="K16" s="8"/>
      <c r="L16" s="8"/>
      <c r="M16"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7152</v>
      </c>
      <c r="N16" s="8"/>
      <c r="O16" s="8">
        <v>7152</v>
      </c>
      <c r="P16" s="8"/>
      <c r="Q16" s="8"/>
      <c r="R16"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16" s="8"/>
      <c r="T16" s="8"/>
      <c r="U16" s="8"/>
      <c r="V16" s="8"/>
      <c r="W16" s="8"/>
      <c r="X16" s="8"/>
      <c r="Y16" s="8"/>
      <c r="Z16" s="8"/>
      <c r="AA16" s="8"/>
      <c r="AB16" s="8"/>
      <c r="AC16" s="8"/>
      <c r="AD16" s="8"/>
      <c r="AE16" s="8"/>
      <c r="AF16" s="8"/>
      <c r="AG16" s="8"/>
      <c r="AH16" s="8"/>
      <c r="AI16" s="8"/>
      <c r="AJ16" s="8"/>
      <c r="AK16" s="8"/>
      <c r="AL16" s="8"/>
      <c r="AM16" s="8"/>
      <c r="AN16" s="8"/>
      <c r="AO16" s="8">
        <v>0</v>
      </c>
      <c r="AP16" s="10" t="s">
        <v>339</v>
      </c>
      <c r="AQ16" s="69">
        <v>42736</v>
      </c>
      <c r="AR16" s="5" t="s">
        <v>337</v>
      </c>
      <c r="AT16" s="74"/>
    </row>
    <row r="17" spans="1:83" s="10" customFormat="1" ht="30" x14ac:dyDescent="0.25">
      <c r="A17" s="6" t="s">
        <v>436</v>
      </c>
      <c r="B17" s="5" t="s">
        <v>211</v>
      </c>
      <c r="C17" s="5" t="s">
        <v>210</v>
      </c>
      <c r="D17" s="8">
        <v>27316.29</v>
      </c>
      <c r="E17" s="8">
        <f>Tableau_Lancer_la_requête_à_partir_de_Excel_Files102567891113[[#This Row],[Aide Massif]]+Tableau_Lancer_la_requête_à_partir_de_Excel_Files102567891113[[#This Row],[''Autre Public'']]</f>
        <v>17755.59</v>
      </c>
      <c r="F17" s="9">
        <f>Tableau_Lancer_la_requête_à_partir_de_Excel_Files102567891113[[#This Row],[Aide 
publique]]/Tableau_Lancer_la_requête_à_partir_de_Excel_Files102567891113[[#This Row],[''Coût total éligible'']]</f>
        <v>0.65000005491228863</v>
      </c>
      <c r="G17"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17755.59</v>
      </c>
      <c r="H17" s="9">
        <f>Tableau_Lancer_la_requête_à_partir_de_Excel_Files102567891113[[#This Row],[Aide Massif]]/Tableau_Lancer_la_requête_à_partir_de_Excel_Files102567891113[[#This Row],[''Coût total éligible'']]</f>
        <v>0.65000005491228863</v>
      </c>
      <c r="I17" s="8">
        <v>10926.52</v>
      </c>
      <c r="J17" s="8">
        <f>Tableau_Lancer_la_requête_à_partir_de_Excel_Files102567891113[[#This Row],[''FNADT '']]+Tableau_Lancer_la_requête_à_partir_de_Excel_Files102567891113[[#This Row],[''Agriculture'']]</f>
        <v>0</v>
      </c>
      <c r="K17" s="8"/>
      <c r="L17" s="8"/>
      <c r="M17"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6829.07</v>
      </c>
      <c r="N17" s="8"/>
      <c r="O17" s="8">
        <v>6829.07</v>
      </c>
      <c r="P17" s="8"/>
      <c r="Q17" s="8"/>
      <c r="R17"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17" s="8"/>
      <c r="T17" s="8"/>
      <c r="U17" s="8"/>
      <c r="V17" s="8"/>
      <c r="W17" s="8"/>
      <c r="X17" s="8"/>
      <c r="Y17" s="8"/>
      <c r="Z17" s="8"/>
      <c r="AA17" s="8"/>
      <c r="AB17" s="8"/>
      <c r="AC17" s="8"/>
      <c r="AD17" s="8"/>
      <c r="AE17" s="8"/>
      <c r="AF17" s="8"/>
      <c r="AG17" s="8"/>
      <c r="AH17" s="8"/>
      <c r="AI17" s="8"/>
      <c r="AJ17" s="8"/>
      <c r="AK17" s="8"/>
      <c r="AL17" s="8"/>
      <c r="AM17" s="8"/>
      <c r="AN17" s="8"/>
      <c r="AO17" s="8">
        <v>0</v>
      </c>
      <c r="AP17" s="10" t="s">
        <v>339</v>
      </c>
      <c r="AQ17" s="69">
        <v>42736</v>
      </c>
      <c r="AR17" s="5" t="s">
        <v>337</v>
      </c>
      <c r="AT17" s="72"/>
    </row>
    <row r="18" spans="1:83" s="10" customFormat="1" ht="45" x14ac:dyDescent="0.25">
      <c r="A18" s="6" t="s">
        <v>437</v>
      </c>
      <c r="B18" s="5" t="s">
        <v>212</v>
      </c>
      <c r="C18" s="5" t="s">
        <v>213</v>
      </c>
      <c r="D18" s="8">
        <v>51610</v>
      </c>
      <c r="E18" s="8">
        <f>Tableau_Lancer_la_requête_à_partir_de_Excel_Files102567891113[[#This Row],[Aide Massif]]+Tableau_Lancer_la_requête_à_partir_de_Excel_Files102567891113[[#This Row],[''Autre Public'']]</f>
        <v>33547</v>
      </c>
      <c r="F18" s="9">
        <f>Tableau_Lancer_la_requête_à_partir_de_Excel_Files102567891113[[#This Row],[Aide 
publique]]/Tableau_Lancer_la_requête_à_partir_de_Excel_Files102567891113[[#This Row],[''Coût total éligible'']]</f>
        <v>0.65000968804495252</v>
      </c>
      <c r="G18"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33547</v>
      </c>
      <c r="H18" s="9">
        <f>Tableau_Lancer_la_requête_à_partir_de_Excel_Files102567891113[[#This Row],[Aide Massif]]/Tableau_Lancer_la_requête_à_partir_de_Excel_Files102567891113[[#This Row],[''Coût total éligible'']]</f>
        <v>0.65000968804495252</v>
      </c>
      <c r="I18" s="8">
        <v>20644</v>
      </c>
      <c r="J18" s="8">
        <f>Tableau_Lancer_la_requête_à_partir_de_Excel_Files102567891113[[#This Row],[''FNADT '']]+Tableau_Lancer_la_requête_à_partir_de_Excel_Files102567891113[[#This Row],[''Agriculture'']]</f>
        <v>0</v>
      </c>
      <c r="K18" s="8"/>
      <c r="L18" s="8"/>
      <c r="M18"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12903</v>
      </c>
      <c r="N18" s="8"/>
      <c r="O18" s="8">
        <v>12903</v>
      </c>
      <c r="P18" s="8"/>
      <c r="Q18" s="8"/>
      <c r="R18"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18" s="8"/>
      <c r="T18" s="8"/>
      <c r="U18" s="8"/>
      <c r="V18" s="8"/>
      <c r="W18" s="8"/>
      <c r="X18" s="8"/>
      <c r="Y18" s="8"/>
      <c r="Z18" s="8"/>
      <c r="AA18" s="8"/>
      <c r="AB18" s="8"/>
      <c r="AC18" s="8"/>
      <c r="AD18" s="8"/>
      <c r="AE18" s="8"/>
      <c r="AF18" s="8"/>
      <c r="AG18" s="8"/>
      <c r="AH18" s="8"/>
      <c r="AI18" s="8"/>
      <c r="AJ18" s="8"/>
      <c r="AK18" s="8"/>
      <c r="AL18" s="8"/>
      <c r="AM18" s="8"/>
      <c r="AN18" s="8"/>
      <c r="AO18" s="8">
        <v>0</v>
      </c>
      <c r="AP18" s="10" t="s">
        <v>339</v>
      </c>
      <c r="AQ18" s="69">
        <v>42675</v>
      </c>
      <c r="AR18" s="5" t="s">
        <v>337</v>
      </c>
      <c r="AT18" s="74"/>
    </row>
    <row r="19" spans="1:83" s="10" customFormat="1" ht="45" x14ac:dyDescent="0.25">
      <c r="A19" s="6" t="s">
        <v>438</v>
      </c>
      <c r="B19" s="5" t="s">
        <v>214</v>
      </c>
      <c r="C19" s="5" t="s">
        <v>215</v>
      </c>
      <c r="D19" s="8">
        <v>212340</v>
      </c>
      <c r="E19" s="8">
        <f>Tableau_Lancer_la_requête_à_partir_de_Excel_Files102567891113[[#This Row],[Aide Massif]]+Tableau_Lancer_la_requête_à_partir_de_Excel_Files102567891113[[#This Row],[''Autre Public'']]</f>
        <v>97036</v>
      </c>
      <c r="F19" s="9">
        <f>Tableau_Lancer_la_requête_à_partir_de_Excel_Files102567891113[[#This Row],[Aide 
publique]]/Tableau_Lancer_la_requête_à_partir_de_Excel_Files102567891113[[#This Row],[''Coût total éligible'']]</f>
        <v>0.45698408213242914</v>
      </c>
      <c r="G19"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97036</v>
      </c>
      <c r="H19" s="9">
        <f>Tableau_Lancer_la_requête_à_partir_de_Excel_Files102567891113[[#This Row],[Aide Massif]]/Tableau_Lancer_la_requête_à_partir_de_Excel_Files102567891113[[#This Row],[''Coût total éligible'']]</f>
        <v>0.45698408213242914</v>
      </c>
      <c r="I19" s="8">
        <v>68936</v>
      </c>
      <c r="J19" s="8">
        <f>Tableau_Lancer_la_requête_à_partir_de_Excel_Files102567891113[[#This Row],[''FNADT '']]+Tableau_Lancer_la_requête_à_partir_de_Excel_Files102567891113[[#This Row],[''Agriculture'']]</f>
        <v>0</v>
      </c>
      <c r="K19" s="8"/>
      <c r="L19" s="8"/>
      <c r="M19"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24335</v>
      </c>
      <c r="N19" s="8"/>
      <c r="O19" s="8">
        <v>24335</v>
      </c>
      <c r="P19" s="8"/>
      <c r="Q19" s="8"/>
      <c r="R19"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3765</v>
      </c>
      <c r="S19" s="8"/>
      <c r="T19" s="8"/>
      <c r="U19" s="8"/>
      <c r="V19" s="8"/>
      <c r="W19" s="8"/>
      <c r="X19" s="8"/>
      <c r="Y19" s="8"/>
      <c r="Z19" s="8"/>
      <c r="AA19" s="8"/>
      <c r="AB19" s="8"/>
      <c r="AC19" s="8"/>
      <c r="AD19" s="8"/>
      <c r="AE19" s="8"/>
      <c r="AF19" s="8"/>
      <c r="AG19" s="8"/>
      <c r="AH19" s="8"/>
      <c r="AI19" s="8">
        <v>3765</v>
      </c>
      <c r="AJ19" s="8"/>
      <c r="AK19" s="8"/>
      <c r="AL19" s="8"/>
      <c r="AM19" s="8"/>
      <c r="AN19" s="8"/>
      <c r="AO19" s="8">
        <v>0</v>
      </c>
      <c r="AP19" s="10" t="s">
        <v>339</v>
      </c>
      <c r="AQ19" s="69">
        <v>42767</v>
      </c>
      <c r="AR19" s="5" t="s">
        <v>337</v>
      </c>
      <c r="AT19" s="72"/>
    </row>
    <row r="20" spans="1:83" ht="30" x14ac:dyDescent="0.25">
      <c r="A20" s="6" t="s">
        <v>299</v>
      </c>
      <c r="B20" s="5" t="s">
        <v>216</v>
      </c>
      <c r="C20" s="5" t="s">
        <v>217</v>
      </c>
      <c r="D20" s="8">
        <v>59837.83</v>
      </c>
      <c r="E20" s="8">
        <f>Tableau_Lancer_la_requête_à_partir_de_Excel_Files102567891113[[#This Row],[Aide Massif]]+Tableau_Lancer_la_requête_à_partir_de_Excel_Files102567891113[[#This Row],[''Autre Public'']]</f>
        <v>38614.589999999997</v>
      </c>
      <c r="F20" s="9">
        <f>Tableau_Lancer_la_requête_à_partir_de_Excel_Files102567891113[[#This Row],[Aide 
publique]]/Tableau_Lancer_la_requête_à_partir_de_Excel_Files102567891113[[#This Row],[''Coût total éligible'']]</f>
        <v>0.64532069428319838</v>
      </c>
      <c r="G20"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38614.589999999997</v>
      </c>
      <c r="H20" s="9">
        <f>Tableau_Lancer_la_requête_à_partir_de_Excel_Files102567891113[[#This Row],[Aide Massif]]/Tableau_Lancer_la_requête_à_partir_de_Excel_Files102567891113[[#This Row],[''Coût total éligible'']]</f>
        <v>0.64532069428319838</v>
      </c>
      <c r="I20" s="8">
        <v>23655.13</v>
      </c>
      <c r="J20" s="8">
        <f>Tableau_Lancer_la_requête_à_partir_de_Excel_Files102567891113[[#This Row],[''FNADT '']]+Tableau_Lancer_la_requête_à_partir_de_Excel_Files102567891113[[#This Row],[''Agriculture'']]</f>
        <v>0</v>
      </c>
      <c r="K20" s="8"/>
      <c r="L20" s="8"/>
      <c r="M20"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14959.46</v>
      </c>
      <c r="N20" s="8"/>
      <c r="O20" s="8">
        <v>14959.46</v>
      </c>
      <c r="P20" s="8"/>
      <c r="Q20" s="8"/>
      <c r="R20"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0" s="8"/>
      <c r="T20" s="8"/>
      <c r="U20" s="8"/>
      <c r="V20" s="8"/>
      <c r="W20" s="8"/>
      <c r="X20" s="8"/>
      <c r="Y20" s="8"/>
      <c r="Z20" s="8"/>
      <c r="AA20" s="8"/>
      <c r="AB20" s="8"/>
      <c r="AC20" s="8"/>
      <c r="AD20" s="8"/>
      <c r="AE20" s="8"/>
      <c r="AF20" s="8"/>
      <c r="AG20" s="8"/>
      <c r="AH20" s="8"/>
      <c r="AI20" s="8"/>
      <c r="AJ20" s="8"/>
      <c r="AK20" s="8"/>
      <c r="AL20" s="8"/>
      <c r="AM20" s="8"/>
      <c r="AN20" s="8"/>
      <c r="AO20" s="8">
        <v>0</v>
      </c>
      <c r="AP20" s="10" t="s">
        <v>339</v>
      </c>
      <c r="AQ20" s="69">
        <v>42736</v>
      </c>
      <c r="AR20" s="5" t="s">
        <v>337</v>
      </c>
      <c r="AT20" s="74"/>
      <c r="CB20" s="4"/>
      <c r="CE20" s="3"/>
    </row>
    <row r="21" spans="1:83" s="7" customFormat="1" ht="30" x14ac:dyDescent="0.25">
      <c r="A21" s="6" t="s">
        <v>299</v>
      </c>
      <c r="B21" s="5" t="s">
        <v>220</v>
      </c>
      <c r="C21" s="5" t="s">
        <v>221</v>
      </c>
      <c r="D21" s="8">
        <v>10000</v>
      </c>
      <c r="E21" s="8">
        <f>Tableau_Lancer_la_requête_à_partir_de_Excel_Files102567891113[[#This Row],[Aide Massif]]+Tableau_Lancer_la_requête_à_partir_de_Excel_Files102567891113[[#This Row],[''Autre Public'']]</f>
        <v>6500</v>
      </c>
      <c r="F21" s="9">
        <f>Tableau_Lancer_la_requête_à_partir_de_Excel_Files102567891113[[#This Row],[Aide 
publique]]/Tableau_Lancer_la_requête_à_partir_de_Excel_Files102567891113[[#This Row],[''Coût total éligible'']]</f>
        <v>0.65</v>
      </c>
      <c r="G21"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6500</v>
      </c>
      <c r="H21" s="9">
        <f>Tableau_Lancer_la_requête_à_partir_de_Excel_Files102567891113[[#This Row],[Aide Massif]]/Tableau_Lancer_la_requête_à_partir_de_Excel_Files102567891113[[#This Row],[''Coût total éligible'']]</f>
        <v>0.65</v>
      </c>
      <c r="I21" s="8">
        <v>4000</v>
      </c>
      <c r="J21" s="8">
        <f>Tableau_Lancer_la_requête_à_partir_de_Excel_Files102567891113[[#This Row],[''FNADT '']]+Tableau_Lancer_la_requête_à_partir_de_Excel_Files102567891113[[#This Row],[''Agriculture'']]</f>
        <v>0</v>
      </c>
      <c r="K21" s="8"/>
      <c r="L21" s="8"/>
      <c r="M21"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2500</v>
      </c>
      <c r="N21" s="8"/>
      <c r="O21" s="8">
        <v>2500</v>
      </c>
      <c r="P21" s="8"/>
      <c r="Q21" s="8"/>
      <c r="R21"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1" s="8"/>
      <c r="T21" s="8"/>
      <c r="U21" s="8"/>
      <c r="V21" s="8"/>
      <c r="W21" s="8"/>
      <c r="X21" s="8"/>
      <c r="Y21" s="8"/>
      <c r="Z21" s="8"/>
      <c r="AA21" s="8"/>
      <c r="AB21" s="8"/>
      <c r="AC21" s="8"/>
      <c r="AD21" s="8"/>
      <c r="AE21" s="8"/>
      <c r="AF21" s="8"/>
      <c r="AG21" s="8"/>
      <c r="AH21" s="8"/>
      <c r="AI21" s="8"/>
      <c r="AJ21" s="8"/>
      <c r="AK21" s="8"/>
      <c r="AL21" s="8"/>
      <c r="AM21" s="8"/>
      <c r="AN21" s="8"/>
      <c r="AO21" s="8">
        <v>0</v>
      </c>
      <c r="AP21" s="10" t="s">
        <v>339</v>
      </c>
      <c r="AQ21" s="69">
        <v>42736</v>
      </c>
      <c r="AR21" s="5" t="s">
        <v>337</v>
      </c>
      <c r="AT21" s="72"/>
    </row>
    <row r="22" spans="1:83" s="10" customFormat="1" ht="45" x14ac:dyDescent="0.25">
      <c r="A22" s="6" t="s">
        <v>439</v>
      </c>
      <c r="B22" s="5" t="s">
        <v>222</v>
      </c>
      <c r="C22" s="5" t="s">
        <v>223</v>
      </c>
      <c r="D22" s="8">
        <v>170848.5</v>
      </c>
      <c r="E22" s="8">
        <f>Tableau_Lancer_la_requête_à_partir_de_Excel_Files102567891113[[#This Row],[Aide Massif]]+Tableau_Lancer_la_requête_à_partir_de_Excel_Files102567891113[[#This Row],[''Autre Public'']]</f>
        <v>111048.40000000001</v>
      </c>
      <c r="F22" s="9">
        <f>Tableau_Lancer_la_requête_à_partir_de_Excel_Files102567891113[[#This Row],[Aide 
publique]]/Tableau_Lancer_la_requête_à_partir_de_Excel_Files102567891113[[#This Row],[''Coût total éligible'']]</f>
        <v>0.64998170894096241</v>
      </c>
      <c r="G22"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111048.40000000001</v>
      </c>
      <c r="H22" s="9">
        <f>Tableau_Lancer_la_requête_à_partir_de_Excel_Files102567891113[[#This Row],[Aide Massif]]/Tableau_Lancer_la_requête_à_partir_de_Excel_Files102567891113[[#This Row],[''Coût total éligible'']]</f>
        <v>0.64998170894096241</v>
      </c>
      <c r="I22" s="8">
        <v>68339.400000000009</v>
      </c>
      <c r="J22" s="8">
        <f>Tableau_Lancer_la_requête_à_partir_de_Excel_Files102567891113[[#This Row],[''FNADT '']]+Tableau_Lancer_la_requête_à_partir_de_Excel_Files102567891113[[#This Row],[''Agriculture'']]</f>
        <v>0</v>
      </c>
      <c r="K22" s="8"/>
      <c r="L22" s="8"/>
      <c r="M22"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42709</v>
      </c>
      <c r="N22" s="8"/>
      <c r="O22" s="8">
        <v>42709</v>
      </c>
      <c r="P22" s="8"/>
      <c r="Q22" s="8"/>
      <c r="R22"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2" s="8"/>
      <c r="T22" s="8"/>
      <c r="U22" s="8"/>
      <c r="V22" s="8"/>
      <c r="W22" s="8"/>
      <c r="X22" s="8"/>
      <c r="Y22" s="8"/>
      <c r="Z22" s="8"/>
      <c r="AA22" s="8"/>
      <c r="AB22" s="8"/>
      <c r="AC22" s="8">
        <v>0</v>
      </c>
      <c r="AD22" s="8"/>
      <c r="AE22" s="8"/>
      <c r="AF22" s="8"/>
      <c r="AG22" s="8"/>
      <c r="AH22" s="8"/>
      <c r="AI22" s="8"/>
      <c r="AJ22" s="8"/>
      <c r="AK22" s="8"/>
      <c r="AL22" s="8"/>
      <c r="AM22" s="8"/>
      <c r="AN22" s="8"/>
      <c r="AO22" s="8">
        <v>0</v>
      </c>
      <c r="AP22" s="10" t="s">
        <v>339</v>
      </c>
      <c r="AQ22" s="69">
        <v>42736</v>
      </c>
      <c r="AR22" s="5" t="s">
        <v>337</v>
      </c>
      <c r="AT22" s="74"/>
    </row>
    <row r="23" spans="1:83" s="10" customFormat="1" ht="75" x14ac:dyDescent="0.25">
      <c r="A23" s="6" t="s">
        <v>440</v>
      </c>
      <c r="B23" s="5" t="s">
        <v>224</v>
      </c>
      <c r="C23" s="5" t="s">
        <v>225</v>
      </c>
      <c r="D23" s="8">
        <v>50815.87</v>
      </c>
      <c r="E23" s="8">
        <f>Tableau_Lancer_la_requête_à_partir_de_Excel_Files102567891113[[#This Row],[Aide Massif]]+Tableau_Lancer_la_requête_à_partir_de_Excel_Files102567891113[[#This Row],[''Autre Public'']]</f>
        <v>30255.07</v>
      </c>
      <c r="F23" s="9">
        <f>Tableau_Lancer_la_requête_à_partir_de_Excel_Files102567891113[[#This Row],[Aide 
publique]]/Tableau_Lancer_la_requête_à_partir_de_Excel_Files102567891113[[#This Row],[''Coût total éligible'']]</f>
        <v>0.59538624449409205</v>
      </c>
      <c r="G23"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30255.07</v>
      </c>
      <c r="H23" s="9">
        <f>Tableau_Lancer_la_requête_à_partir_de_Excel_Files102567891113[[#This Row],[Aide Massif]]/Tableau_Lancer_la_requête_à_partir_de_Excel_Files102567891113[[#This Row],[''Coût total éligible'']]</f>
        <v>0.59538624449409205</v>
      </c>
      <c r="I23" s="8">
        <v>17551.07</v>
      </c>
      <c r="J23" s="8">
        <f>Tableau_Lancer_la_requête_à_partir_de_Excel_Files102567891113[[#This Row],[''FNADT '']]+Tableau_Lancer_la_requête_à_partir_de_Excel_Files102567891113[[#This Row],[''Agriculture'']]</f>
        <v>0</v>
      </c>
      <c r="K23" s="8"/>
      <c r="L23" s="8"/>
      <c r="M23"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12704</v>
      </c>
      <c r="N23" s="8"/>
      <c r="O23" s="8">
        <v>12704</v>
      </c>
      <c r="P23" s="8"/>
      <c r="Q23" s="8"/>
      <c r="R23"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3" s="8"/>
      <c r="T23" s="8"/>
      <c r="U23" s="8"/>
      <c r="V23" s="8"/>
      <c r="W23" s="8"/>
      <c r="X23" s="8"/>
      <c r="Y23" s="8"/>
      <c r="Z23" s="8"/>
      <c r="AA23" s="8"/>
      <c r="AB23" s="8"/>
      <c r="AC23" s="8"/>
      <c r="AD23" s="8"/>
      <c r="AE23" s="8"/>
      <c r="AF23" s="8"/>
      <c r="AG23" s="8"/>
      <c r="AH23" s="8"/>
      <c r="AI23" s="8"/>
      <c r="AJ23" s="8"/>
      <c r="AK23" s="8"/>
      <c r="AL23" s="8"/>
      <c r="AM23" s="8"/>
      <c r="AN23" s="8"/>
      <c r="AO23" s="8">
        <v>0</v>
      </c>
      <c r="AP23" s="10" t="s">
        <v>339</v>
      </c>
      <c r="AQ23" s="69">
        <v>42736</v>
      </c>
      <c r="AR23" s="5" t="s">
        <v>337</v>
      </c>
      <c r="AT23" s="72"/>
    </row>
    <row r="24" spans="1:83" s="10" customFormat="1" ht="30" x14ac:dyDescent="0.25">
      <c r="A24" s="6" t="s">
        <v>441</v>
      </c>
      <c r="B24" s="5" t="s">
        <v>226</v>
      </c>
      <c r="C24" s="5" t="s">
        <v>227</v>
      </c>
      <c r="D24" s="8">
        <v>72837</v>
      </c>
      <c r="E24" s="8">
        <f>Tableau_Lancer_la_requête_à_partir_de_Excel_Files102567891113[[#This Row],[Aide Massif]]+Tableau_Lancer_la_requête_à_partir_de_Excel_Files102567891113[[#This Row],[''Autre Public'']]</f>
        <v>47344</v>
      </c>
      <c r="F24" s="9">
        <f>Tableau_Lancer_la_requête_à_partir_de_Excel_Files102567891113[[#This Row],[Aide 
publique]]/Tableau_Lancer_la_requête_à_partir_de_Excel_Files102567891113[[#This Row],[''Coût total éligible'']]</f>
        <v>0.64999931353570306</v>
      </c>
      <c r="G24"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47344</v>
      </c>
      <c r="H24" s="9">
        <f>Tableau_Lancer_la_requête_à_partir_de_Excel_Files102567891113[[#This Row],[Aide Massif]]/Tableau_Lancer_la_requête_à_partir_de_Excel_Files102567891113[[#This Row],[''Coût total éligible'']]</f>
        <v>0.64999931353570306</v>
      </c>
      <c r="I24" s="8">
        <v>29135</v>
      </c>
      <c r="J24" s="8">
        <f>Tableau_Lancer_la_requête_à_partir_de_Excel_Files102567891113[[#This Row],[''FNADT '']]+Tableau_Lancer_la_requête_à_partir_de_Excel_Files102567891113[[#This Row],[''Agriculture'']]</f>
        <v>0</v>
      </c>
      <c r="K24" s="8"/>
      <c r="L24" s="8"/>
      <c r="M24"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18209</v>
      </c>
      <c r="N24" s="8"/>
      <c r="O24" s="8">
        <v>18209</v>
      </c>
      <c r="P24" s="8"/>
      <c r="Q24" s="8"/>
      <c r="R24"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4" s="8"/>
      <c r="T24" s="8"/>
      <c r="U24" s="8"/>
      <c r="V24" s="8"/>
      <c r="W24" s="8"/>
      <c r="X24" s="8"/>
      <c r="Y24" s="8"/>
      <c r="Z24" s="8"/>
      <c r="AA24" s="8"/>
      <c r="AB24" s="8"/>
      <c r="AC24" s="8">
        <v>0</v>
      </c>
      <c r="AD24" s="8"/>
      <c r="AE24" s="8"/>
      <c r="AF24" s="8"/>
      <c r="AG24" s="8"/>
      <c r="AH24" s="8"/>
      <c r="AI24" s="8"/>
      <c r="AJ24" s="8"/>
      <c r="AK24" s="8"/>
      <c r="AL24" s="8"/>
      <c r="AM24" s="8"/>
      <c r="AN24" s="8"/>
      <c r="AO24" s="8">
        <v>0</v>
      </c>
      <c r="AP24" s="10" t="s">
        <v>339</v>
      </c>
      <c r="AQ24" s="69">
        <v>42736</v>
      </c>
      <c r="AR24" s="5" t="s">
        <v>337</v>
      </c>
      <c r="AT24" s="74"/>
    </row>
    <row r="25" spans="1:83" s="10" customFormat="1" ht="45" x14ac:dyDescent="0.25">
      <c r="A25" s="6" t="s">
        <v>442</v>
      </c>
      <c r="B25" s="5" t="s">
        <v>228</v>
      </c>
      <c r="C25" s="5" t="s">
        <v>229</v>
      </c>
      <c r="D25" s="8">
        <v>71697</v>
      </c>
      <c r="E25" s="8">
        <f>Tableau_Lancer_la_requête_à_partir_de_Excel_Files102567891113[[#This Row],[Aide Massif]]+Tableau_Lancer_la_requête_à_partir_de_Excel_Files102567891113[[#This Row],[''Autre Public'']]</f>
        <v>46603.16</v>
      </c>
      <c r="F25" s="9">
        <f>Tableau_Lancer_la_requête_à_partir_de_Excel_Files102567891113[[#This Row],[Aide 
publique]]/Tableau_Lancer_la_requête_à_partir_de_Excel_Files102567891113[[#This Row],[''Coût total éligible'']]</f>
        <v>0.65000153423434737</v>
      </c>
      <c r="G25"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46603.16</v>
      </c>
      <c r="H25" s="9">
        <f>Tableau_Lancer_la_requête_à_partir_de_Excel_Files102567891113[[#This Row],[Aide Massif]]/Tableau_Lancer_la_requête_à_partir_de_Excel_Files102567891113[[#This Row],[''Coût total éligible'']]</f>
        <v>0.65000153423434737</v>
      </c>
      <c r="I25" s="8">
        <v>28678.800000000003</v>
      </c>
      <c r="J25" s="8">
        <f>Tableau_Lancer_la_requête_à_partir_de_Excel_Files102567891113[[#This Row],[''FNADT '']]+Tableau_Lancer_la_requête_à_partir_de_Excel_Files102567891113[[#This Row],[''Agriculture'']]</f>
        <v>0</v>
      </c>
      <c r="K25" s="8"/>
      <c r="L25" s="8"/>
      <c r="M25"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17924.36</v>
      </c>
      <c r="N25" s="8"/>
      <c r="O25" s="8">
        <v>17924.36</v>
      </c>
      <c r="P25" s="8"/>
      <c r="Q25" s="8"/>
      <c r="R25"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5" s="8"/>
      <c r="T25" s="8"/>
      <c r="U25" s="8"/>
      <c r="V25" s="8"/>
      <c r="W25" s="8"/>
      <c r="X25" s="8"/>
      <c r="Y25" s="8"/>
      <c r="Z25" s="8"/>
      <c r="AA25" s="8"/>
      <c r="AB25" s="8"/>
      <c r="AC25" s="8">
        <v>0</v>
      </c>
      <c r="AD25" s="8"/>
      <c r="AE25" s="8"/>
      <c r="AF25" s="8"/>
      <c r="AG25" s="8"/>
      <c r="AH25" s="8"/>
      <c r="AI25" s="8"/>
      <c r="AJ25" s="8"/>
      <c r="AK25" s="8"/>
      <c r="AL25" s="8"/>
      <c r="AM25" s="8"/>
      <c r="AN25" s="8"/>
      <c r="AO25" s="8">
        <v>0</v>
      </c>
      <c r="AP25" s="10" t="s">
        <v>339</v>
      </c>
      <c r="AQ25" s="69">
        <v>42675</v>
      </c>
      <c r="AR25" s="5" t="s">
        <v>337</v>
      </c>
      <c r="AT25" s="72"/>
    </row>
    <row r="26" spans="1:83" s="10" customFormat="1" ht="45" x14ac:dyDescent="0.25">
      <c r="A26" s="6" t="s">
        <v>442</v>
      </c>
      <c r="B26" s="5" t="s">
        <v>230</v>
      </c>
      <c r="C26" s="5" t="s">
        <v>229</v>
      </c>
      <c r="D26" s="8">
        <v>28294</v>
      </c>
      <c r="E26" s="8">
        <f>Tableau_Lancer_la_requête_à_partir_de_Excel_Files102567891113[[#This Row],[Aide Massif]]+Tableau_Lancer_la_requête_à_partir_de_Excel_Files102567891113[[#This Row],[''Autre Public'']]</f>
        <v>18390.599999999999</v>
      </c>
      <c r="F26" s="9">
        <f>Tableau_Lancer_la_requête_à_partir_de_Excel_Files102567891113[[#This Row],[Aide 
publique]]/Tableau_Lancer_la_requête_à_partir_de_Excel_Files102567891113[[#This Row],[''Coût total éligible'']]</f>
        <v>0.64998232840884984</v>
      </c>
      <c r="G26"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18390.599999999999</v>
      </c>
      <c r="H26" s="9">
        <f>Tableau_Lancer_la_requête_à_partir_de_Excel_Files102567891113[[#This Row],[Aide Massif]]/Tableau_Lancer_la_requête_à_partir_de_Excel_Files102567891113[[#This Row],[''Coût total éligible'']]</f>
        <v>0.64998232840884984</v>
      </c>
      <c r="I26" s="8">
        <v>11317.6</v>
      </c>
      <c r="J26" s="8">
        <f>Tableau_Lancer_la_requête_à_partir_de_Excel_Files102567891113[[#This Row],[''FNADT '']]+Tableau_Lancer_la_requête_à_partir_de_Excel_Files102567891113[[#This Row],[''Agriculture'']]</f>
        <v>0</v>
      </c>
      <c r="K26" s="8"/>
      <c r="L26" s="8"/>
      <c r="M26"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7073</v>
      </c>
      <c r="N26" s="8"/>
      <c r="O26" s="8">
        <v>7073</v>
      </c>
      <c r="P26" s="8"/>
      <c r="Q26" s="8"/>
      <c r="R26"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6" s="8"/>
      <c r="T26" s="8"/>
      <c r="U26" s="8"/>
      <c r="V26" s="8"/>
      <c r="W26" s="8"/>
      <c r="X26" s="8"/>
      <c r="Y26" s="8"/>
      <c r="Z26" s="8"/>
      <c r="AA26" s="8"/>
      <c r="AB26" s="8"/>
      <c r="AC26" s="8">
        <v>0</v>
      </c>
      <c r="AD26" s="8"/>
      <c r="AE26" s="8"/>
      <c r="AF26" s="8"/>
      <c r="AG26" s="8"/>
      <c r="AH26" s="8"/>
      <c r="AI26" s="8"/>
      <c r="AJ26" s="8"/>
      <c r="AK26" s="8"/>
      <c r="AL26" s="8"/>
      <c r="AM26" s="8"/>
      <c r="AN26" s="8"/>
      <c r="AO26" s="8">
        <v>0</v>
      </c>
      <c r="AP26" s="10" t="s">
        <v>339</v>
      </c>
      <c r="AQ26" s="69">
        <v>42675</v>
      </c>
      <c r="AR26" s="5" t="s">
        <v>337</v>
      </c>
      <c r="AT26" s="74"/>
    </row>
    <row r="27" spans="1:83" s="10" customFormat="1" ht="30.75" thickBot="1" x14ac:dyDescent="0.3">
      <c r="A27" s="6" t="s">
        <v>443</v>
      </c>
      <c r="B27" s="5" t="s">
        <v>231</v>
      </c>
      <c r="C27" s="5" t="s">
        <v>232</v>
      </c>
      <c r="D27" s="8">
        <v>53341.67</v>
      </c>
      <c r="E27" s="8">
        <f>Tableau_Lancer_la_requête_à_partir_de_Excel_Files102567891113[[#This Row],[Aide Massif]]+Tableau_Lancer_la_requête_à_partir_de_Excel_Files102567891113[[#This Row],[''Autre Public'']]</f>
        <v>34672.088000000003</v>
      </c>
      <c r="F27" s="9">
        <f>Tableau_Lancer_la_requête_à_partir_de_Excel_Files102567891113[[#This Row],[Aide 
publique]]/Tableau_Lancer_la_requête_à_partir_de_Excel_Files102567891113[[#This Row],[''Coût total éligible'']]</f>
        <v>0.6500000468676741</v>
      </c>
      <c r="G27" s="8">
        <f>Tableau_Lancer_la_requête_à_partir_de_Excel_Files102567891113[[#This Row],[''FEDER'']]+Tableau_Lancer_la_requête_à_partir_de_Excel_Files102567891113[[#This Row],[Total Etat]]+Tableau_Lancer_la_requête_à_partir_de_Excel_Files102567891113[[#This Row],[Total Régions]]+Tableau_Lancer_la_requête_à_partir_de_Excel_Files102567891113[[#This Row],[Total Dpts]]</f>
        <v>34672.088000000003</v>
      </c>
      <c r="H27" s="9">
        <f>Tableau_Lancer_la_requête_à_partir_de_Excel_Files102567891113[[#This Row],[Aide Massif]]/Tableau_Lancer_la_requête_à_partir_de_Excel_Files102567891113[[#This Row],[''Coût total éligible'']]</f>
        <v>0.6500000468676741</v>
      </c>
      <c r="I27" s="8">
        <v>21336.668000000001</v>
      </c>
      <c r="J27" s="8">
        <f>Tableau_Lancer_la_requête_à_partir_de_Excel_Files102567891113[[#This Row],[''FNADT '']]+Tableau_Lancer_la_requête_à_partir_de_Excel_Files102567891113[[#This Row],[''Agriculture'']]</f>
        <v>0</v>
      </c>
      <c r="K27" s="8"/>
      <c r="L27" s="8"/>
      <c r="M27" s="8">
        <f>Tableau_Lancer_la_requête_à_partir_de_Excel_Files102567891113[[#This Row],[''ALPC'']]+Tableau_Lancer_la_requête_à_partir_de_Excel_Files102567891113[[#This Row],[''AURA'']]+Tableau_Lancer_la_requête_à_partir_de_Excel_Files102567891113[[#This Row],[''BFC'']]+Tableau_Lancer_la_requête_à_partir_de_Excel_Files102567891113[[#This Row],[''LRMP'']]</f>
        <v>13335.42</v>
      </c>
      <c r="N27" s="8"/>
      <c r="O27" s="8">
        <v>13335.42</v>
      </c>
      <c r="P27" s="8"/>
      <c r="Q27" s="8"/>
      <c r="R27" s="8">
        <f>Tableau_Lancer_la_requête_à_partir_de_Excel_Files102567891113[[#This Row],[''03'']]+Tableau_Lancer_la_requête_à_partir_de_Excel_Files102567891113[[#This Row],[''07'']]+Tableau_Lancer_la_requête_à_partir_de_Excel_Files102567891113[[#This Row],[''11'']]+Tableau_Lancer_la_requête_à_partir_de_Excel_Files102567891113[[#This Row],[''12'']]+Tableau_Lancer_la_requête_à_partir_de_Excel_Files102567891113[[#This Row],[''15'']]+Tableau_Lancer_la_requête_à_partir_de_Excel_Files102567891113[[#This Row],[''19'']]+Tableau_Lancer_la_requête_à_partir_de_Excel_Files102567891113[[#This Row],[''21'']]+Tableau_Lancer_la_requête_à_partir_de_Excel_Files102567891113[[#This Row],[''23'']]+Tableau_Lancer_la_requête_à_partir_de_Excel_Files102567891113[[#This Row],[''30'']]+Tableau_Lancer_la_requête_à_partir_de_Excel_Files102567891113[[#This Row],[''34'']]+Tableau_Lancer_la_requête_à_partir_de_Excel_Files102567891113[[#This Row],[''42'']]+Tableau_Lancer_la_requête_à_partir_de_Excel_Files102567891113[[#This Row],[''43'']]+Tableau_Lancer_la_requête_à_partir_de_Excel_Files102567891113[[#This Row],[''46'']]+Tableau_Lancer_la_requête_à_partir_de_Excel_Files102567891113[[#This Row],[''48'']]+Tableau_Lancer_la_requête_à_partir_de_Excel_Files102567891113[[#This Row],[''58'']]+Tableau_Lancer_la_requête_à_partir_de_Excel_Files102567891113[[#This Row],[''63'']]+Tableau_Lancer_la_requête_à_partir_de_Excel_Files102567891113[[#This Row],[''69'']]+Tableau_Lancer_la_requête_à_partir_de_Excel_Files102567891113[[#This Row],[''71'']]+Tableau_Lancer_la_requête_à_partir_de_Excel_Files102567891113[[#This Row],[''81'']]+Tableau_Lancer_la_requête_à_partir_de_Excel_Files102567891113[[#This Row],[''82'']]+Tableau_Lancer_la_requête_à_partir_de_Excel_Files102567891113[[#This Row],[''87'']]+Tableau_Lancer_la_requête_à_partir_de_Excel_Files102567891113[[#This Row],[''89'']]</f>
        <v>0</v>
      </c>
      <c r="S27" s="8"/>
      <c r="T27" s="8"/>
      <c r="U27" s="8"/>
      <c r="V27" s="8"/>
      <c r="W27" s="8"/>
      <c r="X27" s="8"/>
      <c r="Y27" s="8"/>
      <c r="Z27" s="8"/>
      <c r="AA27" s="8"/>
      <c r="AB27" s="8"/>
      <c r="AC27" s="8">
        <v>0</v>
      </c>
      <c r="AD27" s="8"/>
      <c r="AE27" s="8"/>
      <c r="AF27" s="8"/>
      <c r="AG27" s="8"/>
      <c r="AH27" s="8"/>
      <c r="AI27" s="8"/>
      <c r="AJ27" s="8"/>
      <c r="AK27" s="8"/>
      <c r="AL27" s="8"/>
      <c r="AM27" s="8"/>
      <c r="AN27" s="8"/>
      <c r="AO27" s="8">
        <v>0</v>
      </c>
      <c r="AP27" s="10" t="s">
        <v>339</v>
      </c>
      <c r="AQ27" s="69">
        <v>42675</v>
      </c>
      <c r="AR27" s="5" t="s">
        <v>337</v>
      </c>
      <c r="AT27" s="72"/>
    </row>
    <row r="28" spans="1:83" s="10" customFormat="1" ht="15.75" thickTop="1" x14ac:dyDescent="0.25">
      <c r="A28" s="111" t="s">
        <v>8</v>
      </c>
      <c r="B28" s="112">
        <f>SUBTOTAL(103,Tableau_Lancer_la_requête_à_partir_de_Excel_Files102567891113[Nom_MO])</f>
        <v>13</v>
      </c>
      <c r="C28" s="112"/>
      <c r="D28" s="113">
        <f>SUBTOTAL(109,Tableau_Lancer_la_requête_à_partir_de_Excel_Files102567891113[''Coût total éligible''])</f>
        <v>1075598.7699999998</v>
      </c>
      <c r="E28" s="113">
        <f>SUBTOTAL(109,Tableau_Lancer_la_requête_à_partir_de_Excel_Files102567891113[Aide 
publique])</f>
        <v>651229.2379999999</v>
      </c>
      <c r="F28" s="114"/>
      <c r="G28" s="113">
        <f>SUBTOTAL(109,Tableau_Lancer_la_requête_à_partir_de_Excel_Files102567891113[Aide Massif])</f>
        <v>651229.2379999999</v>
      </c>
      <c r="H28" s="114"/>
      <c r="I28" s="113">
        <f>SUBTOTAL(109,Tableau_Lancer_la_requête_à_partir_de_Excel_Files102567891113[''FEDER''])</f>
        <v>411184.42800000001</v>
      </c>
      <c r="J28" s="113">
        <f>SUBTOTAL(109,Tableau_Lancer_la_requête_à_partir_de_Excel_Files102567891113[Total Etat])</f>
        <v>20994</v>
      </c>
      <c r="K28" s="111"/>
      <c r="L28" s="113">
        <f>SUBTOTAL(109,Tableau_Lancer_la_requête_à_partir_de_Excel_Files102567891113[''Agriculture''])</f>
        <v>0</v>
      </c>
      <c r="M28" s="113">
        <f>SUBTOTAL(109,Tableau_Lancer_la_requête_à_partir_de_Excel_Files102567891113[Total Régions])</f>
        <v>215285.81000000003</v>
      </c>
      <c r="N28" s="113">
        <f>SUBTOTAL(109,Tableau_Lancer_la_requête_à_partir_de_Excel_Files102567891113[''ALPC''])</f>
        <v>0</v>
      </c>
      <c r="O28" s="113">
        <f>SUBTOTAL(109,Tableau_Lancer_la_requête_à_partir_de_Excel_Files102567891113[''AURA''])</f>
        <v>215285.81000000003</v>
      </c>
      <c r="P28" s="113">
        <f>SUBTOTAL(109,Tableau_Lancer_la_requête_à_partir_de_Excel_Files102567891113[''BFC''])</f>
        <v>0</v>
      </c>
      <c r="Q28" s="113">
        <f>SUBTOTAL(109,Tableau_Lancer_la_requête_à_partir_de_Excel_Files102567891113[''LRMP''])</f>
        <v>0</v>
      </c>
      <c r="R28" s="113">
        <f>SUBTOTAL(109,Tableau_Lancer_la_requête_à_partir_de_Excel_Files102567891113[Total Dpts])</f>
        <v>3765</v>
      </c>
      <c r="S28" s="113">
        <f>SUBTOTAL(109,Tableau_Lancer_la_requête_à_partir_de_Excel_Files102567891113[''03''])</f>
        <v>0</v>
      </c>
      <c r="T28" s="113">
        <f>SUBTOTAL(109,Tableau_Lancer_la_requête_à_partir_de_Excel_Files102567891113[''07''])</f>
        <v>0</v>
      </c>
      <c r="U28" s="113">
        <f>SUBTOTAL(109,Tableau_Lancer_la_requête_à_partir_de_Excel_Files102567891113[''11''])</f>
        <v>0</v>
      </c>
      <c r="V28" s="113">
        <f>SUBTOTAL(109,Tableau_Lancer_la_requête_à_partir_de_Excel_Files102567891113[''12''])</f>
        <v>0</v>
      </c>
      <c r="W28" s="113">
        <f>SUBTOTAL(109,Tableau_Lancer_la_requête_à_partir_de_Excel_Files102567891113[''15''])</f>
        <v>0</v>
      </c>
      <c r="X28" s="113">
        <f>SUBTOTAL(109,Tableau_Lancer_la_requête_à_partir_de_Excel_Files102567891113[''19''])</f>
        <v>0</v>
      </c>
      <c r="Y28" s="113">
        <f>SUBTOTAL(109,Tableau_Lancer_la_requête_à_partir_de_Excel_Files102567891113[''21''])</f>
        <v>0</v>
      </c>
      <c r="Z28" s="113">
        <f>SUBTOTAL(109,Tableau_Lancer_la_requête_à_partir_de_Excel_Files102567891113[''23''])</f>
        <v>0</v>
      </c>
      <c r="AA28" s="113">
        <f>SUBTOTAL(109,Tableau_Lancer_la_requête_à_partir_de_Excel_Files102567891113[''30''])</f>
        <v>0</v>
      </c>
      <c r="AB28" s="113">
        <f>SUBTOTAL(109,Tableau_Lancer_la_requête_à_partir_de_Excel_Files102567891113[''34''])</f>
        <v>0</v>
      </c>
      <c r="AC28" s="113">
        <f>SUBTOTAL(109,Tableau_Lancer_la_requête_à_partir_de_Excel_Files102567891113[''42''])</f>
        <v>0</v>
      </c>
      <c r="AD28" s="113">
        <f>SUBTOTAL(109,Tableau_Lancer_la_requête_à_partir_de_Excel_Files102567891113[''43''])</f>
        <v>0</v>
      </c>
      <c r="AE28" s="113">
        <f>SUBTOTAL(109,Tableau_Lancer_la_requête_à_partir_de_Excel_Files102567891113[''46''])</f>
        <v>0</v>
      </c>
      <c r="AF28" s="113">
        <f>SUBTOTAL(109,Tableau_Lancer_la_requête_à_partir_de_Excel_Files102567891113[''48''])</f>
        <v>0</v>
      </c>
      <c r="AG28" s="113">
        <f>SUBTOTAL(109,Tableau_Lancer_la_requête_à_partir_de_Excel_Files102567891113[''58''])</f>
        <v>0</v>
      </c>
      <c r="AH28" s="113">
        <f>SUBTOTAL(109,Tableau_Lancer_la_requête_à_partir_de_Excel_Files102567891113[''63''])</f>
        <v>0</v>
      </c>
      <c r="AI28" s="113">
        <f>SUBTOTAL(109,Tableau_Lancer_la_requête_à_partir_de_Excel_Files102567891113[''69''])</f>
        <v>3765</v>
      </c>
      <c r="AJ28" s="113">
        <f>SUBTOTAL(109,Tableau_Lancer_la_requête_à_partir_de_Excel_Files102567891113[''71''])</f>
        <v>0</v>
      </c>
      <c r="AK28" s="113">
        <f>SUBTOTAL(109,Tableau_Lancer_la_requête_à_partir_de_Excel_Files102567891113[''81''])</f>
        <v>0</v>
      </c>
      <c r="AL28" s="113">
        <f>SUBTOTAL(109,Tableau_Lancer_la_requête_à_partir_de_Excel_Files102567891113[''82''])</f>
        <v>0</v>
      </c>
      <c r="AM28" s="113">
        <f>SUBTOTAL(109,Tableau_Lancer_la_requête_à_partir_de_Excel_Files102567891113[''87''])</f>
        <v>0</v>
      </c>
      <c r="AN28" s="113">
        <f>SUBTOTAL(109,Tableau_Lancer_la_requête_à_partir_de_Excel_Files102567891113[''89''])</f>
        <v>0</v>
      </c>
      <c r="AO28" s="113">
        <f>SUBTOTAL(109,Tableau_Lancer_la_requête_à_partir_de_Excel_Files102567891113[''Autre Public''])</f>
        <v>0</v>
      </c>
      <c r="AP28" s="111"/>
      <c r="AQ28" s="111"/>
      <c r="AR28" s="115"/>
      <c r="AT28" s="75"/>
    </row>
    <row r="29" spans="1:83" s="10" customFormat="1" x14ac:dyDescent="0.25">
      <c r="B29" s="5"/>
      <c r="C29" s="5"/>
      <c r="D29" s="58"/>
      <c r="E29" s="58"/>
      <c r="F29" s="59"/>
      <c r="G29" s="58"/>
      <c r="H29" s="59"/>
      <c r="I29" s="58"/>
      <c r="J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R29" s="4"/>
      <c r="AT29" s="4"/>
    </row>
    <row r="30" spans="1:83" s="10" customFormat="1" x14ac:dyDescent="0.25">
      <c r="B30" s="5"/>
      <c r="C30" s="5"/>
      <c r="D30" s="58"/>
      <c r="E30" s="58"/>
      <c r="F30" s="59"/>
      <c r="G30" s="58"/>
      <c r="H30" s="59"/>
      <c r="I30" s="58"/>
      <c r="J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R30" s="4"/>
      <c r="AT30" s="4"/>
    </row>
    <row r="31" spans="1:83" s="10" customFormat="1" x14ac:dyDescent="0.25">
      <c r="A31" s="1" t="s">
        <v>195</v>
      </c>
      <c r="B31" s="4"/>
      <c r="C31" s="5"/>
      <c r="D31" s="3"/>
      <c r="E31" s="3"/>
      <c r="F31" s="6"/>
      <c r="G31" s="3"/>
      <c r="H31" s="6"/>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4"/>
      <c r="AT31" s="4"/>
    </row>
    <row r="32" spans="1:83" s="10" customFormat="1" ht="45" x14ac:dyDescent="0.25">
      <c r="A32" s="7" t="s">
        <v>7</v>
      </c>
      <c r="B32" s="7" t="s">
        <v>1</v>
      </c>
      <c r="C32" s="7" t="s">
        <v>2</v>
      </c>
      <c r="D32" s="7" t="s">
        <v>52</v>
      </c>
      <c r="E32" s="7" t="s">
        <v>55</v>
      </c>
      <c r="F32" s="7" t="s">
        <v>53</v>
      </c>
      <c r="G32" s="7" t="s">
        <v>50</v>
      </c>
      <c r="H32" s="7" t="s">
        <v>56</v>
      </c>
      <c r="I32" s="7" t="s">
        <v>44</v>
      </c>
      <c r="J32" s="7" t="s">
        <v>66</v>
      </c>
      <c r="K32" s="7" t="s">
        <v>70</v>
      </c>
      <c r="L32" s="7" t="s">
        <v>17</v>
      </c>
      <c r="M32" s="7" t="s">
        <v>67</v>
      </c>
      <c r="N32" s="7" t="s">
        <v>20</v>
      </c>
      <c r="O32" s="7" t="s">
        <v>18</v>
      </c>
      <c r="P32" s="7" t="s">
        <v>19</v>
      </c>
      <c r="Q32" s="7" t="s">
        <v>21</v>
      </c>
      <c r="R32" s="7" t="s">
        <v>68</v>
      </c>
      <c r="S32" s="7" t="s">
        <v>22</v>
      </c>
      <c r="T32" s="7" t="s">
        <v>23</v>
      </c>
      <c r="U32" s="7" t="s">
        <v>24</v>
      </c>
      <c r="V32" s="7" t="s">
        <v>25</v>
      </c>
      <c r="W32" s="7" t="s">
        <v>26</v>
      </c>
      <c r="X32" s="7" t="s">
        <v>27</v>
      </c>
      <c r="Y32" s="7" t="s">
        <v>28</v>
      </c>
      <c r="Z32" s="7" t="s">
        <v>29</v>
      </c>
      <c r="AA32" s="7" t="s">
        <v>30</v>
      </c>
      <c r="AB32" s="7" t="s">
        <v>31</v>
      </c>
      <c r="AC32" s="7" t="s">
        <v>32</v>
      </c>
      <c r="AD32" s="7" t="s">
        <v>33</v>
      </c>
      <c r="AE32" s="7" t="s">
        <v>34</v>
      </c>
      <c r="AF32" s="7" t="s">
        <v>35</v>
      </c>
      <c r="AG32" s="7" t="s">
        <v>36</v>
      </c>
      <c r="AH32" s="7" t="s">
        <v>37</v>
      </c>
      <c r="AI32" s="7" t="s">
        <v>38</v>
      </c>
      <c r="AJ32" s="7" t="s">
        <v>39</v>
      </c>
      <c r="AK32" s="7" t="s">
        <v>40</v>
      </c>
      <c r="AL32" s="7" t="s">
        <v>41</v>
      </c>
      <c r="AM32" s="7" t="s">
        <v>42</v>
      </c>
      <c r="AN32" s="7" t="s">
        <v>43</v>
      </c>
      <c r="AO32" s="7" t="s">
        <v>45</v>
      </c>
      <c r="AP32" s="7" t="s">
        <v>49</v>
      </c>
      <c r="AQ32" s="7" t="s">
        <v>249</v>
      </c>
      <c r="AR32" s="17" t="s">
        <v>57</v>
      </c>
      <c r="AT32" s="73" t="s">
        <v>65</v>
      </c>
    </row>
    <row r="33" spans="1:83" s="10" customFormat="1" ht="30" x14ac:dyDescent="0.25">
      <c r="A33" s="13" t="s">
        <v>444</v>
      </c>
      <c r="B33" s="12" t="s">
        <v>182</v>
      </c>
      <c r="C33" s="12" t="s">
        <v>183</v>
      </c>
      <c r="D33" s="15">
        <v>245370</v>
      </c>
      <c r="E33" s="15">
        <f>Tableau_Lancer_la_requête_à_partir_de_Excel_Files10256789111214[[#This Row],[Aide Massif]]+Tableau_Lancer_la_requête_à_partir_de_Excel_Files10256789111214[[#This Row],[''Autre Public'']]</f>
        <v>63361</v>
      </c>
      <c r="F33" s="16">
        <f>Tableau_Lancer_la_requête_à_partir_de_Excel_Files10256789111214[[#This Row],[Aide 
publique]]/Tableau_Lancer_la_requête_à_partir_de_Excel_Files10256789111214[[#This Row],[''Coût total éligible'']]</f>
        <v>0.25822635203977667</v>
      </c>
      <c r="G33" s="15">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63361</v>
      </c>
      <c r="H33" s="16">
        <f>Tableau_Lancer_la_requête_à_partir_de_Excel_Files10256789111214[[#This Row],[Aide Massif]]/Tableau_Lancer_la_requête_à_partir_de_Excel_Files10256789111214[[#This Row],[''Coût total éligible'']]</f>
        <v>0.25822635203977667</v>
      </c>
      <c r="I33" s="15">
        <v>0</v>
      </c>
      <c r="J33" s="15">
        <f>Tableau_Lancer_la_requête_à_partir_de_Excel_Files10256789111214[[#This Row],[''FNADT '']]+Tableau_Lancer_la_requête_à_partir_de_Excel_Files10256789111214[[#This Row],[''Agriculture'']]</f>
        <v>29611</v>
      </c>
      <c r="K33" s="15">
        <v>29611</v>
      </c>
      <c r="L33" s="15"/>
      <c r="M33" s="15">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33750</v>
      </c>
      <c r="N33" s="15"/>
      <c r="O33" s="15">
        <v>33750</v>
      </c>
      <c r="P33" s="15"/>
      <c r="Q33" s="15"/>
      <c r="R33" s="15">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33" s="15"/>
      <c r="T33" s="15"/>
      <c r="U33" s="15"/>
      <c r="V33" s="15"/>
      <c r="W33" s="15"/>
      <c r="X33" s="15"/>
      <c r="Y33" s="15"/>
      <c r="Z33" s="15"/>
      <c r="AA33" s="15"/>
      <c r="AB33" s="15"/>
      <c r="AC33" s="15"/>
      <c r="AD33" s="15"/>
      <c r="AE33" s="15"/>
      <c r="AF33" s="15"/>
      <c r="AG33" s="15"/>
      <c r="AH33" s="15"/>
      <c r="AI33" s="15"/>
      <c r="AJ33" s="15"/>
      <c r="AK33" s="15"/>
      <c r="AL33" s="15"/>
      <c r="AM33" s="15"/>
      <c r="AN33" s="15"/>
      <c r="AO33" s="15">
        <v>0</v>
      </c>
      <c r="AP33" s="11" t="s">
        <v>402</v>
      </c>
      <c r="AQ33" s="69"/>
      <c r="AR33" s="12" t="s">
        <v>402</v>
      </c>
      <c r="AT33" s="72" t="s">
        <v>480</v>
      </c>
    </row>
    <row r="34" spans="1:83" s="10" customFormat="1" ht="75" x14ac:dyDescent="0.25">
      <c r="A34" s="6" t="s">
        <v>445</v>
      </c>
      <c r="B34" s="5" t="s">
        <v>184</v>
      </c>
      <c r="C34" s="5" t="s">
        <v>185</v>
      </c>
      <c r="D34" s="8">
        <v>50160</v>
      </c>
      <c r="E34" s="8">
        <f>Tableau_Lancer_la_requête_à_partir_de_Excel_Files10256789111214[[#This Row],[Aide Massif]]+Tableau_Lancer_la_requête_à_partir_de_Excel_Files10256789111214[[#This Row],[''Autre Public'']]</f>
        <v>30096</v>
      </c>
      <c r="F34" s="9">
        <f>Tableau_Lancer_la_requête_à_partir_de_Excel_Files10256789111214[[#This Row],[Aide 
publique]]/Tableau_Lancer_la_requête_à_partir_de_Excel_Files10256789111214[[#This Row],[''Coût total éligible'']]</f>
        <v>0.6</v>
      </c>
      <c r="G34"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30096</v>
      </c>
      <c r="H34" s="9">
        <f>Tableau_Lancer_la_requête_à_partir_de_Excel_Files10256789111214[[#This Row],[Aide Massif]]/Tableau_Lancer_la_requête_à_partir_de_Excel_Files10256789111214[[#This Row],[''Coût total éligible'']]</f>
        <v>0.6</v>
      </c>
      <c r="I34" s="8">
        <v>20064</v>
      </c>
      <c r="J34" s="8">
        <f>Tableau_Lancer_la_requête_à_partir_de_Excel_Files10256789111214[[#This Row],[''FNADT '']]+Tableau_Lancer_la_requête_à_partir_de_Excel_Files10256789111214[[#This Row],[''Agriculture'']]</f>
        <v>0</v>
      </c>
      <c r="K34" s="8"/>
      <c r="L34" s="8"/>
      <c r="M34"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5016</v>
      </c>
      <c r="N34" s="8"/>
      <c r="O34" s="8"/>
      <c r="P34" s="8"/>
      <c r="Q34" s="8">
        <v>5016</v>
      </c>
      <c r="R34"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5016</v>
      </c>
      <c r="S34" s="8"/>
      <c r="T34" s="8"/>
      <c r="U34" s="8"/>
      <c r="V34" s="8">
        <v>5016</v>
      </c>
      <c r="W34" s="8"/>
      <c r="X34" s="8"/>
      <c r="Y34" s="8"/>
      <c r="Z34" s="8"/>
      <c r="AA34" s="8"/>
      <c r="AB34" s="8"/>
      <c r="AC34" s="8"/>
      <c r="AD34" s="8"/>
      <c r="AE34" s="8"/>
      <c r="AF34" s="8"/>
      <c r="AG34" s="8"/>
      <c r="AH34" s="8"/>
      <c r="AI34" s="8"/>
      <c r="AJ34" s="8"/>
      <c r="AK34" s="8"/>
      <c r="AL34" s="8"/>
      <c r="AM34" s="8"/>
      <c r="AN34" s="8"/>
      <c r="AO34" s="8">
        <v>0</v>
      </c>
      <c r="AP34" s="10" t="s">
        <v>339</v>
      </c>
      <c r="AQ34" s="69"/>
      <c r="AR34" s="5" t="s">
        <v>402</v>
      </c>
      <c r="AT34" s="74"/>
    </row>
    <row r="35" spans="1:83" s="10" customFormat="1" ht="30" x14ac:dyDescent="0.25">
      <c r="A35" s="6" t="s">
        <v>446</v>
      </c>
      <c r="B35" s="5" t="s">
        <v>186</v>
      </c>
      <c r="C35" s="5" t="s">
        <v>187</v>
      </c>
      <c r="D35" s="8">
        <v>86000</v>
      </c>
      <c r="E35" s="8">
        <f>Tableau_Lancer_la_requête_à_partir_de_Excel_Files10256789111214[[#This Row],[Aide Massif]]+Tableau_Lancer_la_requête_à_partir_de_Excel_Files10256789111214[[#This Row],[''Autre Public'']]</f>
        <v>5357</v>
      </c>
      <c r="F35" s="9">
        <f>Tableau_Lancer_la_requête_à_partir_de_Excel_Files10256789111214[[#This Row],[Aide 
publique]]/Tableau_Lancer_la_requête_à_partir_de_Excel_Files10256789111214[[#This Row],[''Coût total éligible'']]</f>
        <v>6.2290697674418603E-2</v>
      </c>
      <c r="G35"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5357</v>
      </c>
      <c r="H35" s="9">
        <f>Tableau_Lancer_la_requête_à_partir_de_Excel_Files10256789111214[[#This Row],[Aide Massif]]/Tableau_Lancer_la_requête_à_partir_de_Excel_Files10256789111214[[#This Row],[''Coût total éligible'']]</f>
        <v>6.2290697674418603E-2</v>
      </c>
      <c r="I35" s="8">
        <v>0</v>
      </c>
      <c r="J35" s="8">
        <f>Tableau_Lancer_la_requête_à_partir_de_Excel_Files10256789111214[[#This Row],[''FNADT '']]+Tableau_Lancer_la_requête_à_partir_de_Excel_Files10256789111214[[#This Row],[''Agriculture'']]</f>
        <v>0</v>
      </c>
      <c r="K35" s="8"/>
      <c r="L35" s="8"/>
      <c r="M35"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5357</v>
      </c>
      <c r="N35" s="8"/>
      <c r="O35" s="8"/>
      <c r="P35" s="8"/>
      <c r="Q35" s="8">
        <v>5357</v>
      </c>
      <c r="R35"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35" s="8"/>
      <c r="T35" s="8"/>
      <c r="U35" s="8"/>
      <c r="V35" s="8"/>
      <c r="W35" s="8"/>
      <c r="X35" s="8"/>
      <c r="Y35" s="8"/>
      <c r="Z35" s="8"/>
      <c r="AA35" s="8"/>
      <c r="AB35" s="8"/>
      <c r="AC35" s="8"/>
      <c r="AD35" s="8"/>
      <c r="AE35" s="8"/>
      <c r="AF35" s="8"/>
      <c r="AG35" s="8"/>
      <c r="AH35" s="8"/>
      <c r="AI35" s="8"/>
      <c r="AJ35" s="8"/>
      <c r="AK35" s="8"/>
      <c r="AL35" s="8"/>
      <c r="AM35" s="8"/>
      <c r="AN35" s="8"/>
      <c r="AO35" s="8">
        <v>0</v>
      </c>
      <c r="AP35" s="10" t="s">
        <v>402</v>
      </c>
      <c r="AQ35" s="69"/>
      <c r="AR35" s="5" t="s">
        <v>402</v>
      </c>
      <c r="AT35" s="72"/>
    </row>
    <row r="36" spans="1:83" s="10" customFormat="1" ht="45" x14ac:dyDescent="0.25">
      <c r="A36" s="6" t="s">
        <v>447</v>
      </c>
      <c r="B36" s="5" t="s">
        <v>188</v>
      </c>
      <c r="C36" s="5" t="s">
        <v>189</v>
      </c>
      <c r="D36" s="8">
        <v>47098.65</v>
      </c>
      <c r="E36" s="8">
        <f>Tableau_Lancer_la_requête_à_partir_de_Excel_Files10256789111214[[#This Row],[Aide Massif]]+Tableau_Lancer_la_requête_à_partir_de_Excel_Files10256789111214[[#This Row],[''Autre Public'']]</f>
        <v>32969</v>
      </c>
      <c r="F36" s="9">
        <f>Tableau_Lancer_la_requête_à_partir_de_Excel_Files10256789111214[[#This Row],[Aide 
publique]]/Tableau_Lancer_la_requête_à_partir_de_Excel_Files10256789111214[[#This Row],[''Coût total éligible'']]</f>
        <v>0.69999883223829129</v>
      </c>
      <c r="G36"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32969</v>
      </c>
      <c r="H36" s="9">
        <f>Tableau_Lancer_la_requête_à_partir_de_Excel_Files10256789111214[[#This Row],[Aide Massif]]/Tableau_Lancer_la_requête_à_partir_de_Excel_Files10256789111214[[#This Row],[''Coût total éligible'']]</f>
        <v>0.69999883223829129</v>
      </c>
      <c r="I36" s="8">
        <v>17803</v>
      </c>
      <c r="J36" s="8">
        <f>Tableau_Lancer_la_requête_à_partir_de_Excel_Files10256789111214[[#This Row],[''FNADT '']]+Tableau_Lancer_la_requête_à_partir_de_Excel_Files10256789111214[[#This Row],[''Agriculture'']]</f>
        <v>0</v>
      </c>
      <c r="K36" s="8"/>
      <c r="L36" s="8"/>
      <c r="M36"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7583</v>
      </c>
      <c r="N36" s="8"/>
      <c r="O36" s="8"/>
      <c r="P36" s="8"/>
      <c r="Q36" s="8">
        <v>7583</v>
      </c>
      <c r="R36"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7583</v>
      </c>
      <c r="S36" s="8"/>
      <c r="T36" s="8"/>
      <c r="U36" s="8"/>
      <c r="V36" s="8"/>
      <c r="W36" s="8"/>
      <c r="X36" s="8"/>
      <c r="Y36" s="8"/>
      <c r="Z36" s="8"/>
      <c r="AA36" s="8"/>
      <c r="AB36" s="8"/>
      <c r="AC36" s="8"/>
      <c r="AD36" s="8"/>
      <c r="AE36" s="8"/>
      <c r="AF36" s="8">
        <v>7583</v>
      </c>
      <c r="AG36" s="8"/>
      <c r="AH36" s="8"/>
      <c r="AI36" s="8"/>
      <c r="AJ36" s="8"/>
      <c r="AK36" s="8"/>
      <c r="AL36" s="8"/>
      <c r="AM36" s="8"/>
      <c r="AN36" s="8"/>
      <c r="AO36" s="8">
        <v>0</v>
      </c>
      <c r="AP36" s="10" t="s">
        <v>339</v>
      </c>
      <c r="AQ36" s="69"/>
      <c r="AR36" s="5" t="s">
        <v>402</v>
      </c>
      <c r="AT36" s="74"/>
    </row>
    <row r="37" spans="1:83" s="10" customFormat="1" ht="45" x14ac:dyDescent="0.25">
      <c r="A37" s="6" t="s">
        <v>448</v>
      </c>
      <c r="B37" s="5" t="s">
        <v>190</v>
      </c>
      <c r="C37" s="5" t="s">
        <v>191</v>
      </c>
      <c r="D37" s="8">
        <v>115660.06</v>
      </c>
      <c r="E37" s="8">
        <f>Tableau_Lancer_la_requête_à_partir_de_Excel_Files10256789111214[[#This Row],[Aide Massif]]+Tableau_Lancer_la_requête_à_partir_de_Excel_Files10256789111214[[#This Row],[''Autre Public'']]</f>
        <v>23132</v>
      </c>
      <c r="F37" s="9">
        <f>Tableau_Lancer_la_requête_à_partir_de_Excel_Files10256789111214[[#This Row],[Aide 
publique]]/Tableau_Lancer_la_requête_à_partir_de_Excel_Files10256789111214[[#This Row],[''Coût total éligible'']]</f>
        <v>0.19999989624767617</v>
      </c>
      <c r="G37"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23132</v>
      </c>
      <c r="H37" s="9">
        <f>Tableau_Lancer_la_requête_à_partir_de_Excel_Files10256789111214[[#This Row],[Aide Massif]]/Tableau_Lancer_la_requête_à_partir_de_Excel_Files10256789111214[[#This Row],[''Coût total éligible'']]</f>
        <v>0.19999989624767617</v>
      </c>
      <c r="I37" s="8">
        <v>0</v>
      </c>
      <c r="J37" s="8">
        <f>Tableau_Lancer_la_requête_à_partir_de_Excel_Files10256789111214[[#This Row],[''FNADT '']]+Tableau_Lancer_la_requête_à_partir_de_Excel_Files10256789111214[[#This Row],[''Agriculture'']]</f>
        <v>0</v>
      </c>
      <c r="K37" s="8"/>
      <c r="L37" s="8"/>
      <c r="M37"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11566</v>
      </c>
      <c r="N37" s="8"/>
      <c r="O37" s="8"/>
      <c r="P37" s="8"/>
      <c r="Q37" s="8">
        <v>11566</v>
      </c>
      <c r="R37"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11566</v>
      </c>
      <c r="S37" s="8"/>
      <c r="T37" s="8"/>
      <c r="U37" s="8"/>
      <c r="V37" s="8">
        <v>11566</v>
      </c>
      <c r="W37" s="8"/>
      <c r="X37" s="8"/>
      <c r="Y37" s="8"/>
      <c r="Z37" s="8"/>
      <c r="AA37" s="8"/>
      <c r="AB37" s="8"/>
      <c r="AC37" s="8"/>
      <c r="AD37" s="8"/>
      <c r="AE37" s="8"/>
      <c r="AF37" s="8"/>
      <c r="AG37" s="8"/>
      <c r="AH37" s="8"/>
      <c r="AI37" s="8"/>
      <c r="AJ37" s="8"/>
      <c r="AK37" s="8"/>
      <c r="AL37" s="8"/>
      <c r="AM37" s="8"/>
      <c r="AN37" s="8"/>
      <c r="AO37" s="8">
        <v>0</v>
      </c>
      <c r="AP37" s="10" t="s">
        <v>402</v>
      </c>
      <c r="AQ37" s="69"/>
      <c r="AR37" s="5" t="s">
        <v>402</v>
      </c>
      <c r="AT37" s="72"/>
    </row>
    <row r="38" spans="1:83" s="10" customFormat="1" ht="60" x14ac:dyDescent="0.25">
      <c r="A38" s="6" t="s">
        <v>449</v>
      </c>
      <c r="B38" s="5" t="s">
        <v>192</v>
      </c>
      <c r="C38" s="5" t="s">
        <v>193</v>
      </c>
      <c r="D38" s="8">
        <v>77500</v>
      </c>
      <c r="E38" s="8">
        <f>Tableau_Lancer_la_requête_à_partir_de_Excel_Files10256789111214[[#This Row],[Aide Massif]]+Tableau_Lancer_la_requête_à_partir_de_Excel_Files10256789111214[[#This Row],[''Autre Public'']]</f>
        <v>41000</v>
      </c>
      <c r="F38" s="9">
        <f>Tableau_Lancer_la_requête_à_partir_de_Excel_Files10256789111214[[#This Row],[Aide 
publique]]/Tableau_Lancer_la_requête_à_partir_de_Excel_Files10256789111214[[#This Row],[''Coût total éligible'']]</f>
        <v>0.52903225806451615</v>
      </c>
      <c r="G38"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41000</v>
      </c>
      <c r="H38" s="9">
        <f>Tableau_Lancer_la_requête_à_partir_de_Excel_Files10256789111214[[#This Row],[Aide Massif]]/Tableau_Lancer_la_requête_à_partir_de_Excel_Files10256789111214[[#This Row],[''Coût total éligible'']]</f>
        <v>0.52903225806451615</v>
      </c>
      <c r="I38" s="8">
        <v>31000</v>
      </c>
      <c r="J38" s="8">
        <f>Tableau_Lancer_la_requête_à_partir_de_Excel_Files10256789111214[[#This Row],[''FNADT '']]+Tableau_Lancer_la_requête_à_partir_de_Excel_Files10256789111214[[#This Row],[''Agriculture'']]</f>
        <v>0</v>
      </c>
      <c r="K38" s="8"/>
      <c r="L38" s="8"/>
      <c r="M38"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10000</v>
      </c>
      <c r="N38" s="8"/>
      <c r="O38" s="8"/>
      <c r="P38" s="8"/>
      <c r="Q38" s="8">
        <v>10000</v>
      </c>
      <c r="R38"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38" s="8"/>
      <c r="T38" s="8"/>
      <c r="U38" s="8"/>
      <c r="V38" s="8"/>
      <c r="W38" s="8"/>
      <c r="X38" s="8"/>
      <c r="Y38" s="8"/>
      <c r="Z38" s="8"/>
      <c r="AA38" s="8"/>
      <c r="AB38" s="8"/>
      <c r="AC38" s="8"/>
      <c r="AD38" s="8"/>
      <c r="AE38" s="8"/>
      <c r="AF38" s="8"/>
      <c r="AG38" s="8"/>
      <c r="AH38" s="8"/>
      <c r="AI38" s="8"/>
      <c r="AJ38" s="8"/>
      <c r="AK38" s="8"/>
      <c r="AL38" s="8"/>
      <c r="AM38" s="8"/>
      <c r="AN38" s="8"/>
      <c r="AO38" s="8">
        <v>0</v>
      </c>
      <c r="AP38" s="10" t="s">
        <v>339</v>
      </c>
      <c r="AQ38" s="69"/>
      <c r="AR38" s="5" t="s">
        <v>402</v>
      </c>
      <c r="AT38" s="74"/>
    </row>
    <row r="39" spans="1:83" s="10" customFormat="1" ht="30" x14ac:dyDescent="0.25">
      <c r="A39" s="6" t="s">
        <v>450</v>
      </c>
      <c r="B39" s="5" t="s">
        <v>194</v>
      </c>
      <c r="C39" s="5" t="s">
        <v>195</v>
      </c>
      <c r="D39" s="8">
        <v>76329.56</v>
      </c>
      <c r="E39" s="8">
        <f>Tableau_Lancer_la_requête_à_partir_de_Excel_Files10256789111214[[#This Row],[Aide Massif]]+Tableau_Lancer_la_requête_à_partir_de_Excel_Files10256789111214[[#This Row],[''Autre Public'']]</f>
        <v>0</v>
      </c>
      <c r="F39" s="9">
        <f>Tableau_Lancer_la_requête_à_partir_de_Excel_Files10256789111214[[#This Row],[Aide 
publique]]/Tableau_Lancer_la_requête_à_partir_de_Excel_Files10256789111214[[#This Row],[''Coût total éligible'']]</f>
        <v>0</v>
      </c>
      <c r="G39"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0</v>
      </c>
      <c r="H39" s="9">
        <f>Tableau_Lancer_la_requête_à_partir_de_Excel_Files10256789111214[[#This Row],[Aide Massif]]/Tableau_Lancer_la_requête_à_partir_de_Excel_Files10256789111214[[#This Row],[''Coût total éligible'']]</f>
        <v>0</v>
      </c>
      <c r="I39" s="8">
        <v>0</v>
      </c>
      <c r="J39" s="8">
        <f>Tableau_Lancer_la_requête_à_partir_de_Excel_Files10256789111214[[#This Row],[''FNADT '']]+Tableau_Lancer_la_requête_à_partir_de_Excel_Files10256789111214[[#This Row],[''Agriculture'']]</f>
        <v>0</v>
      </c>
      <c r="K39" s="8"/>
      <c r="L39" s="8"/>
      <c r="M39"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0</v>
      </c>
      <c r="N39" s="8"/>
      <c r="O39" s="8"/>
      <c r="P39" s="8"/>
      <c r="Q39" s="8"/>
      <c r="R39"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39" s="8"/>
      <c r="T39" s="8"/>
      <c r="U39" s="8"/>
      <c r="V39" s="8"/>
      <c r="W39" s="8"/>
      <c r="X39" s="8"/>
      <c r="Y39" s="8"/>
      <c r="Z39" s="8"/>
      <c r="AA39" s="8"/>
      <c r="AB39" s="8"/>
      <c r="AC39" s="8"/>
      <c r="AD39" s="8"/>
      <c r="AE39" s="8"/>
      <c r="AF39" s="8"/>
      <c r="AG39" s="8"/>
      <c r="AH39" s="8"/>
      <c r="AI39" s="8"/>
      <c r="AJ39" s="8"/>
      <c r="AK39" s="8"/>
      <c r="AL39" s="8"/>
      <c r="AM39" s="8"/>
      <c r="AN39" s="8"/>
      <c r="AO39" s="8">
        <v>0</v>
      </c>
      <c r="AP39" s="10" t="s">
        <v>396</v>
      </c>
      <c r="AQ39" s="69"/>
      <c r="AR39" s="5" t="s">
        <v>402</v>
      </c>
      <c r="AT39" s="72"/>
    </row>
    <row r="40" spans="1:83" s="10" customFormat="1" ht="30" x14ac:dyDescent="0.25">
      <c r="A40" s="6" t="s">
        <v>451</v>
      </c>
      <c r="B40" s="5" t="s">
        <v>196</v>
      </c>
      <c r="C40" s="5" t="s">
        <v>197</v>
      </c>
      <c r="D40" s="8">
        <v>166000</v>
      </c>
      <c r="E40" s="8">
        <f>Tableau_Lancer_la_requête_à_partir_de_Excel_Files10256789111214[[#This Row],[Aide Massif]]+Tableau_Lancer_la_requête_à_partir_de_Excel_Files10256789111214[[#This Row],[''Autre Public'']]</f>
        <v>41500</v>
      </c>
      <c r="F40" s="9">
        <f>Tableau_Lancer_la_requête_à_partir_de_Excel_Files10256789111214[[#This Row],[Aide 
publique]]/Tableau_Lancer_la_requête_à_partir_de_Excel_Files10256789111214[[#This Row],[''Coût total éligible'']]</f>
        <v>0.25</v>
      </c>
      <c r="G40"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41500</v>
      </c>
      <c r="H40" s="9">
        <f>Tableau_Lancer_la_requête_à_partir_de_Excel_Files10256789111214[[#This Row],[Aide Massif]]/Tableau_Lancer_la_requête_à_partir_de_Excel_Files10256789111214[[#This Row],[''Coût total éligible'']]</f>
        <v>0.25</v>
      </c>
      <c r="I40" s="8">
        <v>0</v>
      </c>
      <c r="J40" s="8">
        <f>Tableau_Lancer_la_requête_à_partir_de_Excel_Files10256789111214[[#This Row],[''FNADT '']]+Tableau_Lancer_la_requête_à_partir_de_Excel_Files10256789111214[[#This Row],[''Agriculture'']]</f>
        <v>0</v>
      </c>
      <c r="K40" s="8"/>
      <c r="L40" s="8"/>
      <c r="M40"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41500</v>
      </c>
      <c r="N40" s="8"/>
      <c r="O40" s="8">
        <v>41500</v>
      </c>
      <c r="P40" s="8"/>
      <c r="Q40" s="8"/>
      <c r="R40"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40" s="8"/>
      <c r="T40" s="8"/>
      <c r="U40" s="8"/>
      <c r="V40" s="8"/>
      <c r="W40" s="8"/>
      <c r="X40" s="8"/>
      <c r="Y40" s="8"/>
      <c r="Z40" s="8"/>
      <c r="AA40" s="8"/>
      <c r="AB40" s="8"/>
      <c r="AC40" s="8"/>
      <c r="AD40" s="8"/>
      <c r="AE40" s="8"/>
      <c r="AF40" s="8"/>
      <c r="AG40" s="8"/>
      <c r="AH40" s="8"/>
      <c r="AI40" s="8"/>
      <c r="AJ40" s="8"/>
      <c r="AK40" s="8"/>
      <c r="AL40" s="8"/>
      <c r="AM40" s="8"/>
      <c r="AN40" s="8"/>
      <c r="AO40" s="8">
        <v>0</v>
      </c>
      <c r="AP40" s="10" t="s">
        <v>402</v>
      </c>
      <c r="AQ40" s="69"/>
      <c r="AR40" s="5" t="s">
        <v>402</v>
      </c>
      <c r="AS40" s="3"/>
      <c r="AT40" s="74"/>
    </row>
    <row r="41" spans="1:83" ht="45" x14ac:dyDescent="0.25">
      <c r="A41" s="6" t="s">
        <v>452</v>
      </c>
      <c r="B41" s="5" t="s">
        <v>198</v>
      </c>
      <c r="C41" s="5" t="s">
        <v>199</v>
      </c>
      <c r="D41" s="8">
        <v>213321</v>
      </c>
      <c r="E41" s="8">
        <f>Tableau_Lancer_la_requête_à_partir_de_Excel_Files10256789111214[[#This Row],[Aide Massif]]+Tableau_Lancer_la_requête_à_partir_de_Excel_Files10256789111214[[#This Row],[''Autre Public'']]</f>
        <v>42663.5</v>
      </c>
      <c r="F41" s="9">
        <f>Tableau_Lancer_la_requête_à_partir_de_Excel_Files10256789111214[[#This Row],[Aide 
publique]]/Tableau_Lancer_la_requête_à_partir_de_Excel_Files10256789111214[[#This Row],[''Coût total éligible'']]</f>
        <v>0.19999671856029178</v>
      </c>
      <c r="G41"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42663.5</v>
      </c>
      <c r="H41" s="9">
        <f>Tableau_Lancer_la_requête_à_partir_de_Excel_Files10256789111214[[#This Row],[Aide Massif]]/Tableau_Lancer_la_requête_à_partir_de_Excel_Files10256789111214[[#This Row],[''Coût total éligible'']]</f>
        <v>0.19999671856029178</v>
      </c>
      <c r="I41" s="8">
        <v>0</v>
      </c>
      <c r="J41" s="8">
        <f>Tableau_Lancer_la_requête_à_partir_de_Excel_Files10256789111214[[#This Row],[''FNADT '']]+Tableau_Lancer_la_requête_à_partir_de_Excel_Files10256789111214[[#This Row],[''Agriculture'']]</f>
        <v>0</v>
      </c>
      <c r="K41" s="8"/>
      <c r="L41" s="8"/>
      <c r="M41"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21331.5</v>
      </c>
      <c r="N41" s="8"/>
      <c r="O41" s="8"/>
      <c r="P41" s="8"/>
      <c r="Q41" s="8">
        <v>21331.5</v>
      </c>
      <c r="R41"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21332</v>
      </c>
      <c r="S41" s="8"/>
      <c r="T41" s="8"/>
      <c r="U41" s="8"/>
      <c r="V41" s="8">
        <v>21332</v>
      </c>
      <c r="W41" s="8"/>
      <c r="X41" s="8"/>
      <c r="Y41" s="8"/>
      <c r="Z41" s="8"/>
      <c r="AA41" s="8"/>
      <c r="AB41" s="8"/>
      <c r="AC41" s="8"/>
      <c r="AD41" s="8"/>
      <c r="AE41" s="8"/>
      <c r="AF41" s="8"/>
      <c r="AG41" s="8"/>
      <c r="AH41" s="8"/>
      <c r="AI41" s="8"/>
      <c r="AJ41" s="8"/>
      <c r="AK41" s="8"/>
      <c r="AL41" s="8"/>
      <c r="AM41" s="8"/>
      <c r="AN41" s="8"/>
      <c r="AO41" s="8">
        <v>0</v>
      </c>
      <c r="AP41" s="10" t="s">
        <v>402</v>
      </c>
      <c r="AQ41" s="69"/>
      <c r="AR41" s="5" t="s">
        <v>402</v>
      </c>
      <c r="AT41" s="72"/>
      <c r="CD41" s="4"/>
      <c r="CE41" s="3"/>
    </row>
    <row r="42" spans="1:83" ht="30" x14ac:dyDescent="0.25">
      <c r="A42" s="6" t="s">
        <v>453</v>
      </c>
      <c r="B42" s="5" t="s">
        <v>200</v>
      </c>
      <c r="C42" s="5" t="s">
        <v>201</v>
      </c>
      <c r="D42" s="8">
        <v>54513</v>
      </c>
      <c r="E42" s="8">
        <f>Tableau_Lancer_la_requête_à_partir_de_Excel_Files10256789111214[[#This Row],[Aide Massif]]+Tableau_Lancer_la_requête_à_partir_de_Excel_Files10256789111214[[#This Row],[''Autre Public'']]</f>
        <v>7980</v>
      </c>
      <c r="F42" s="9">
        <f>Tableau_Lancer_la_requête_à_partir_de_Excel_Files10256789111214[[#This Row],[Aide 
publique]]/Tableau_Lancer_la_requête_à_partir_de_Excel_Files10256789111214[[#This Row],[''Coût total éligible'']]</f>
        <v>0.14638710032469318</v>
      </c>
      <c r="G42"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7980</v>
      </c>
      <c r="H42" s="9">
        <f>Tableau_Lancer_la_requête_à_partir_de_Excel_Files10256789111214[[#This Row],[Aide Massif]]/Tableau_Lancer_la_requête_à_partir_de_Excel_Files10256789111214[[#This Row],[''Coût total éligible'']]</f>
        <v>0.14638710032469318</v>
      </c>
      <c r="I42" s="8">
        <v>0</v>
      </c>
      <c r="J42" s="8">
        <f>Tableau_Lancer_la_requête_à_partir_de_Excel_Files10256789111214[[#This Row],[''FNADT '']]+Tableau_Lancer_la_requête_à_partir_de_Excel_Files10256789111214[[#This Row],[''Agriculture'']]</f>
        <v>0</v>
      </c>
      <c r="K42" s="8"/>
      <c r="L42" s="8"/>
      <c r="M42"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7980</v>
      </c>
      <c r="N42" s="8"/>
      <c r="O42" s="8"/>
      <c r="P42" s="8"/>
      <c r="Q42" s="8">
        <v>7980</v>
      </c>
      <c r="R42"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42" s="8"/>
      <c r="T42" s="8"/>
      <c r="U42" s="8"/>
      <c r="V42" s="8"/>
      <c r="W42" s="8"/>
      <c r="X42" s="8"/>
      <c r="Y42" s="8"/>
      <c r="Z42" s="8"/>
      <c r="AA42" s="8"/>
      <c r="AB42" s="8"/>
      <c r="AC42" s="8"/>
      <c r="AD42" s="8"/>
      <c r="AE42" s="8"/>
      <c r="AF42" s="8"/>
      <c r="AG42" s="8"/>
      <c r="AH42" s="8"/>
      <c r="AI42" s="8"/>
      <c r="AJ42" s="8"/>
      <c r="AK42" s="8"/>
      <c r="AL42" s="8"/>
      <c r="AM42" s="8"/>
      <c r="AN42" s="8"/>
      <c r="AO42" s="8">
        <v>0</v>
      </c>
      <c r="AP42" s="10" t="s">
        <v>402</v>
      </c>
      <c r="AQ42" s="69"/>
      <c r="AR42" s="5" t="s">
        <v>402</v>
      </c>
      <c r="AT42" s="74"/>
    </row>
    <row r="43" spans="1:83" ht="30" x14ac:dyDescent="0.25">
      <c r="A43" s="6" t="s">
        <v>454</v>
      </c>
      <c r="B43" s="5" t="s">
        <v>202</v>
      </c>
      <c r="C43" s="5" t="s">
        <v>203</v>
      </c>
      <c r="D43" s="8">
        <v>33097</v>
      </c>
      <c r="E43" s="8">
        <f>Tableau_Lancer_la_requête_à_partir_de_Excel_Files10256789111214[[#This Row],[Aide Massif]]+Tableau_Lancer_la_requête_à_partir_de_Excel_Files10256789111214[[#This Row],[''Autre Public'']]</f>
        <v>23167.55</v>
      </c>
      <c r="F43" s="9">
        <f>Tableau_Lancer_la_requête_à_partir_de_Excel_Files10256789111214[[#This Row],[Aide 
publique]]/Tableau_Lancer_la_requête_à_partir_de_Excel_Files10256789111214[[#This Row],[''Coût total éligible'']]</f>
        <v>0.69998942502341599</v>
      </c>
      <c r="G43"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23167.55</v>
      </c>
      <c r="H43" s="9">
        <f>Tableau_Lancer_la_requête_à_partir_de_Excel_Files10256789111214[[#This Row],[Aide Massif]]/Tableau_Lancer_la_requête_à_partir_de_Excel_Files10256789111214[[#This Row],[''Coût total éligible'']]</f>
        <v>0.69998942502341599</v>
      </c>
      <c r="I43" s="8">
        <v>10456</v>
      </c>
      <c r="J43" s="8">
        <f>Tableau_Lancer_la_requête_à_partir_de_Excel_Files10256789111214[[#This Row],[''FNADT '']]+Tableau_Lancer_la_requête_à_partir_de_Excel_Files10256789111214[[#This Row],[''Agriculture'']]</f>
        <v>0</v>
      </c>
      <c r="K43" s="8"/>
      <c r="L43" s="8"/>
      <c r="M43"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4964.55</v>
      </c>
      <c r="N43" s="8"/>
      <c r="O43" s="8"/>
      <c r="P43" s="8"/>
      <c r="Q43" s="8">
        <v>4964.55</v>
      </c>
      <c r="R43"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7747</v>
      </c>
      <c r="S43" s="8"/>
      <c r="T43" s="8"/>
      <c r="U43" s="8"/>
      <c r="V43" s="8"/>
      <c r="W43" s="8"/>
      <c r="X43" s="8"/>
      <c r="Y43" s="8"/>
      <c r="Z43" s="8"/>
      <c r="AA43" s="8"/>
      <c r="AB43" s="8"/>
      <c r="AC43" s="8"/>
      <c r="AD43" s="8"/>
      <c r="AE43" s="8"/>
      <c r="AF43" s="8">
        <v>7747</v>
      </c>
      <c r="AG43" s="8"/>
      <c r="AH43" s="8"/>
      <c r="AI43" s="8"/>
      <c r="AJ43" s="8"/>
      <c r="AK43" s="8"/>
      <c r="AL43" s="8"/>
      <c r="AM43" s="8"/>
      <c r="AN43" s="8"/>
      <c r="AO43" s="8">
        <v>0</v>
      </c>
      <c r="AP43" s="10" t="s">
        <v>339</v>
      </c>
      <c r="AQ43" s="69"/>
      <c r="AR43" s="5" t="s">
        <v>402</v>
      </c>
      <c r="AT43" s="72"/>
    </row>
    <row r="44" spans="1:83" ht="30" x14ac:dyDescent="0.25">
      <c r="A44" s="6" t="s">
        <v>455</v>
      </c>
      <c r="B44" s="5" t="s">
        <v>11</v>
      </c>
      <c r="C44" s="5" t="s">
        <v>204</v>
      </c>
      <c r="D44" s="8">
        <v>105000</v>
      </c>
      <c r="E44" s="8">
        <f>Tableau_Lancer_la_requête_à_partir_de_Excel_Files10256789111214[[#This Row],[Aide Massif]]+Tableau_Lancer_la_requête_à_partir_de_Excel_Files10256789111214[[#This Row],[''Autre Public'']]</f>
        <v>63000</v>
      </c>
      <c r="F44" s="9">
        <f>Tableau_Lancer_la_requête_à_partir_de_Excel_Files10256789111214[[#This Row],[Aide 
publique]]/Tableau_Lancer_la_requête_à_partir_de_Excel_Files10256789111214[[#This Row],[''Coût total éligible'']]</f>
        <v>0.6</v>
      </c>
      <c r="G44"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63000</v>
      </c>
      <c r="H44" s="9">
        <f>Tableau_Lancer_la_requête_à_partir_de_Excel_Files10256789111214[[#This Row],[Aide Massif]]/Tableau_Lancer_la_requête_à_partir_de_Excel_Files10256789111214[[#This Row],[''Coût total éligible'']]</f>
        <v>0.6</v>
      </c>
      <c r="I44" s="8">
        <v>42000</v>
      </c>
      <c r="J44" s="8">
        <f>Tableau_Lancer_la_requête_à_partir_de_Excel_Files10256789111214[[#This Row],[''FNADT '']]+Tableau_Lancer_la_requête_à_partir_de_Excel_Files10256789111214[[#This Row],[''Agriculture'']]</f>
        <v>0</v>
      </c>
      <c r="K44" s="8"/>
      <c r="L44" s="8"/>
      <c r="M44"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21000</v>
      </c>
      <c r="N44" s="8"/>
      <c r="O44" s="8"/>
      <c r="P44" s="8"/>
      <c r="Q44" s="8">
        <v>21000</v>
      </c>
      <c r="R44"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44" s="8"/>
      <c r="T44" s="8"/>
      <c r="U44" s="8"/>
      <c r="V44" s="8"/>
      <c r="W44" s="8"/>
      <c r="X44" s="8"/>
      <c r="Y44" s="8"/>
      <c r="Z44" s="8"/>
      <c r="AA44" s="8"/>
      <c r="AB44" s="8"/>
      <c r="AC44" s="8"/>
      <c r="AD44" s="8"/>
      <c r="AE44" s="8"/>
      <c r="AF44" s="8"/>
      <c r="AG44" s="8"/>
      <c r="AH44" s="8"/>
      <c r="AI44" s="8"/>
      <c r="AJ44" s="8"/>
      <c r="AK44" s="8"/>
      <c r="AL44" s="8"/>
      <c r="AM44" s="8"/>
      <c r="AN44" s="8"/>
      <c r="AO44" s="8">
        <v>0</v>
      </c>
      <c r="AP44" s="10" t="s">
        <v>339</v>
      </c>
      <c r="AQ44" s="69"/>
      <c r="AR44" s="5" t="s">
        <v>402</v>
      </c>
      <c r="AT44" s="74"/>
    </row>
    <row r="45" spans="1:83" ht="30" x14ac:dyDescent="0.25">
      <c r="A45" s="6" t="s">
        <v>456</v>
      </c>
      <c r="B45" s="5" t="s">
        <v>205</v>
      </c>
      <c r="C45" s="5" t="s">
        <v>201</v>
      </c>
      <c r="D45" s="8">
        <v>91565</v>
      </c>
      <c r="E45" s="8">
        <f>Tableau_Lancer_la_requête_à_partir_de_Excel_Files10256789111214[[#This Row],[Aide Massif]]+Tableau_Lancer_la_requête_à_partir_de_Excel_Files10256789111214[[#This Row],[''Autre Public'']]</f>
        <v>18313</v>
      </c>
      <c r="F45" s="9">
        <f>Tableau_Lancer_la_requête_à_partir_de_Excel_Files10256789111214[[#This Row],[Aide 
publique]]/Tableau_Lancer_la_requête_à_partir_de_Excel_Files10256789111214[[#This Row],[''Coût total éligible'']]</f>
        <v>0.2</v>
      </c>
      <c r="G45"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18313</v>
      </c>
      <c r="H45" s="9">
        <f>Tableau_Lancer_la_requête_à_partir_de_Excel_Files10256789111214[[#This Row],[Aide Massif]]/Tableau_Lancer_la_requête_à_partir_de_Excel_Files10256789111214[[#This Row],[''Coût total éligible'']]</f>
        <v>0.2</v>
      </c>
      <c r="I45" s="8">
        <v>0</v>
      </c>
      <c r="J45" s="8">
        <f>Tableau_Lancer_la_requête_à_partir_de_Excel_Files10256789111214[[#This Row],[''FNADT '']]+Tableau_Lancer_la_requête_à_partir_de_Excel_Files10256789111214[[#This Row],[''Agriculture'']]</f>
        <v>0</v>
      </c>
      <c r="K45" s="8"/>
      <c r="L45" s="8"/>
      <c r="M45"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18313</v>
      </c>
      <c r="N45" s="8"/>
      <c r="O45" s="8"/>
      <c r="P45" s="8"/>
      <c r="Q45" s="8">
        <v>18313</v>
      </c>
      <c r="R45"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45" s="8"/>
      <c r="T45" s="8"/>
      <c r="U45" s="8"/>
      <c r="V45" s="8"/>
      <c r="W45" s="8"/>
      <c r="X45" s="8"/>
      <c r="Y45" s="8"/>
      <c r="Z45" s="8"/>
      <c r="AA45" s="8"/>
      <c r="AB45" s="8"/>
      <c r="AC45" s="8"/>
      <c r="AD45" s="8"/>
      <c r="AE45" s="8"/>
      <c r="AF45" s="8"/>
      <c r="AG45" s="8"/>
      <c r="AH45" s="8"/>
      <c r="AI45" s="8"/>
      <c r="AJ45" s="8"/>
      <c r="AK45" s="8"/>
      <c r="AL45" s="8"/>
      <c r="AM45" s="8"/>
      <c r="AN45" s="8"/>
      <c r="AO45" s="8">
        <v>0</v>
      </c>
      <c r="AP45" s="10" t="s">
        <v>402</v>
      </c>
      <c r="AQ45" s="69"/>
      <c r="AR45" s="5" t="s">
        <v>402</v>
      </c>
      <c r="AT45" s="72"/>
    </row>
    <row r="46" spans="1:83" ht="45" x14ac:dyDescent="0.25">
      <c r="A46" s="6" t="s">
        <v>457</v>
      </c>
      <c r="B46" s="5" t="s">
        <v>94</v>
      </c>
      <c r="C46" s="5" t="s">
        <v>206</v>
      </c>
      <c r="D46" s="8">
        <v>24173</v>
      </c>
      <c r="E46" s="8">
        <f>Tableau_Lancer_la_requête_à_partir_de_Excel_Files10256789111214[[#This Row],[Aide Massif]]+Tableau_Lancer_la_requête_à_partir_de_Excel_Files10256789111214[[#This Row],[''Autre Public'']]</f>
        <v>2417.3000000000002</v>
      </c>
      <c r="F46" s="9">
        <f>Tableau_Lancer_la_requête_à_partir_de_Excel_Files10256789111214[[#This Row],[Aide 
publique]]/Tableau_Lancer_la_requête_à_partir_de_Excel_Files10256789111214[[#This Row],[''Coût total éligible'']]</f>
        <v>0.1</v>
      </c>
      <c r="G46"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2417.3000000000002</v>
      </c>
      <c r="H46" s="9">
        <f>Tableau_Lancer_la_requête_à_partir_de_Excel_Files10256789111214[[#This Row],[Aide Massif]]/Tableau_Lancer_la_requête_à_partir_de_Excel_Files10256789111214[[#This Row],[''Coût total éligible'']]</f>
        <v>0.1</v>
      </c>
      <c r="I46" s="8">
        <v>0</v>
      </c>
      <c r="J46" s="8">
        <f>Tableau_Lancer_la_requête_à_partir_de_Excel_Files10256789111214[[#This Row],[''FNADT '']]+Tableau_Lancer_la_requête_à_partir_de_Excel_Files10256789111214[[#This Row],[''Agriculture'']]</f>
        <v>0</v>
      </c>
      <c r="K46" s="8">
        <v>0</v>
      </c>
      <c r="L46" s="8"/>
      <c r="M46"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2417.3000000000002</v>
      </c>
      <c r="N46" s="8"/>
      <c r="O46" s="8"/>
      <c r="P46" s="8"/>
      <c r="Q46" s="8">
        <v>2417.3000000000002</v>
      </c>
      <c r="R46"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0</v>
      </c>
      <c r="S46" s="8"/>
      <c r="T46" s="8"/>
      <c r="U46" s="8"/>
      <c r="V46" s="8"/>
      <c r="W46" s="8"/>
      <c r="X46" s="8"/>
      <c r="Y46" s="8"/>
      <c r="Z46" s="8"/>
      <c r="AA46" s="8"/>
      <c r="AB46" s="8"/>
      <c r="AC46" s="8"/>
      <c r="AD46" s="8"/>
      <c r="AE46" s="8"/>
      <c r="AF46" s="8"/>
      <c r="AG46" s="8"/>
      <c r="AH46" s="8"/>
      <c r="AI46" s="8"/>
      <c r="AJ46" s="8"/>
      <c r="AK46" s="8"/>
      <c r="AL46" s="8"/>
      <c r="AM46" s="8"/>
      <c r="AN46" s="8"/>
      <c r="AO46" s="8">
        <v>0</v>
      </c>
      <c r="AP46" s="10" t="s">
        <v>402</v>
      </c>
      <c r="AQ46" s="69"/>
      <c r="AR46" s="5" t="s">
        <v>402</v>
      </c>
      <c r="AT46" s="74"/>
    </row>
    <row r="47" spans="1:83" ht="45.75" thickBot="1" x14ac:dyDescent="0.3">
      <c r="A47" s="6" t="s">
        <v>457</v>
      </c>
      <c r="B47" s="5" t="s">
        <v>207</v>
      </c>
      <c r="C47" s="5" t="s">
        <v>206</v>
      </c>
      <c r="D47" s="8">
        <v>72750</v>
      </c>
      <c r="E47" s="8">
        <f>Tableau_Lancer_la_requête_à_partir_de_Excel_Files10256789111214[[#This Row],[Aide Massif]]+Tableau_Lancer_la_requête_à_partir_de_Excel_Files10256789111214[[#This Row],[''Autre Public'']]</f>
        <v>14550</v>
      </c>
      <c r="F47" s="9">
        <f>Tableau_Lancer_la_requête_à_partir_de_Excel_Files10256789111214[[#This Row],[Aide 
publique]]/Tableau_Lancer_la_requête_à_partir_de_Excel_Files10256789111214[[#This Row],[''Coût total éligible'']]</f>
        <v>0.2</v>
      </c>
      <c r="G47" s="8">
        <f>Tableau_Lancer_la_requête_à_partir_de_Excel_Files10256789111214[[#This Row],[''FEDER'']]+Tableau_Lancer_la_requête_à_partir_de_Excel_Files10256789111214[[#This Row],[Total Etat]]+Tableau_Lancer_la_requête_à_partir_de_Excel_Files10256789111214[[#This Row],[Total Régions]]+Tableau_Lancer_la_requête_à_partir_de_Excel_Files10256789111214[[#This Row],[Total Dpts]]</f>
        <v>14550</v>
      </c>
      <c r="H47" s="9">
        <f>Tableau_Lancer_la_requête_à_partir_de_Excel_Files10256789111214[[#This Row],[Aide Massif]]/Tableau_Lancer_la_requête_à_partir_de_Excel_Files10256789111214[[#This Row],[''Coût total éligible'']]</f>
        <v>0.2</v>
      </c>
      <c r="I47" s="8">
        <v>0</v>
      </c>
      <c r="J47" s="8">
        <f>Tableau_Lancer_la_requête_à_partir_de_Excel_Files10256789111214[[#This Row],[''FNADT '']]+Tableau_Lancer_la_requête_à_partir_de_Excel_Files10256789111214[[#This Row],[''Agriculture'']]</f>
        <v>0</v>
      </c>
      <c r="K47" s="8">
        <v>0</v>
      </c>
      <c r="L47" s="8"/>
      <c r="M47" s="8">
        <f>Tableau_Lancer_la_requête_à_partir_de_Excel_Files10256789111214[[#This Row],[''ALPC'']]+Tableau_Lancer_la_requête_à_partir_de_Excel_Files10256789111214[[#This Row],[''AURA'']]+Tableau_Lancer_la_requête_à_partir_de_Excel_Files10256789111214[[#This Row],[''BFC'']]+Tableau_Lancer_la_requête_à_partir_de_Excel_Files10256789111214[[#This Row],[''LRMP'']]</f>
        <v>7275</v>
      </c>
      <c r="N47" s="8"/>
      <c r="O47" s="8"/>
      <c r="P47" s="8"/>
      <c r="Q47" s="8">
        <v>7275</v>
      </c>
      <c r="R47" s="8">
        <f>Tableau_Lancer_la_requête_à_partir_de_Excel_Files10256789111214[[#This Row],[''03'']]+Tableau_Lancer_la_requête_à_partir_de_Excel_Files10256789111214[[#This Row],[''07'']]+Tableau_Lancer_la_requête_à_partir_de_Excel_Files10256789111214[[#This Row],[''11'']]+Tableau_Lancer_la_requête_à_partir_de_Excel_Files10256789111214[[#This Row],[''12'']]+Tableau_Lancer_la_requête_à_partir_de_Excel_Files10256789111214[[#This Row],[''15'']]+Tableau_Lancer_la_requête_à_partir_de_Excel_Files10256789111214[[#This Row],[''19'']]+Tableau_Lancer_la_requête_à_partir_de_Excel_Files10256789111214[[#This Row],[''21'']]+Tableau_Lancer_la_requête_à_partir_de_Excel_Files10256789111214[[#This Row],[''23'']]+Tableau_Lancer_la_requête_à_partir_de_Excel_Files10256789111214[[#This Row],[''30'']]+Tableau_Lancer_la_requête_à_partir_de_Excel_Files10256789111214[[#This Row],[''34'']]+Tableau_Lancer_la_requête_à_partir_de_Excel_Files10256789111214[[#This Row],[''42'']]+Tableau_Lancer_la_requête_à_partir_de_Excel_Files10256789111214[[#This Row],[''43'']]+Tableau_Lancer_la_requête_à_partir_de_Excel_Files10256789111214[[#This Row],[''46'']]+Tableau_Lancer_la_requête_à_partir_de_Excel_Files10256789111214[[#This Row],[''48'']]+Tableau_Lancer_la_requête_à_partir_de_Excel_Files10256789111214[[#This Row],[''58'']]+Tableau_Lancer_la_requête_à_partir_de_Excel_Files10256789111214[[#This Row],[''63'']]+Tableau_Lancer_la_requête_à_partir_de_Excel_Files10256789111214[[#This Row],[''69'']]+Tableau_Lancer_la_requête_à_partir_de_Excel_Files10256789111214[[#This Row],[''71'']]+Tableau_Lancer_la_requête_à_partir_de_Excel_Files10256789111214[[#This Row],[''81'']]+Tableau_Lancer_la_requête_à_partir_de_Excel_Files10256789111214[[#This Row],[''82'']]+Tableau_Lancer_la_requête_à_partir_de_Excel_Files10256789111214[[#This Row],[''87'']]+Tableau_Lancer_la_requête_à_partir_de_Excel_Files10256789111214[[#This Row],[''89'']]</f>
        <v>7275</v>
      </c>
      <c r="S47" s="8"/>
      <c r="T47" s="8"/>
      <c r="U47" s="8"/>
      <c r="V47" s="8">
        <v>7275</v>
      </c>
      <c r="W47" s="8"/>
      <c r="X47" s="8"/>
      <c r="Y47" s="8"/>
      <c r="Z47" s="8"/>
      <c r="AA47" s="8"/>
      <c r="AB47" s="8"/>
      <c r="AC47" s="8"/>
      <c r="AD47" s="8"/>
      <c r="AE47" s="8"/>
      <c r="AF47" s="8"/>
      <c r="AG47" s="8"/>
      <c r="AH47" s="8"/>
      <c r="AI47" s="8"/>
      <c r="AJ47" s="8"/>
      <c r="AK47" s="8"/>
      <c r="AL47" s="8"/>
      <c r="AM47" s="8"/>
      <c r="AN47" s="8"/>
      <c r="AO47" s="8">
        <v>0</v>
      </c>
      <c r="AP47" s="10" t="s">
        <v>402</v>
      </c>
      <c r="AQ47" s="69"/>
      <c r="AR47" s="5" t="s">
        <v>402</v>
      </c>
      <c r="AT47" s="72"/>
    </row>
    <row r="48" spans="1:83" ht="15.75" thickTop="1" x14ac:dyDescent="0.25">
      <c r="A48" s="111" t="s">
        <v>8</v>
      </c>
      <c r="B48" s="112">
        <f>SUBTOTAL(103,Tableau_Lancer_la_requête_à_partir_de_Excel_Files10256789111214[Nom_MO])</f>
        <v>15</v>
      </c>
      <c r="C48" s="112"/>
      <c r="D48" s="113">
        <f>SUBTOTAL(109,Tableau_Lancer_la_requête_à_partir_de_Excel_Files10256789111214[''Coût total éligible''])</f>
        <v>1458537.27</v>
      </c>
      <c r="E48" s="113">
        <f>SUBTOTAL(109,Tableau_Lancer_la_requête_à_partir_de_Excel_Files10256789111214[Aide 
publique])</f>
        <v>409506.35</v>
      </c>
      <c r="F48" s="114"/>
      <c r="G48" s="113">
        <f>SUBTOTAL(109,Tableau_Lancer_la_requête_à_partir_de_Excel_Files10256789111214[Aide Massif])</f>
        <v>409506.35</v>
      </c>
      <c r="H48" s="114"/>
      <c r="I48" s="113">
        <f>SUBTOTAL(109,Tableau_Lancer_la_requête_à_partir_de_Excel_Files10256789111214[''FEDER''])</f>
        <v>121323</v>
      </c>
      <c r="J48" s="113">
        <f>SUBTOTAL(109,Tableau_Lancer_la_requête_à_partir_de_Excel_Files10256789111214[Total Etat])</f>
        <v>29611</v>
      </c>
      <c r="K48" s="111"/>
      <c r="L48" s="113">
        <f>SUBTOTAL(109,Tableau_Lancer_la_requête_à_partir_de_Excel_Files10256789111214[''Agriculture''])</f>
        <v>0</v>
      </c>
      <c r="M48" s="113">
        <f>SUBTOTAL(109,Tableau_Lancer_la_requête_à_partir_de_Excel_Files10256789111214[Total Régions])</f>
        <v>198053.34999999998</v>
      </c>
      <c r="N48" s="113">
        <f>SUBTOTAL(109,Tableau_Lancer_la_requête_à_partir_de_Excel_Files10256789111214[''ALPC''])</f>
        <v>0</v>
      </c>
      <c r="O48" s="113">
        <f>SUBTOTAL(109,Tableau_Lancer_la_requête_à_partir_de_Excel_Files10256789111214[''AURA''])</f>
        <v>75250</v>
      </c>
      <c r="P48" s="113">
        <f>SUBTOTAL(109,Tableau_Lancer_la_requête_à_partir_de_Excel_Files10256789111214[''BFC''])</f>
        <v>0</v>
      </c>
      <c r="Q48" s="113">
        <f>SUBTOTAL(109,Tableau_Lancer_la_requête_à_partir_de_Excel_Files10256789111214[''LRMP''])</f>
        <v>122803.35</v>
      </c>
      <c r="R48" s="113">
        <f>SUBTOTAL(109,Tableau_Lancer_la_requête_à_partir_de_Excel_Files10256789111214[Total Dpts])</f>
        <v>60519</v>
      </c>
      <c r="S48" s="113">
        <f>SUBTOTAL(109,Tableau_Lancer_la_requête_à_partir_de_Excel_Files10256789111214[''03''])</f>
        <v>0</v>
      </c>
      <c r="T48" s="113">
        <f>SUBTOTAL(109,Tableau_Lancer_la_requête_à_partir_de_Excel_Files10256789111214[''07''])</f>
        <v>0</v>
      </c>
      <c r="U48" s="113">
        <f>SUBTOTAL(109,Tableau_Lancer_la_requête_à_partir_de_Excel_Files10256789111214[''11''])</f>
        <v>0</v>
      </c>
      <c r="V48" s="113">
        <f>SUBTOTAL(109,Tableau_Lancer_la_requête_à_partir_de_Excel_Files10256789111214[''12''])</f>
        <v>45189</v>
      </c>
      <c r="W48" s="113">
        <f>SUBTOTAL(109,Tableau_Lancer_la_requête_à_partir_de_Excel_Files10256789111214[''15''])</f>
        <v>0</v>
      </c>
      <c r="X48" s="113">
        <f>SUBTOTAL(109,Tableau_Lancer_la_requête_à_partir_de_Excel_Files10256789111214[''19''])</f>
        <v>0</v>
      </c>
      <c r="Y48" s="113">
        <f>SUBTOTAL(109,Tableau_Lancer_la_requête_à_partir_de_Excel_Files10256789111214[''21''])</f>
        <v>0</v>
      </c>
      <c r="Z48" s="113">
        <f>SUBTOTAL(109,Tableau_Lancer_la_requête_à_partir_de_Excel_Files10256789111214[''23''])</f>
        <v>0</v>
      </c>
      <c r="AA48" s="113">
        <f>SUBTOTAL(109,Tableau_Lancer_la_requête_à_partir_de_Excel_Files10256789111214[''30''])</f>
        <v>0</v>
      </c>
      <c r="AB48" s="113">
        <f>SUBTOTAL(109,Tableau_Lancer_la_requête_à_partir_de_Excel_Files10256789111214[''34''])</f>
        <v>0</v>
      </c>
      <c r="AC48" s="113">
        <f>SUBTOTAL(109,Tableau_Lancer_la_requête_à_partir_de_Excel_Files10256789111214[''42''])</f>
        <v>0</v>
      </c>
      <c r="AD48" s="113">
        <f>SUBTOTAL(109,Tableau_Lancer_la_requête_à_partir_de_Excel_Files10256789111214[''43''])</f>
        <v>0</v>
      </c>
      <c r="AE48" s="113">
        <f>SUBTOTAL(109,Tableau_Lancer_la_requête_à_partir_de_Excel_Files10256789111214[''46''])</f>
        <v>0</v>
      </c>
      <c r="AF48" s="113">
        <f>SUBTOTAL(109,Tableau_Lancer_la_requête_à_partir_de_Excel_Files10256789111214[''48''])</f>
        <v>15330</v>
      </c>
      <c r="AG48" s="113">
        <f>SUBTOTAL(109,Tableau_Lancer_la_requête_à_partir_de_Excel_Files10256789111214[''58''])</f>
        <v>0</v>
      </c>
      <c r="AH48" s="113">
        <f>SUBTOTAL(109,Tableau_Lancer_la_requête_à_partir_de_Excel_Files10256789111214[''63''])</f>
        <v>0</v>
      </c>
      <c r="AI48" s="113">
        <f>SUBTOTAL(109,Tableau_Lancer_la_requête_à_partir_de_Excel_Files10256789111214[''69''])</f>
        <v>0</v>
      </c>
      <c r="AJ48" s="113">
        <f>SUBTOTAL(109,Tableau_Lancer_la_requête_à_partir_de_Excel_Files10256789111214[''71''])</f>
        <v>0</v>
      </c>
      <c r="AK48" s="113">
        <f>SUBTOTAL(109,Tableau_Lancer_la_requête_à_partir_de_Excel_Files10256789111214[''81''])</f>
        <v>0</v>
      </c>
      <c r="AL48" s="113">
        <f>SUBTOTAL(109,Tableau_Lancer_la_requête_à_partir_de_Excel_Files10256789111214[''82''])</f>
        <v>0</v>
      </c>
      <c r="AM48" s="113">
        <f>SUBTOTAL(109,Tableau_Lancer_la_requête_à_partir_de_Excel_Files10256789111214[''87''])</f>
        <v>0</v>
      </c>
      <c r="AN48" s="113">
        <f>SUBTOTAL(109,Tableau_Lancer_la_requête_à_partir_de_Excel_Files10256789111214[''89''])</f>
        <v>0</v>
      </c>
      <c r="AO48" s="113">
        <f>SUBTOTAL(109,Tableau_Lancer_la_requête_à_partir_de_Excel_Files10256789111214[''Autre Public''])</f>
        <v>0</v>
      </c>
      <c r="AP48" s="111"/>
      <c r="AQ48" s="111"/>
      <c r="AR48" s="115"/>
      <c r="AT48" s="75"/>
    </row>
    <row r="49" spans="1:46" x14ac:dyDescent="0.25">
      <c r="A49" s="10"/>
      <c r="B49" s="5"/>
      <c r="D49" s="58"/>
      <c r="E49" s="58"/>
      <c r="F49" s="59"/>
      <c r="G49" s="58"/>
      <c r="H49" s="59"/>
      <c r="I49" s="58"/>
      <c r="J49" s="58"/>
      <c r="K49" s="10"/>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10"/>
      <c r="AQ49" s="10"/>
    </row>
    <row r="50" spans="1:46" x14ac:dyDescent="0.25">
      <c r="A50" s="10"/>
      <c r="B50" s="5"/>
      <c r="D50" s="58"/>
      <c r="E50" s="58"/>
      <c r="F50" s="59"/>
      <c r="G50" s="58"/>
      <c r="H50" s="59"/>
      <c r="I50" s="58"/>
      <c r="J50" s="58"/>
      <c r="K50" s="10"/>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10"/>
      <c r="AQ50" s="10"/>
    </row>
    <row r="51" spans="1:46" x14ac:dyDescent="0.25">
      <c r="A51" s="1" t="s">
        <v>261</v>
      </c>
    </row>
    <row r="52" spans="1:46" ht="45" x14ac:dyDescent="0.25">
      <c r="A52" s="7" t="s">
        <v>7</v>
      </c>
      <c r="B52" s="7" t="s">
        <v>1</v>
      </c>
      <c r="C52" s="7" t="s">
        <v>2</v>
      </c>
      <c r="D52" s="7" t="s">
        <v>52</v>
      </c>
      <c r="E52" s="7" t="s">
        <v>55</v>
      </c>
      <c r="F52" s="7" t="s">
        <v>53</v>
      </c>
      <c r="G52" s="7" t="s">
        <v>50</v>
      </c>
      <c r="H52" s="7" t="s">
        <v>56</v>
      </c>
      <c r="I52" s="7" t="s">
        <v>44</v>
      </c>
      <c r="J52" s="7" t="s">
        <v>66</v>
      </c>
      <c r="K52" s="7" t="s">
        <v>70</v>
      </c>
      <c r="L52" s="7" t="s">
        <v>17</v>
      </c>
      <c r="M52" s="7" t="s">
        <v>67</v>
      </c>
      <c r="N52" s="7" t="s">
        <v>20</v>
      </c>
      <c r="O52" s="7" t="s">
        <v>18</v>
      </c>
      <c r="P52" s="7" t="s">
        <v>19</v>
      </c>
      <c r="Q52" s="7" t="s">
        <v>21</v>
      </c>
      <c r="R52" s="7" t="s">
        <v>68</v>
      </c>
      <c r="S52" s="7" t="s">
        <v>22</v>
      </c>
      <c r="T52" s="7" t="s">
        <v>23</v>
      </c>
      <c r="U52" s="7" t="s">
        <v>24</v>
      </c>
      <c r="V52" s="7" t="s">
        <v>25</v>
      </c>
      <c r="W52" s="7" t="s">
        <v>26</v>
      </c>
      <c r="X52" s="7" t="s">
        <v>27</v>
      </c>
      <c r="Y52" s="7" t="s">
        <v>28</v>
      </c>
      <c r="Z52" s="7" t="s">
        <v>29</v>
      </c>
      <c r="AA52" s="7" t="s">
        <v>30</v>
      </c>
      <c r="AB52" s="7" t="s">
        <v>31</v>
      </c>
      <c r="AC52" s="7" t="s">
        <v>32</v>
      </c>
      <c r="AD52" s="7" t="s">
        <v>33</v>
      </c>
      <c r="AE52" s="7" t="s">
        <v>34</v>
      </c>
      <c r="AF52" s="7" t="s">
        <v>35</v>
      </c>
      <c r="AG52" s="7" t="s">
        <v>36</v>
      </c>
      <c r="AH52" s="7" t="s">
        <v>37</v>
      </c>
      <c r="AI52" s="7" t="s">
        <v>38</v>
      </c>
      <c r="AJ52" s="7" t="s">
        <v>39</v>
      </c>
      <c r="AK52" s="7" t="s">
        <v>40</v>
      </c>
      <c r="AL52" s="7" t="s">
        <v>41</v>
      </c>
      <c r="AM52" s="7" t="s">
        <v>42</v>
      </c>
      <c r="AN52" s="7" t="s">
        <v>43</v>
      </c>
      <c r="AO52" s="7" t="s">
        <v>45</v>
      </c>
      <c r="AP52" s="7" t="s">
        <v>49</v>
      </c>
      <c r="AQ52" s="7" t="s">
        <v>249</v>
      </c>
      <c r="AR52" s="17" t="s">
        <v>57</v>
      </c>
      <c r="AT52" s="73" t="s">
        <v>65</v>
      </c>
    </row>
    <row r="53" spans="1:46" ht="45" x14ac:dyDescent="0.25">
      <c r="A53" s="13" t="s">
        <v>459</v>
      </c>
      <c r="B53" s="12" t="s">
        <v>176</v>
      </c>
      <c r="C53" s="12" t="s">
        <v>177</v>
      </c>
      <c r="D53" s="15">
        <v>98467</v>
      </c>
      <c r="E53" s="15">
        <f>Tableau_Lancer_la_requête_à_partir_de_Excel_Files102567891112[[#This Row],[Aide Massif]]+Tableau_Lancer_la_requête_à_partir_de_Excel_Files102567891112[[#This Row],[''Autre Public'']]</f>
        <v>21191.200000000001</v>
      </c>
      <c r="F53" s="16">
        <f>Tableau_Lancer_la_requête_à_partir_de_Excel_Files102567891112[[#This Row],[Aide 
publique]]/Tableau_Lancer_la_requête_à_partir_de_Excel_Files102567891112[[#This Row],[''Coût total éligible'']]</f>
        <v>0.21521118750444312</v>
      </c>
      <c r="G53" s="15">
        <f>Tableau_Lancer_la_requête_à_partir_de_Excel_Files102567891112[[#This Row],[''FEDER'']]+Tableau_Lancer_la_requête_à_partir_de_Excel_Files102567891112[[#This Row],[Total Etat]]+Tableau_Lancer_la_requête_à_partir_de_Excel_Files102567891112[[#This Row],[Total Régions]]+Tableau_Lancer_la_requête_à_partir_de_Excel_Files102567891112[[#This Row],[Total Dpts]]</f>
        <v>21191.200000000001</v>
      </c>
      <c r="H53" s="16">
        <f>Tableau_Lancer_la_requête_à_partir_de_Excel_Files102567891112[[#This Row],[Aide Massif]]/Tableau_Lancer_la_requête_à_partir_de_Excel_Files102567891112[[#This Row],[''Coût total éligible'']]</f>
        <v>0.21521118750444312</v>
      </c>
      <c r="I53" s="15">
        <v>0</v>
      </c>
      <c r="J53" s="15">
        <f>Tableau_Lancer_la_requête_à_partir_de_Excel_Files102567891112[[#This Row],[''FNADT '']]+Tableau_Lancer_la_requête_à_partir_de_Excel_Files102567891112[[#This Row],[''Agriculture'']]</f>
        <v>10459.200000000001</v>
      </c>
      <c r="K53" s="15">
        <v>10459.200000000001</v>
      </c>
      <c r="L53" s="15"/>
      <c r="M53" s="15">
        <f>Tableau_Lancer_la_requête_à_partir_de_Excel_Files102567891112[[#This Row],[''ALPC'']]+Tableau_Lancer_la_requête_à_partir_de_Excel_Files102567891112[[#This Row],[''AURA'']]+Tableau_Lancer_la_requête_à_partir_de_Excel_Files102567891112[[#This Row],[''BFC'']]+Tableau_Lancer_la_requête_à_partir_de_Excel_Files102567891112[[#This Row],[''LRMP'']]</f>
        <v>10732</v>
      </c>
      <c r="N53" s="15"/>
      <c r="O53" s="15"/>
      <c r="P53" s="15"/>
      <c r="Q53" s="15">
        <v>10732</v>
      </c>
      <c r="R53" s="15">
        <f>Tableau_Lancer_la_requête_à_partir_de_Excel_Files102567891112[[#This Row],[''03'']]+Tableau_Lancer_la_requête_à_partir_de_Excel_Files102567891112[[#This Row],[''07'']]+Tableau_Lancer_la_requête_à_partir_de_Excel_Files102567891112[[#This Row],[''11'']]+Tableau_Lancer_la_requête_à_partir_de_Excel_Files102567891112[[#This Row],[''12'']]+Tableau_Lancer_la_requête_à_partir_de_Excel_Files102567891112[[#This Row],[''15'']]+Tableau_Lancer_la_requête_à_partir_de_Excel_Files102567891112[[#This Row],[''19'']]+Tableau_Lancer_la_requête_à_partir_de_Excel_Files102567891112[[#This Row],[''21'']]+Tableau_Lancer_la_requête_à_partir_de_Excel_Files102567891112[[#This Row],[''23'']]+Tableau_Lancer_la_requête_à_partir_de_Excel_Files102567891112[[#This Row],[''30'']]+Tableau_Lancer_la_requête_à_partir_de_Excel_Files102567891112[[#This Row],[''34'']]+Tableau_Lancer_la_requête_à_partir_de_Excel_Files102567891112[[#This Row],[''42'']]+Tableau_Lancer_la_requête_à_partir_de_Excel_Files102567891112[[#This Row],[''43'']]+Tableau_Lancer_la_requête_à_partir_de_Excel_Files102567891112[[#This Row],[''46'']]+Tableau_Lancer_la_requête_à_partir_de_Excel_Files102567891112[[#This Row],[''48'']]+Tableau_Lancer_la_requête_à_partir_de_Excel_Files102567891112[[#This Row],[''58'']]+Tableau_Lancer_la_requête_à_partir_de_Excel_Files102567891112[[#This Row],[''63'']]+Tableau_Lancer_la_requête_à_partir_de_Excel_Files102567891112[[#This Row],[''69'']]+Tableau_Lancer_la_requête_à_partir_de_Excel_Files102567891112[[#This Row],[''71'']]+Tableau_Lancer_la_requête_à_partir_de_Excel_Files102567891112[[#This Row],[''81'']]+Tableau_Lancer_la_requête_à_partir_de_Excel_Files102567891112[[#This Row],[''82'']]+Tableau_Lancer_la_requête_à_partir_de_Excel_Files102567891112[[#This Row],[''87'']]+Tableau_Lancer_la_requête_à_partir_de_Excel_Files102567891112[[#This Row],[''89'']]</f>
        <v>0</v>
      </c>
      <c r="S53" s="15"/>
      <c r="T53" s="15"/>
      <c r="U53" s="15"/>
      <c r="V53" s="15"/>
      <c r="W53" s="15"/>
      <c r="X53" s="15"/>
      <c r="Y53" s="15"/>
      <c r="Z53" s="15"/>
      <c r="AA53" s="15"/>
      <c r="AB53" s="15"/>
      <c r="AC53" s="15"/>
      <c r="AD53" s="15"/>
      <c r="AE53" s="15"/>
      <c r="AF53" s="15"/>
      <c r="AG53" s="15"/>
      <c r="AH53" s="15"/>
      <c r="AI53" s="15"/>
      <c r="AJ53" s="15"/>
      <c r="AK53" s="15"/>
      <c r="AL53" s="15"/>
      <c r="AM53" s="15"/>
      <c r="AN53" s="15"/>
      <c r="AO53" s="15">
        <v>0</v>
      </c>
      <c r="AP53" s="10" t="s">
        <v>339</v>
      </c>
      <c r="AQ53" s="69"/>
      <c r="AR53" s="12" t="s">
        <v>396</v>
      </c>
      <c r="AT53" s="72" t="s">
        <v>461</v>
      </c>
    </row>
    <row r="54" spans="1:46" ht="45.75" thickBot="1" x14ac:dyDescent="0.3">
      <c r="A54" s="6" t="s">
        <v>458</v>
      </c>
      <c r="B54" s="5" t="s">
        <v>176</v>
      </c>
      <c r="C54" s="5" t="s">
        <v>177</v>
      </c>
      <c r="D54" s="8">
        <v>98467</v>
      </c>
      <c r="E54" s="8">
        <f>Tableau_Lancer_la_requête_à_partir_de_Excel_Files102567891112[[#This Row],[Aide Massif]]+Tableau_Lancer_la_requête_à_partir_de_Excel_Files102567891112[[#This Row],[''Autre Public'']]</f>
        <v>0</v>
      </c>
      <c r="F54" s="9">
        <f>Tableau_Lancer_la_requête_à_partir_de_Excel_Files102567891112[[#This Row],[Aide 
publique]]/Tableau_Lancer_la_requête_à_partir_de_Excel_Files102567891112[[#This Row],[''Coût total éligible'']]</f>
        <v>0</v>
      </c>
      <c r="G54" s="8">
        <f>Tableau_Lancer_la_requête_à_partir_de_Excel_Files102567891112[[#This Row],[''FEDER'']]+Tableau_Lancer_la_requête_à_partir_de_Excel_Files102567891112[[#This Row],[Total Etat]]+Tableau_Lancer_la_requête_à_partir_de_Excel_Files102567891112[[#This Row],[Total Régions]]+Tableau_Lancer_la_requête_à_partir_de_Excel_Files102567891112[[#This Row],[Total Dpts]]</f>
        <v>0</v>
      </c>
      <c r="H54" s="9">
        <f>Tableau_Lancer_la_requête_à_partir_de_Excel_Files102567891112[[#This Row],[Aide Massif]]/Tableau_Lancer_la_requête_à_partir_de_Excel_Files102567891112[[#This Row],[''Coût total éligible'']]</f>
        <v>0</v>
      </c>
      <c r="I54" s="8">
        <v>0</v>
      </c>
      <c r="J54" s="8">
        <f>Tableau_Lancer_la_requête_à_partir_de_Excel_Files102567891112[[#This Row],[''FNADT '']]+Tableau_Lancer_la_requête_à_partir_de_Excel_Files102567891112[[#This Row],[''Agriculture'']]</f>
        <v>0</v>
      </c>
      <c r="K54" s="8"/>
      <c r="L54" s="8"/>
      <c r="M54" s="8">
        <f>Tableau_Lancer_la_requête_à_partir_de_Excel_Files102567891112[[#This Row],[''ALPC'']]+Tableau_Lancer_la_requête_à_partir_de_Excel_Files102567891112[[#This Row],[''AURA'']]+Tableau_Lancer_la_requête_à_partir_de_Excel_Files102567891112[[#This Row],[''BFC'']]+Tableau_Lancer_la_requête_à_partir_de_Excel_Files102567891112[[#This Row],[''LRMP'']]</f>
        <v>0</v>
      </c>
      <c r="N54" s="8"/>
      <c r="O54" s="8"/>
      <c r="P54" s="8"/>
      <c r="Q54" s="8"/>
      <c r="R54" s="8">
        <f>Tableau_Lancer_la_requête_à_partir_de_Excel_Files102567891112[[#This Row],[''03'']]+Tableau_Lancer_la_requête_à_partir_de_Excel_Files102567891112[[#This Row],[''07'']]+Tableau_Lancer_la_requête_à_partir_de_Excel_Files102567891112[[#This Row],[''11'']]+Tableau_Lancer_la_requête_à_partir_de_Excel_Files102567891112[[#This Row],[''12'']]+Tableau_Lancer_la_requête_à_partir_de_Excel_Files102567891112[[#This Row],[''15'']]+Tableau_Lancer_la_requête_à_partir_de_Excel_Files102567891112[[#This Row],[''19'']]+Tableau_Lancer_la_requête_à_partir_de_Excel_Files102567891112[[#This Row],[''21'']]+Tableau_Lancer_la_requête_à_partir_de_Excel_Files102567891112[[#This Row],[''23'']]+Tableau_Lancer_la_requête_à_partir_de_Excel_Files102567891112[[#This Row],[''30'']]+Tableau_Lancer_la_requête_à_partir_de_Excel_Files102567891112[[#This Row],[''34'']]+Tableau_Lancer_la_requête_à_partir_de_Excel_Files102567891112[[#This Row],[''42'']]+Tableau_Lancer_la_requête_à_partir_de_Excel_Files102567891112[[#This Row],[''43'']]+Tableau_Lancer_la_requête_à_partir_de_Excel_Files102567891112[[#This Row],[''46'']]+Tableau_Lancer_la_requête_à_partir_de_Excel_Files102567891112[[#This Row],[''48'']]+Tableau_Lancer_la_requête_à_partir_de_Excel_Files102567891112[[#This Row],[''58'']]+Tableau_Lancer_la_requête_à_partir_de_Excel_Files102567891112[[#This Row],[''63'']]+Tableau_Lancer_la_requête_à_partir_de_Excel_Files102567891112[[#This Row],[''69'']]+Tableau_Lancer_la_requête_à_partir_de_Excel_Files102567891112[[#This Row],[''71'']]+Tableau_Lancer_la_requête_à_partir_de_Excel_Files102567891112[[#This Row],[''81'']]+Tableau_Lancer_la_requête_à_partir_de_Excel_Files102567891112[[#This Row],[''82'']]+Tableau_Lancer_la_requête_à_partir_de_Excel_Files102567891112[[#This Row],[''87'']]+Tableau_Lancer_la_requête_à_partir_de_Excel_Files102567891112[[#This Row],[''89'']]</f>
        <v>0</v>
      </c>
      <c r="S54" s="8"/>
      <c r="T54" s="8"/>
      <c r="U54" s="8"/>
      <c r="V54" s="8"/>
      <c r="W54" s="8"/>
      <c r="X54" s="8"/>
      <c r="Y54" s="8"/>
      <c r="Z54" s="8"/>
      <c r="AA54" s="8"/>
      <c r="AB54" s="8"/>
      <c r="AC54" s="8"/>
      <c r="AD54" s="8"/>
      <c r="AE54" s="8"/>
      <c r="AF54" s="8"/>
      <c r="AG54" s="8"/>
      <c r="AH54" s="8"/>
      <c r="AI54" s="8"/>
      <c r="AJ54" s="8"/>
      <c r="AK54" s="8"/>
      <c r="AL54" s="8"/>
      <c r="AM54" s="8"/>
      <c r="AN54" s="8"/>
      <c r="AO54" s="8">
        <v>0</v>
      </c>
      <c r="AP54" s="10" t="s">
        <v>396</v>
      </c>
      <c r="AQ54" s="69"/>
      <c r="AR54" s="5" t="s">
        <v>396</v>
      </c>
      <c r="AT54" s="74" t="s">
        <v>460</v>
      </c>
    </row>
    <row r="55" spans="1:46" ht="15.75" thickTop="1" x14ac:dyDescent="0.25">
      <c r="A55" s="111" t="s">
        <v>8</v>
      </c>
      <c r="B55" s="112">
        <f>SUBTOTAL(103,Tableau_Lancer_la_requête_à_partir_de_Excel_Files102567891112[Nom_MO])</f>
        <v>2</v>
      </c>
      <c r="C55" s="112"/>
      <c r="D55" s="113">
        <f>SUBTOTAL(109,Tableau_Lancer_la_requête_à_partir_de_Excel_Files102567891112[''Coût total éligible''])</f>
        <v>196934</v>
      </c>
      <c r="E55" s="113">
        <f>SUBTOTAL(109,Tableau_Lancer_la_requête_à_partir_de_Excel_Files102567891112[Aide 
publique])</f>
        <v>21191.200000000001</v>
      </c>
      <c r="F55" s="114"/>
      <c r="G55" s="113">
        <f>SUBTOTAL(109,Tableau_Lancer_la_requête_à_partir_de_Excel_Files102567891112[Aide Massif])</f>
        <v>21191.200000000001</v>
      </c>
      <c r="H55" s="114"/>
      <c r="I55" s="113">
        <f>SUBTOTAL(109,Tableau_Lancer_la_requête_à_partir_de_Excel_Files102567891112[''FEDER''])</f>
        <v>0</v>
      </c>
      <c r="J55" s="113">
        <f>SUBTOTAL(109,Tableau_Lancer_la_requête_à_partir_de_Excel_Files102567891112[Total Etat])</f>
        <v>10459.200000000001</v>
      </c>
      <c r="K55" s="111"/>
      <c r="L55" s="113">
        <f>SUBTOTAL(109,Tableau_Lancer_la_requête_à_partir_de_Excel_Files102567891112[''Agriculture''])</f>
        <v>0</v>
      </c>
      <c r="M55" s="113">
        <f>SUBTOTAL(109,Tableau_Lancer_la_requête_à_partir_de_Excel_Files102567891112[Total Régions])</f>
        <v>10732</v>
      </c>
      <c r="N55" s="113">
        <f>SUBTOTAL(109,Tableau_Lancer_la_requête_à_partir_de_Excel_Files102567891112[''ALPC''])</f>
        <v>0</v>
      </c>
      <c r="O55" s="113">
        <f>SUBTOTAL(109,Tableau_Lancer_la_requête_à_partir_de_Excel_Files102567891112[''AURA''])</f>
        <v>0</v>
      </c>
      <c r="P55" s="113">
        <f>SUBTOTAL(109,Tableau_Lancer_la_requête_à_partir_de_Excel_Files102567891112[''BFC''])</f>
        <v>0</v>
      </c>
      <c r="Q55" s="113">
        <f>SUBTOTAL(109,Tableau_Lancer_la_requête_à_partir_de_Excel_Files102567891112[''LRMP''])</f>
        <v>10732</v>
      </c>
      <c r="R55" s="113">
        <f>SUBTOTAL(109,Tableau_Lancer_la_requête_à_partir_de_Excel_Files102567891112[Total Dpts])</f>
        <v>0</v>
      </c>
      <c r="S55" s="113">
        <f>SUBTOTAL(109,Tableau_Lancer_la_requête_à_partir_de_Excel_Files102567891112[''03''])</f>
        <v>0</v>
      </c>
      <c r="T55" s="113">
        <f>SUBTOTAL(109,Tableau_Lancer_la_requête_à_partir_de_Excel_Files102567891112[''07''])</f>
        <v>0</v>
      </c>
      <c r="U55" s="113">
        <f>SUBTOTAL(109,Tableau_Lancer_la_requête_à_partir_de_Excel_Files102567891112[''11''])</f>
        <v>0</v>
      </c>
      <c r="V55" s="113">
        <f>SUBTOTAL(109,Tableau_Lancer_la_requête_à_partir_de_Excel_Files102567891112[''12''])</f>
        <v>0</v>
      </c>
      <c r="W55" s="113">
        <f>SUBTOTAL(109,Tableau_Lancer_la_requête_à_partir_de_Excel_Files102567891112[''15''])</f>
        <v>0</v>
      </c>
      <c r="X55" s="113">
        <f>SUBTOTAL(109,Tableau_Lancer_la_requête_à_partir_de_Excel_Files102567891112[''19''])</f>
        <v>0</v>
      </c>
      <c r="Y55" s="113">
        <f>SUBTOTAL(109,Tableau_Lancer_la_requête_à_partir_de_Excel_Files102567891112[''21''])</f>
        <v>0</v>
      </c>
      <c r="Z55" s="113">
        <f>SUBTOTAL(109,Tableau_Lancer_la_requête_à_partir_de_Excel_Files102567891112[''23''])</f>
        <v>0</v>
      </c>
      <c r="AA55" s="113">
        <f>SUBTOTAL(109,Tableau_Lancer_la_requête_à_partir_de_Excel_Files102567891112[''30''])</f>
        <v>0</v>
      </c>
      <c r="AB55" s="113">
        <f>SUBTOTAL(109,Tableau_Lancer_la_requête_à_partir_de_Excel_Files102567891112[''34''])</f>
        <v>0</v>
      </c>
      <c r="AC55" s="113">
        <f>SUBTOTAL(109,Tableau_Lancer_la_requête_à_partir_de_Excel_Files102567891112[''42''])</f>
        <v>0</v>
      </c>
      <c r="AD55" s="113">
        <f>SUBTOTAL(109,Tableau_Lancer_la_requête_à_partir_de_Excel_Files102567891112[''43''])</f>
        <v>0</v>
      </c>
      <c r="AE55" s="113">
        <f>SUBTOTAL(109,Tableau_Lancer_la_requête_à_partir_de_Excel_Files102567891112[''46''])</f>
        <v>0</v>
      </c>
      <c r="AF55" s="113">
        <f>SUBTOTAL(109,Tableau_Lancer_la_requête_à_partir_de_Excel_Files102567891112[''48''])</f>
        <v>0</v>
      </c>
      <c r="AG55" s="113">
        <f>SUBTOTAL(109,Tableau_Lancer_la_requête_à_partir_de_Excel_Files102567891112[''58''])</f>
        <v>0</v>
      </c>
      <c r="AH55" s="113">
        <f>SUBTOTAL(109,Tableau_Lancer_la_requête_à_partir_de_Excel_Files102567891112[''63''])</f>
        <v>0</v>
      </c>
      <c r="AI55" s="113">
        <f>SUBTOTAL(109,Tableau_Lancer_la_requête_à_partir_de_Excel_Files102567891112[''69''])</f>
        <v>0</v>
      </c>
      <c r="AJ55" s="113">
        <f>SUBTOTAL(109,Tableau_Lancer_la_requête_à_partir_de_Excel_Files102567891112[''71''])</f>
        <v>0</v>
      </c>
      <c r="AK55" s="113">
        <f>SUBTOTAL(109,Tableau_Lancer_la_requête_à_partir_de_Excel_Files102567891112[''81''])</f>
        <v>0</v>
      </c>
      <c r="AL55" s="113">
        <f>SUBTOTAL(109,Tableau_Lancer_la_requête_à_partir_de_Excel_Files102567891112[''82''])</f>
        <v>0</v>
      </c>
      <c r="AM55" s="113">
        <f>SUBTOTAL(109,Tableau_Lancer_la_requête_à_partir_de_Excel_Files102567891112[''87''])</f>
        <v>0</v>
      </c>
      <c r="AN55" s="113">
        <f>SUBTOTAL(109,Tableau_Lancer_la_requête_à_partir_de_Excel_Files102567891112[''89''])</f>
        <v>0</v>
      </c>
      <c r="AO55" s="113">
        <f>SUBTOTAL(109,Tableau_Lancer_la_requête_à_partir_de_Excel_Files102567891112[''Autre Public''])</f>
        <v>0</v>
      </c>
      <c r="AP55" s="111"/>
      <c r="AQ55" s="111"/>
      <c r="AR55" s="115"/>
      <c r="AT55" s="75" t="s">
        <v>481</v>
      </c>
    </row>
    <row r="56" spans="1:46" x14ac:dyDescent="0.25">
      <c r="A56" s="10"/>
      <c r="B56" s="5"/>
      <c r="D56" s="58"/>
      <c r="E56" s="58"/>
      <c r="F56" s="59"/>
      <c r="G56" s="58"/>
      <c r="H56" s="59"/>
      <c r="I56" s="58"/>
      <c r="J56" s="58"/>
      <c r="K56" s="10"/>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10"/>
      <c r="AQ56" s="10"/>
    </row>
    <row r="57" spans="1:46" x14ac:dyDescent="0.25">
      <c r="A57" s="10"/>
      <c r="B57" s="5"/>
      <c r="D57" s="58"/>
      <c r="E57" s="58"/>
      <c r="F57" s="59"/>
      <c r="G57" s="58"/>
      <c r="H57" s="59"/>
      <c r="I57" s="58"/>
      <c r="J57" s="58"/>
      <c r="K57" s="10"/>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10"/>
      <c r="AQ57" s="10"/>
    </row>
    <row r="58" spans="1:46" x14ac:dyDescent="0.25">
      <c r="A58" s="10"/>
      <c r="B58" s="5"/>
      <c r="D58" s="58"/>
      <c r="E58" s="58"/>
      <c r="F58" s="59"/>
      <c r="G58" s="58"/>
      <c r="H58" s="59"/>
      <c r="I58" s="58"/>
      <c r="J58" s="58"/>
      <c r="K58" s="10"/>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10"/>
      <c r="AQ58" s="10"/>
    </row>
    <row r="59" spans="1:46" x14ac:dyDescent="0.25">
      <c r="A59" s="10"/>
      <c r="B59" s="5"/>
      <c r="D59" s="58"/>
      <c r="E59" s="58"/>
      <c r="F59" s="59"/>
      <c r="G59" s="58"/>
      <c r="H59" s="59"/>
      <c r="I59" s="125" t="s">
        <v>263</v>
      </c>
      <c r="J59" s="125"/>
      <c r="K59" s="125"/>
      <c r="L59" s="125"/>
      <c r="M59" s="125"/>
      <c r="N59" s="76"/>
      <c r="O59" s="76"/>
      <c r="P59" s="76"/>
      <c r="Q59" s="76"/>
      <c r="R59" s="77">
        <v>1000000</v>
      </c>
      <c r="S59" s="77"/>
      <c r="T59" s="77"/>
      <c r="U59" s="77"/>
      <c r="V59" s="77"/>
      <c r="W59" s="77"/>
      <c r="X59" s="77"/>
      <c r="Y59" s="77"/>
      <c r="Z59" s="77"/>
      <c r="AA59" s="77"/>
      <c r="AB59" s="77"/>
      <c r="AC59" s="77"/>
      <c r="AD59" s="77"/>
      <c r="AE59" s="77"/>
      <c r="AF59" s="77"/>
      <c r="AG59" s="77"/>
      <c r="AH59" s="77"/>
      <c r="AI59" s="77"/>
      <c r="AJ59" s="77"/>
      <c r="AK59" s="77"/>
      <c r="AL59" s="77"/>
      <c r="AM59" s="77"/>
      <c r="AN59" s="77"/>
      <c r="AO59" s="78" t="s">
        <v>266</v>
      </c>
    </row>
    <row r="60" spans="1:46" x14ac:dyDescent="0.25">
      <c r="A60" s="10"/>
      <c r="B60" s="5"/>
      <c r="D60" s="58"/>
      <c r="E60" s="58"/>
      <c r="F60" s="59"/>
      <c r="G60" s="58"/>
      <c r="H60" s="59"/>
      <c r="I60" s="126" t="s">
        <v>264</v>
      </c>
      <c r="J60" s="126"/>
      <c r="K60" s="126"/>
      <c r="L60" s="126"/>
      <c r="M60" s="126"/>
      <c r="N60" s="76"/>
      <c r="O60" s="76"/>
      <c r="P60" s="76"/>
      <c r="Q60" s="76"/>
      <c r="R60" s="76">
        <f>SUMIF(Tableau_Lancer_la_requête_à_partir_de_Excel_Files1025678911[Avis Cofimac],"1-Favorable",Tableau_Lancer_la_requête_à_partir_de_Excel_Files1025678911[''FEDER''])+SUMIF(Tableau_Lancer_la_requête_à_partir_de_Excel_Files102567891113[Avis Cofimac],"1-Favorable",Tableau_Lancer_la_requête_à_partir_de_Excel_Files102567891113[''FEDER''])+SUMIF(Tableau_Lancer_la_requête_à_partir_de_Excel_Files102567891113[Avis Cofimac],"2-Favorable sous réserve",Tableau_Lancer_la_requête_à_partir_de_Excel_Files102567891113[''FEDER''])+SUMIF(Tableau_Lancer_la_requête_à_partir_de_Excel_Files10256789111214[Avis Cofimac],"1-Favorable",Tableau_Lancer_la_requête_à_partir_de_Excel_Files10256789111214[''FEDER''])+SUMIF(Tableau_Lancer_la_requête_à_partir_de_Excel_Files10256789111214[Avis Cofimac],"2-Favorable sous réserve",Tableau_Lancer_la_requête_à_partir_de_Excel_Files10256789111214[''FEDER''])</f>
        <v>721502.00800000003</v>
      </c>
      <c r="S60" s="76"/>
      <c r="T60" s="76"/>
      <c r="U60" s="76"/>
      <c r="V60" s="76"/>
      <c r="W60" s="76"/>
      <c r="X60" s="76"/>
      <c r="Y60" s="76"/>
      <c r="Z60" s="76"/>
      <c r="AA60" s="76"/>
      <c r="AB60" s="76"/>
      <c r="AC60" s="76"/>
      <c r="AD60" s="76"/>
      <c r="AE60" s="76"/>
      <c r="AF60" s="76"/>
      <c r="AG60" s="76"/>
      <c r="AH60" s="76"/>
      <c r="AI60" s="76"/>
      <c r="AJ60" s="76"/>
      <c r="AK60" s="76"/>
      <c r="AL60" s="76"/>
      <c r="AM60" s="76"/>
      <c r="AN60" s="76"/>
      <c r="AO60" s="76">
        <f>$R$59-R60</f>
        <v>278497.99199999997</v>
      </c>
      <c r="AP60" s="10"/>
      <c r="AQ60" s="10"/>
    </row>
    <row r="61" spans="1:46" x14ac:dyDescent="0.25">
      <c r="A61" s="10"/>
      <c r="B61" s="5"/>
      <c r="D61" s="58"/>
      <c r="E61" s="58"/>
      <c r="F61" s="59"/>
      <c r="G61" s="58"/>
      <c r="H61" s="59"/>
      <c r="I61" s="126" t="s">
        <v>265</v>
      </c>
      <c r="J61" s="126"/>
      <c r="K61" s="126"/>
      <c r="L61" s="126"/>
      <c r="M61" s="126"/>
      <c r="N61" s="76"/>
      <c r="O61" s="76"/>
      <c r="P61" s="76"/>
      <c r="Q61" s="76"/>
      <c r="R61" s="76">
        <f>SUMIF(Tableau_Lancer_la_requête_à_partir_de_Excel_Files1025678911[Avis Prog],"1-Favorable",Tableau_Lancer_la_requête_à_partir_de_Excel_Files1025678911[''FEDER''])+SUMIF(Tableau_Lancer_la_requête_à_partir_de_Excel_Files102567891113[Avis Prog],"1-Favorable",Tableau_Lancer_la_requête_à_partir_de_Excel_Files102567891113[''FEDER''])+SUMIF(Tableau_Lancer_la_requête_à_partir_de_Excel_Files102567891113[Avis Prog],"2-Favorable sous réserve",Tableau_Lancer_la_requête_à_partir_de_Excel_Files102567891113[''FEDER''])+SUMIF(Tableau_Lancer_la_requête_à_partir_de_Excel_Files10256789111214[Avis Prog],"1-Favorable",Tableau_Lancer_la_requête_à_partir_de_Excel_Files10256789111214[''FEDER''])+SUMIF(Tableau_Lancer_la_requête_à_partir_de_Excel_Files10256789111214[Avis Prog],"2-Favorable sous réserve",Tableau_Lancer_la_requête_à_partir_de_Excel_Files10256789111214[''FEDER''])</f>
        <v>600179.00800000003</v>
      </c>
      <c r="S61" s="76"/>
      <c r="T61" s="76"/>
      <c r="U61" s="76"/>
      <c r="V61" s="76"/>
      <c r="W61" s="76"/>
      <c r="X61" s="76"/>
      <c r="Y61" s="76"/>
      <c r="Z61" s="76"/>
      <c r="AA61" s="76"/>
      <c r="AB61" s="76"/>
      <c r="AC61" s="76"/>
      <c r="AD61" s="76"/>
      <c r="AE61" s="76"/>
      <c r="AF61" s="76"/>
      <c r="AG61" s="76"/>
      <c r="AH61" s="76"/>
      <c r="AI61" s="76"/>
      <c r="AJ61" s="76"/>
      <c r="AK61" s="76"/>
      <c r="AL61" s="76"/>
      <c r="AM61" s="76"/>
      <c r="AN61" s="76"/>
      <c r="AO61" s="76">
        <f>$R$59-R61</f>
        <v>399820.99199999997</v>
      </c>
      <c r="AP61" s="10"/>
      <c r="AQ61" s="10"/>
    </row>
    <row r="62" spans="1:46" x14ac:dyDescent="0.25">
      <c r="A62" s="10"/>
      <c r="B62" s="5"/>
      <c r="D62" s="58"/>
      <c r="E62" s="58"/>
      <c r="F62" s="59"/>
      <c r="G62" s="58"/>
      <c r="H62" s="59"/>
      <c r="I62" s="58"/>
      <c r="J62" s="58"/>
      <c r="K62" s="10"/>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10"/>
      <c r="AQ62" s="10"/>
    </row>
    <row r="63" spans="1:46" x14ac:dyDescent="0.25">
      <c r="A63" s="10"/>
      <c r="B63" s="5"/>
      <c r="D63" s="58"/>
      <c r="E63" s="58"/>
      <c r="F63" s="59"/>
      <c r="G63" s="58"/>
      <c r="H63" s="59"/>
      <c r="I63" s="58"/>
      <c r="J63" s="58"/>
      <c r="K63" s="10"/>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10"/>
      <c r="AQ63" s="10"/>
    </row>
    <row r="64" spans="1:46" x14ac:dyDescent="0.25">
      <c r="A64" s="10"/>
      <c r="B64" s="5"/>
      <c r="D64" s="58"/>
      <c r="E64" s="58"/>
      <c r="F64" s="59"/>
      <c r="G64" s="58"/>
      <c r="H64" s="59"/>
      <c r="I64" s="58"/>
      <c r="J64" s="58"/>
      <c r="K64" s="10"/>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10"/>
      <c r="AQ64" s="10"/>
    </row>
    <row r="65" spans="1:44" x14ac:dyDescent="0.25">
      <c r="A65" s="10"/>
      <c r="B65" s="5"/>
      <c r="D65" s="58"/>
      <c r="E65" s="58"/>
      <c r="F65" s="59"/>
      <c r="G65" s="58"/>
      <c r="H65" s="59"/>
      <c r="I65" s="58"/>
      <c r="J65" s="58"/>
      <c r="K65" s="10"/>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10"/>
      <c r="AQ65" s="10"/>
    </row>
    <row r="66" spans="1:44" hidden="1" x14ac:dyDescent="0.25">
      <c r="A66" s="10"/>
      <c r="B66" s="5"/>
      <c r="D66" s="58"/>
      <c r="E66" s="58"/>
      <c r="F66" s="59"/>
      <c r="G66" s="58"/>
      <c r="H66" s="127" t="s">
        <v>282</v>
      </c>
      <c r="I66" s="127"/>
      <c r="J66" s="127"/>
      <c r="K66" s="127"/>
      <c r="M66" s="58" t="s">
        <v>283</v>
      </c>
      <c r="N66" s="10"/>
      <c r="O66" s="58"/>
      <c r="P66" s="58"/>
      <c r="Q66" s="58" t="s">
        <v>284</v>
      </c>
      <c r="R66" s="58"/>
      <c r="S66" s="58"/>
      <c r="T66" s="58"/>
      <c r="U66" s="10" t="s">
        <v>285</v>
      </c>
      <c r="V66" s="10"/>
      <c r="W66" s="58"/>
      <c r="X66" s="58"/>
      <c r="Y66" s="58"/>
      <c r="Z66" s="58"/>
      <c r="AA66" s="58"/>
      <c r="AB66" s="58"/>
      <c r="AC66" s="58"/>
      <c r="AD66" s="58"/>
      <c r="AE66" s="58"/>
      <c r="AF66" s="58"/>
      <c r="AG66" s="58"/>
      <c r="AH66" s="58"/>
      <c r="AI66" s="58"/>
      <c r="AJ66" s="58"/>
      <c r="AK66" s="58"/>
      <c r="AL66" s="58"/>
      <c r="AM66" s="58"/>
      <c r="AN66" s="58"/>
      <c r="AO66" s="58"/>
      <c r="AP66" s="58"/>
      <c r="AQ66" s="58"/>
      <c r="AR66" s="58"/>
    </row>
    <row r="67" spans="1:44" hidden="1" x14ac:dyDescent="0.25">
      <c r="E67" s="3" t="s">
        <v>85</v>
      </c>
      <c r="F67" s="6" t="s">
        <v>84</v>
      </c>
      <c r="H67" s="80" t="s">
        <v>86</v>
      </c>
      <c r="I67" s="3" t="s">
        <v>87</v>
      </c>
      <c r="J67" s="80" t="s">
        <v>86</v>
      </c>
      <c r="K67" s="3" t="s">
        <v>87</v>
      </c>
      <c r="M67" s="80" t="s">
        <v>86</v>
      </c>
      <c r="N67" s="3" t="s">
        <v>87</v>
      </c>
      <c r="O67" s="80" t="s">
        <v>86</v>
      </c>
      <c r="P67" s="3" t="s">
        <v>87</v>
      </c>
      <c r="Q67" s="80" t="s">
        <v>86</v>
      </c>
      <c r="R67" s="3" t="s">
        <v>87</v>
      </c>
      <c r="S67" s="80" t="s">
        <v>86</v>
      </c>
      <c r="T67" s="3" t="s">
        <v>87</v>
      </c>
      <c r="U67" s="80" t="s">
        <v>86</v>
      </c>
      <c r="V67" s="3" t="s">
        <v>87</v>
      </c>
      <c r="W67" s="80" t="s">
        <v>86</v>
      </c>
      <c r="X67" s="3" t="s">
        <v>87</v>
      </c>
      <c r="AR67" s="3"/>
    </row>
    <row r="68" spans="1:44" hidden="1" x14ac:dyDescent="0.25">
      <c r="D68" t="s">
        <v>58</v>
      </c>
      <c r="E68" s="3">
        <f>H68+J68+M68+O68+Q68+S68+U68+W68</f>
        <v>600179.00800000003</v>
      </c>
      <c r="F68" s="3">
        <f>I68+K68+N68+P68+R68+T68+V68+X68</f>
        <v>721502.00800000003</v>
      </c>
      <c r="H68" s="1">
        <f>SUMIF(Tableau_Lancer_la_requête_à_partir_de_Excel_Files1025678911[Avis Prog],"1-Favorable",Tableau_Lancer_la_requête_à_partir_de_Excel_Files1025678911[''FEDER''])</f>
        <v>188994.58000000002</v>
      </c>
      <c r="I68" s="3">
        <f>SUMIF(Tableau_Lancer_la_requête_à_partir_de_Excel_Files1025678911[Avis Cofimac],"1-Favorable",Tableau_Lancer_la_requête_à_partir_de_Excel_Files1025678911[''FEDER''])</f>
        <v>188994.58000000002</v>
      </c>
      <c r="J68" s="1">
        <f>SUMIF(Tableau_Lancer_la_requête_à_partir_de_Excel_Files1025678911[Avis Prog],"2-Favorable sous réserve",Tableau_Lancer_la_requête_à_partir_de_Excel_Files1025678911[''FEDER''])</f>
        <v>0</v>
      </c>
      <c r="K68" s="3">
        <f>SUMIF(Tableau_Lancer_la_requête_à_partir_de_Excel_Files1025678911[Avis Cofimac],"2-Favorable sous réserve",Tableau_Lancer_la_requête_à_partir_de_Excel_Files1025678911[''FEDER''])</f>
        <v>0</v>
      </c>
      <c r="M68" s="1">
        <f>SUMIF(Tableau_Lancer_la_requête_à_partir_de_Excel_Files102567891113[Avis Prog],"1-Favorable",Tableau_Lancer_la_requête_à_partir_de_Excel_Files102567891113[''FEDER''])</f>
        <v>411184.42800000001</v>
      </c>
      <c r="N68" s="3">
        <f>SUMIF(Tableau_Lancer_la_requête_à_partir_de_Excel_Files102567891113[Avis Cofimac],"1-Favorable",Tableau_Lancer_la_requête_à_partir_de_Excel_Files102567891113[''FEDER''])</f>
        <v>0</v>
      </c>
      <c r="O68" s="1">
        <f>SUMIF(Tableau_Lancer_la_requête_à_partir_de_Excel_Files102567891113[Avis Prog],"2-Favorable sous réserve",Tableau_Lancer_la_requête_à_partir_de_Excel_Files102567891113[''FEDER''])</f>
        <v>0</v>
      </c>
      <c r="P68" s="3">
        <f>SUMIF(Tableau_Lancer_la_requête_à_partir_de_Excel_Files102567891113[Avis Cofimac],"2-Favorable sous réserve",Tableau_Lancer_la_requête_à_partir_de_Excel_Files102567891113[''FEDER''])</f>
        <v>411184.42800000001</v>
      </c>
      <c r="Q68" s="1">
        <f>SUMIF(Tableau_Lancer_la_requête_à_partir_de_Excel_Files10256789111214[Avis Prog],"1-Favorable",Tableau_Lancer_la_requête_à_partir_de_Excel_Files10256789111214[''FEDER''])</f>
        <v>0</v>
      </c>
      <c r="R68" s="3">
        <f>SUMIF(Tableau_Lancer_la_requête_à_partir_de_Excel_Files10256789111214[Avis Cofimac],"1-Favorable",Tableau_Lancer_la_requête_à_partir_de_Excel_Files10256789111214[''FEDER''])</f>
        <v>0</v>
      </c>
      <c r="S68" s="1">
        <f>SUMIF(Tableau_Lancer_la_requête_à_partir_de_Excel_Files10256789111214[Avis Prog],"2-Favorable sous réserve",Tableau_Lancer_la_requête_à_partir_de_Excel_Files10256789111214[''FEDER''])</f>
        <v>0</v>
      </c>
      <c r="T68" s="3">
        <f>SUMIF(Tableau_Lancer_la_requête_à_partir_de_Excel_Files10256789111214[Avis Cofimac],"2-Favorable sous réserve",Tableau_Lancer_la_requête_à_partir_de_Excel_Files10256789111214[''FEDER''])</f>
        <v>121323</v>
      </c>
      <c r="U68" s="1">
        <f>SUMIF(Tableau_Lancer_la_requête_à_partir_de_Excel_Files102567891112[Avis Prog],"1-Favorable",Tableau_Lancer_la_requête_à_partir_de_Excel_Files102567891112[''FEDER''])</f>
        <v>0</v>
      </c>
      <c r="V68" s="3">
        <f>SUMIF(Tableau_Lancer_la_requête_à_partir_de_Excel_Files102567891112[Avis Cofimac],"1-Favorable",Tableau_Lancer_la_requête_à_partir_de_Excel_Files102567891112[''FEDER''])</f>
        <v>0</v>
      </c>
      <c r="W68" s="1">
        <f>SUMIF(Tableau_Lancer_la_requête_à_partir_de_Excel_Files102567891112[Avis Prog],"2-Favorable sous réserve",Tableau_Lancer_la_requête_à_partir_de_Excel_Files102567891112[''FEDER''])</f>
        <v>0</v>
      </c>
      <c r="X68" s="3">
        <f>SUMIF(Tableau_Lancer_la_requête_à_partir_de_Excel_Files102567891112[Avis Cofimac],"2-Favorable sous réserve",Tableau_Lancer_la_requête_à_partir_de_Excel_Files102567891112[''FEDER''])</f>
        <v>0</v>
      </c>
    </row>
    <row r="69" spans="1:44" hidden="1" x14ac:dyDescent="0.25">
      <c r="D69" t="s">
        <v>46</v>
      </c>
      <c r="E69" s="3">
        <f t="shared" ref="E69:E97" si="0">H69+J69+M69+O69+Q69+S69+U69+W69</f>
        <v>40494.5</v>
      </c>
      <c r="F69" s="3">
        <f t="shared" ref="F69:F97" si="1">I69+K69+N69+P69+R69+T69+V69+X69</f>
        <v>50953.7</v>
      </c>
      <c r="H69" s="1">
        <f>SUMIF(Tableau_Lancer_la_requête_à_partir_de_Excel_Files1025678911[Avis Prog],"1-Favorable",Tableau_Lancer_la_requête_à_partir_de_Excel_Files1025678911[Total Etat])</f>
        <v>19500.5</v>
      </c>
      <c r="I69" s="3">
        <f>SUMIF(Tableau_Lancer_la_requête_à_partir_de_Excel_Files1025678911[Avis Cofimac],"1-Favorable",Tableau_Lancer_la_requête_à_partir_de_Excel_Files1025678911[Total Etat])</f>
        <v>19500.5</v>
      </c>
      <c r="J69" s="1">
        <f>SUMIF(Tableau_Lancer_la_requête_à_partir_de_Excel_Files1025678911[Avis Prog],"2-Favorable sous réserve",Tableau_Lancer_la_requête_à_partir_de_Excel_Files1025678911[Total Etat])</f>
        <v>0</v>
      </c>
      <c r="K69" s="3">
        <f>SUMIF(Tableau_Lancer_la_requête_à_partir_de_Excel_Files1025678911[Avis Cofimac],"2-Favorable sous réserve",Tableau_Lancer_la_requête_à_partir_de_Excel_Files1025678911[Total Etat])</f>
        <v>0</v>
      </c>
      <c r="M69" s="1">
        <f>SUMIF(Tableau_Lancer_la_requête_à_partir_de_Excel_Files102567891113[Avis Prog],"1-Favorable",Tableau_Lancer_la_requête_à_partir_de_Excel_Files102567891113[Total Etat])</f>
        <v>20994</v>
      </c>
      <c r="N69" s="3">
        <f>SUMIF(Tableau_Lancer_la_requête_à_partir_de_Excel_Files102567891113[Avis Cofimac],"1-Favorable",Tableau_Lancer_la_requête_à_partir_de_Excel_Files102567891113[Total Etat])</f>
        <v>0</v>
      </c>
      <c r="O69" s="1">
        <f>SUMIF(Tableau_Lancer_la_requête_à_partir_de_Excel_Files102567891113[Avis Prog],"2-Favorable sous réserve",Tableau_Lancer_la_requête_à_partir_de_Excel_Files102567891113[Total Etat])</f>
        <v>0</v>
      </c>
      <c r="P69" s="3">
        <f>SUMIF(Tableau_Lancer_la_requête_à_partir_de_Excel_Files102567891113[Avis Cofimac],"2-Favorable sous réserve",Tableau_Lancer_la_requête_à_partir_de_Excel_Files102567891113[Total Etat])</f>
        <v>20994</v>
      </c>
      <c r="Q69" s="1">
        <f>SUMIF(Tableau_Lancer_la_requête_à_partir_de_Excel_Files10256789111214[Avis Prog],"1-Favorable",Tableau_Lancer_la_requête_à_partir_de_Excel_Files10256789111214[Total Etat])</f>
        <v>0</v>
      </c>
      <c r="R69" s="3">
        <f>SUMIF(Tableau_Lancer_la_requête_à_partir_de_Excel_Files10256789111214[Avis Cofimac],"1-Favorable",Tableau_Lancer_la_requête_à_partir_de_Excel_Files10256789111214[Total Etat])</f>
        <v>0</v>
      </c>
      <c r="S69" s="1">
        <f>SUMIF(Tableau_Lancer_la_requête_à_partir_de_Excel_Files10256789111214[Avis Prog],"2-Favorable sous réserve",Tableau_Lancer_la_requête_à_partir_de_Excel_Files10256789111214[Total Etat])</f>
        <v>0</v>
      </c>
      <c r="T69" s="3">
        <f>SUMIF(Tableau_Lancer_la_requête_à_partir_de_Excel_Files10256789111214[Avis Cofimac],"2-Favorable sous réserve",Tableau_Lancer_la_requête_à_partir_de_Excel_Files10256789111214[Total Etat])</f>
        <v>0</v>
      </c>
      <c r="U69" s="1">
        <f>SUMIF(Tableau_Lancer_la_requête_à_partir_de_Excel_Files102567891112[Avis Prog],"1-Favorable",Tableau_Lancer_la_requête_à_partir_de_Excel_Files102567891112[Total Etat])</f>
        <v>0</v>
      </c>
      <c r="V69" s="3">
        <f>SUMIF(Tableau_Lancer_la_requête_à_partir_de_Excel_Files102567891112[Avis Cofimac],"1-Favorable",Tableau_Lancer_la_requête_à_partir_de_Excel_Files102567891112[Total Etat])</f>
        <v>0</v>
      </c>
      <c r="W69" s="1">
        <f>SUMIF(Tableau_Lancer_la_requête_à_partir_de_Excel_Files102567891112[Avis Prog],"2-Favorable sous réserve",Tableau_Lancer_la_requête_à_partir_de_Excel_Files102567891112[Total Etat])</f>
        <v>0</v>
      </c>
      <c r="X69" s="3">
        <f>SUMIF(Tableau_Lancer_la_requête_à_partir_de_Excel_Files102567891112[Avis Cofimac],"2-Favorable sous réserve",Tableau_Lancer_la_requête_à_partir_de_Excel_Files102567891112[Total Etat])</f>
        <v>10459.200000000001</v>
      </c>
    </row>
    <row r="70" spans="1:44" hidden="1" x14ac:dyDescent="0.25">
      <c r="D70" t="s">
        <v>47</v>
      </c>
      <c r="E70" s="3">
        <f t="shared" si="0"/>
        <v>331107.81000000006</v>
      </c>
      <c r="F70" s="3">
        <f t="shared" si="1"/>
        <v>390403.36000000004</v>
      </c>
      <c r="H70" s="1">
        <f>SUMIF(Tableau_Lancer_la_requête_à_partir_de_Excel_Files1025678911[Avis Prog],"1-Favorable",Tableau_Lancer_la_requête_à_partir_de_Excel_Files1025678911[Total Régions])</f>
        <v>115822</v>
      </c>
      <c r="I70" s="3">
        <f>SUMIF(Tableau_Lancer_la_requête_à_partir_de_Excel_Files1025678911[Avis Cofimac],"1-Favorable",Tableau_Lancer_la_requête_à_partir_de_Excel_Files1025678911[Total Régions])</f>
        <v>115822</v>
      </c>
      <c r="J70" s="1">
        <f>SUMIF(Tableau_Lancer_la_requête_à_partir_de_Excel_Files1025678911[Avis Prog],"2-Favorable sous réserve",Tableau_Lancer_la_requête_à_partir_de_Excel_Files1025678911[Total Régions])</f>
        <v>0</v>
      </c>
      <c r="K70" s="3">
        <f>SUMIF(Tableau_Lancer_la_requête_à_partir_de_Excel_Files1025678911[Avis Cofimac],"2-Favorable sous réserve",Tableau_Lancer_la_requête_à_partir_de_Excel_Files1025678911[Total Régions])</f>
        <v>0</v>
      </c>
      <c r="M70" s="1">
        <f>SUMIF(Tableau_Lancer_la_requête_à_partir_de_Excel_Files102567891113[Avis Prog],"1-Favorable",Tableau_Lancer_la_requête_à_partir_de_Excel_Files102567891113[Total Régions])</f>
        <v>215285.81000000003</v>
      </c>
      <c r="N70" s="3">
        <f>SUMIF(Tableau_Lancer_la_requête_à_partir_de_Excel_Files102567891113[Avis Cofimac],"1-Favorable",Tableau_Lancer_la_requête_à_partir_de_Excel_Files102567891113[Total Régions])</f>
        <v>0</v>
      </c>
      <c r="O70" s="1">
        <f>SUMIF(Tableau_Lancer_la_requête_à_partir_de_Excel_Files102567891113[Avis Prog],"2-Favorable sous réserve",Tableau_Lancer_la_requête_à_partir_de_Excel_Files102567891113[Total Régions])</f>
        <v>0</v>
      </c>
      <c r="P70" s="3">
        <f>SUMIF(Tableau_Lancer_la_requête_à_partir_de_Excel_Files102567891113[Avis Cofimac],"2-Favorable sous réserve",Tableau_Lancer_la_requête_à_partir_de_Excel_Files102567891113[Total Régions])</f>
        <v>215285.81000000003</v>
      </c>
      <c r="Q70" s="1">
        <f>SUMIF(Tableau_Lancer_la_requête_à_partir_de_Excel_Files10256789111214[Avis Prog],"1-Favorable",Tableau_Lancer_la_requête_à_partir_de_Excel_Files10256789111214[Total Régions])</f>
        <v>0</v>
      </c>
      <c r="R70" s="3">
        <f>SUMIF(Tableau_Lancer_la_requête_à_partir_de_Excel_Files10256789111214[Avis Cofimac],"1-Favorable",Tableau_Lancer_la_requête_à_partir_de_Excel_Files10256789111214[Total Régions])</f>
        <v>0</v>
      </c>
      <c r="S70" s="1">
        <f>SUMIF(Tableau_Lancer_la_requête_à_partir_de_Excel_Files10256789111214[Avis Prog],"2-Favorable sous réserve",Tableau_Lancer_la_requête_à_partir_de_Excel_Files10256789111214[Total Régions])</f>
        <v>0</v>
      </c>
      <c r="T70" s="3">
        <f>SUMIF(Tableau_Lancer_la_requête_à_partir_de_Excel_Files10256789111214[Avis Cofimac],"2-Favorable sous réserve",Tableau_Lancer_la_requête_à_partir_de_Excel_Files10256789111214[Total Régions])</f>
        <v>48563.55</v>
      </c>
      <c r="U70" s="1">
        <f>SUMIF(Tableau_Lancer_la_requête_à_partir_de_Excel_Files102567891112[Avis Prog],"1-Favorable",Tableau_Lancer_la_requête_à_partir_de_Excel_Files102567891112[Total Régions])</f>
        <v>0</v>
      </c>
      <c r="V70" s="3">
        <f>SUMIF(Tableau_Lancer_la_requête_à_partir_de_Excel_Files102567891112[Avis Cofimac],"1-Favorable",Tableau_Lancer_la_requête_à_partir_de_Excel_Files102567891112[Total Régions])</f>
        <v>0</v>
      </c>
      <c r="W70" s="1">
        <f>SUMIF(Tableau_Lancer_la_requête_à_partir_de_Excel_Files102567891112[Avis Prog],"2-Favorable sous réserve",Tableau_Lancer_la_requête_à_partir_de_Excel_Files102567891112[Total Régions])</f>
        <v>0</v>
      </c>
      <c r="X70" s="3">
        <f>SUMIF(Tableau_Lancer_la_requête_à_partir_de_Excel_Files102567891112[Avis Cofimac],"2-Favorable sous réserve",Tableau_Lancer_la_requête_à_partir_de_Excel_Files102567891112[Total Régions])</f>
        <v>10732</v>
      </c>
    </row>
    <row r="71" spans="1:44" hidden="1" x14ac:dyDescent="0.25">
      <c r="D71" s="3" t="s">
        <v>59</v>
      </c>
      <c r="E71" s="3">
        <f t="shared" si="0"/>
        <v>0</v>
      </c>
      <c r="F71" s="3">
        <f t="shared" si="1"/>
        <v>0</v>
      </c>
      <c r="H71" s="1">
        <f>SUMIF(Tableau_Lancer_la_requête_à_partir_de_Excel_Files1025678911[Avis Prog],"1-Favorable",Tableau_Lancer_la_requête_à_partir_de_Excel_Files1025678911[''ALPC''])</f>
        <v>0</v>
      </c>
      <c r="I71" s="3">
        <f>SUMIF(Tableau_Lancer_la_requête_à_partir_de_Excel_Files1025678911[Avis Cofimac],"1-Favorable",Tableau_Lancer_la_requête_à_partir_de_Excel_Files1025678911[''ALPC''])</f>
        <v>0</v>
      </c>
      <c r="J71" s="1">
        <f>SUMIF(Tableau_Lancer_la_requête_à_partir_de_Excel_Files1025678911[Avis Prog],"2-Favorable sous réserve",Tableau_Lancer_la_requête_à_partir_de_Excel_Files1025678911[''ALPC''])</f>
        <v>0</v>
      </c>
      <c r="K71" s="3">
        <f>SUMIF(Tableau_Lancer_la_requête_à_partir_de_Excel_Files1025678911[Avis Cofimac],"2-Favorable sous réserve",Tableau_Lancer_la_requête_à_partir_de_Excel_Files1025678911[''ALPC''])</f>
        <v>0</v>
      </c>
      <c r="M71" s="1">
        <f>SUMIF(Tableau_Lancer_la_requête_à_partir_de_Excel_Files102567891113[Avis Prog],"1-Favorable",Tableau_Lancer_la_requête_à_partir_de_Excel_Files102567891113[''ALPC''])</f>
        <v>0</v>
      </c>
      <c r="N71" s="3">
        <f>SUMIF(Tableau_Lancer_la_requête_à_partir_de_Excel_Files102567891113[Avis Cofimac],"1-Favorable",Tableau_Lancer_la_requête_à_partir_de_Excel_Files102567891113[''ALPC''])</f>
        <v>0</v>
      </c>
      <c r="O71" s="1">
        <f>SUMIF(Tableau_Lancer_la_requête_à_partir_de_Excel_Files102567891113[Avis Prog],"2-Favorable sous réserve",Tableau_Lancer_la_requête_à_partir_de_Excel_Files102567891113[''ALPC''])</f>
        <v>0</v>
      </c>
      <c r="P71" s="3">
        <f>SUMIF(Tableau_Lancer_la_requête_à_partir_de_Excel_Files102567891113[Avis Cofimac],"2-Favorable sous réserve",Tableau_Lancer_la_requête_à_partir_de_Excel_Files102567891113[''ALPC''])</f>
        <v>0</v>
      </c>
      <c r="Q71" s="1">
        <f>SUMIF(Tableau_Lancer_la_requête_à_partir_de_Excel_Files10256789111214[Avis Prog],"1-Favorable",Tableau_Lancer_la_requête_à_partir_de_Excel_Files10256789111214[''ALPC''])</f>
        <v>0</v>
      </c>
      <c r="R71" s="3">
        <f>SUMIF(Tableau_Lancer_la_requête_à_partir_de_Excel_Files10256789111214[Avis Cofimac],"1-Favorable",Tableau_Lancer_la_requête_à_partir_de_Excel_Files10256789111214[''ALPC''])</f>
        <v>0</v>
      </c>
      <c r="S71" s="1">
        <f>SUMIF(Tableau_Lancer_la_requête_à_partir_de_Excel_Files10256789111214[Avis Prog],"2-Favorable sous réserve",Tableau_Lancer_la_requête_à_partir_de_Excel_Files10256789111214[''ALPC''])</f>
        <v>0</v>
      </c>
      <c r="T71" s="3">
        <f>SUMIF(Tableau_Lancer_la_requête_à_partir_de_Excel_Files10256789111214[Avis Cofimac],"2-Favorable sous réserve",Tableau_Lancer_la_requête_à_partir_de_Excel_Files10256789111214[''ALPC''])</f>
        <v>0</v>
      </c>
      <c r="U71" s="1">
        <f>SUMIF(Tableau_Lancer_la_requête_à_partir_de_Excel_Files102567891112[Avis Prog],"1-Favorable",Tableau_Lancer_la_requête_à_partir_de_Excel_Files102567891112[''ALPC''])</f>
        <v>0</v>
      </c>
      <c r="V71" s="3">
        <f>SUMIF(Tableau_Lancer_la_requête_à_partir_de_Excel_Files102567891112[Avis Cofimac],"1-Favorable",Tableau_Lancer_la_requête_à_partir_de_Excel_Files102567891112[''ALPC''])</f>
        <v>0</v>
      </c>
      <c r="W71" s="1">
        <f>SUMIF(Tableau_Lancer_la_requête_à_partir_de_Excel_Files102567891112[Avis Prog],"2-Favorable sous réserve",Tableau_Lancer_la_requête_à_partir_de_Excel_Files102567891112[''ALPC''])</f>
        <v>0</v>
      </c>
      <c r="X71" s="3">
        <f>SUMIF(Tableau_Lancer_la_requête_à_partir_de_Excel_Files102567891112[Avis Cofimac],"2-Favorable sous réserve",Tableau_Lancer_la_requête_à_partir_de_Excel_Files102567891112[''ALPC''])</f>
        <v>0</v>
      </c>
    </row>
    <row r="72" spans="1:44" hidden="1" x14ac:dyDescent="0.25">
      <c r="D72" s="3" t="s">
        <v>60</v>
      </c>
      <c r="E72" s="3">
        <f t="shared" si="0"/>
        <v>331107.81000000006</v>
      </c>
      <c r="F72" s="3">
        <f t="shared" si="1"/>
        <v>331107.81000000006</v>
      </c>
      <c r="H72" s="1">
        <f>SUMIF(Tableau_Lancer_la_requête_à_partir_de_Excel_Files1025678911[Avis Prog],"1-Favorable",Tableau_Lancer_la_requête_à_partir_de_Excel_Files1025678911[''AURA''])</f>
        <v>115822</v>
      </c>
      <c r="I72" s="3">
        <f>SUMIF(Tableau_Lancer_la_requête_à_partir_de_Excel_Files1025678911[Avis Cofimac],"1-Favorable",Tableau_Lancer_la_requête_à_partir_de_Excel_Files1025678911[''AURA''])</f>
        <v>115822</v>
      </c>
      <c r="J72" s="1">
        <f>SUMIF(Tableau_Lancer_la_requête_à_partir_de_Excel_Files1025678911[Avis Prog],"2-Favorable sous réserve",Tableau_Lancer_la_requête_à_partir_de_Excel_Files1025678911[''AURA''])</f>
        <v>0</v>
      </c>
      <c r="K72" s="3">
        <f>SUMIF(Tableau_Lancer_la_requête_à_partir_de_Excel_Files1025678911[Avis Cofimac],"2-Favorable sous réserve",Tableau_Lancer_la_requête_à_partir_de_Excel_Files1025678911[''AURA''])</f>
        <v>0</v>
      </c>
      <c r="M72" s="1">
        <f>SUMIF(Tableau_Lancer_la_requête_à_partir_de_Excel_Files102567891113[Avis Prog],"1-Favorable",Tableau_Lancer_la_requête_à_partir_de_Excel_Files102567891113[''AURA''])</f>
        <v>215285.81000000003</v>
      </c>
      <c r="N72" s="3">
        <f>SUMIF(Tableau_Lancer_la_requête_à_partir_de_Excel_Files102567891113[Avis Cofimac],"1-Favorable",Tableau_Lancer_la_requête_à_partir_de_Excel_Files102567891113[''AURA''])</f>
        <v>0</v>
      </c>
      <c r="O72" s="1">
        <f>SUMIF(Tableau_Lancer_la_requête_à_partir_de_Excel_Files102567891113[Avis Prog],"2-Favorable sous réserve",Tableau_Lancer_la_requête_à_partir_de_Excel_Files102567891113[''AURA''])</f>
        <v>0</v>
      </c>
      <c r="P72" s="3">
        <f>SUMIF(Tableau_Lancer_la_requête_à_partir_de_Excel_Files102567891113[Avis Cofimac],"2-Favorable sous réserve",Tableau_Lancer_la_requête_à_partir_de_Excel_Files102567891113[''AURA''])</f>
        <v>215285.81000000003</v>
      </c>
      <c r="Q72" s="1">
        <f>SUMIF(Tableau_Lancer_la_requête_à_partir_de_Excel_Files10256789111214[Avis Prog],"1-Favorable",Tableau_Lancer_la_requête_à_partir_de_Excel_Files10256789111214[''AURA''])</f>
        <v>0</v>
      </c>
      <c r="R72" s="3">
        <f>SUMIF(Tableau_Lancer_la_requête_à_partir_de_Excel_Files10256789111214[Avis Cofimac],"1-Favorable",Tableau_Lancer_la_requête_à_partir_de_Excel_Files10256789111214[''AURA''])</f>
        <v>0</v>
      </c>
      <c r="S72" s="1">
        <f>SUMIF(Tableau_Lancer_la_requête_à_partir_de_Excel_Files10256789111214[Avis Prog],"2-Favorable sous réserve",Tableau_Lancer_la_requête_à_partir_de_Excel_Files10256789111214[''AURA''])</f>
        <v>0</v>
      </c>
      <c r="T72" s="3">
        <f>SUMIF(Tableau_Lancer_la_requête_à_partir_de_Excel_Files10256789111214[Avis Cofimac],"2-Favorable sous réserve",Tableau_Lancer_la_requête_à_partir_de_Excel_Files10256789111214[''AURA''])</f>
        <v>0</v>
      </c>
      <c r="U72" s="1">
        <f>SUMIF(Tableau_Lancer_la_requête_à_partir_de_Excel_Files102567891112[Avis Prog],"1-Favorable",Tableau_Lancer_la_requête_à_partir_de_Excel_Files102567891112[''AURA''])</f>
        <v>0</v>
      </c>
      <c r="V72" s="3">
        <f>SUMIF(Tableau_Lancer_la_requête_à_partir_de_Excel_Files102567891112[Avis Cofimac],"1-Favorable",Tableau_Lancer_la_requête_à_partir_de_Excel_Files102567891112[''AURA''])</f>
        <v>0</v>
      </c>
      <c r="W72" s="1">
        <f>SUMIF(Tableau_Lancer_la_requête_à_partir_de_Excel_Files102567891112[Avis Prog],"2-Favorable sous réserve",Tableau_Lancer_la_requête_à_partir_de_Excel_Files102567891112[''AURA''])</f>
        <v>0</v>
      </c>
      <c r="X72" s="3">
        <f>SUMIF(Tableau_Lancer_la_requête_à_partir_de_Excel_Files102567891112[Avis Cofimac],"2-Favorable sous réserve",Tableau_Lancer_la_requête_à_partir_de_Excel_Files102567891112[''AURA''])</f>
        <v>0</v>
      </c>
    </row>
    <row r="73" spans="1:44" hidden="1" x14ac:dyDescent="0.25">
      <c r="D73" s="3" t="s">
        <v>61</v>
      </c>
      <c r="E73" s="3">
        <f t="shared" si="0"/>
        <v>0</v>
      </c>
      <c r="F73" s="3">
        <f t="shared" si="1"/>
        <v>0</v>
      </c>
      <c r="H73" s="1">
        <f>SUMIF(Tableau_Lancer_la_requête_à_partir_de_Excel_Files1025678911[Avis Prog],"1-Favorable",Tableau_Lancer_la_requête_à_partir_de_Excel_Files1025678911[''BFC''])</f>
        <v>0</v>
      </c>
      <c r="I73" s="3">
        <f>SUMIF(Tableau_Lancer_la_requête_à_partir_de_Excel_Files1025678911[Avis Cofimac],"1-Favorable",Tableau_Lancer_la_requête_à_partir_de_Excel_Files1025678911[''BFC''])</f>
        <v>0</v>
      </c>
      <c r="J73" s="1">
        <f>SUMIF(Tableau_Lancer_la_requête_à_partir_de_Excel_Files1025678911[Avis Prog],"2-Favorable sous réserve",Tableau_Lancer_la_requête_à_partir_de_Excel_Files1025678911[''BFC''])</f>
        <v>0</v>
      </c>
      <c r="K73" s="3">
        <f>SUMIF(Tableau_Lancer_la_requête_à_partir_de_Excel_Files1025678911[Avis Cofimac],"2-Favorable sous réserve",Tableau_Lancer_la_requête_à_partir_de_Excel_Files1025678911[''BFC''])</f>
        <v>0</v>
      </c>
      <c r="M73" s="1">
        <f>SUMIF(Tableau_Lancer_la_requête_à_partir_de_Excel_Files102567891113[Avis Prog],"1-Favorable",Tableau_Lancer_la_requête_à_partir_de_Excel_Files102567891113[''BFC''])</f>
        <v>0</v>
      </c>
      <c r="N73" s="3">
        <f>SUMIF(Tableau_Lancer_la_requête_à_partir_de_Excel_Files102567891113[Avis Cofimac],"1-Favorable",Tableau_Lancer_la_requête_à_partir_de_Excel_Files102567891113[''BFC''])</f>
        <v>0</v>
      </c>
      <c r="O73" s="1">
        <f>SUMIF(Tableau_Lancer_la_requête_à_partir_de_Excel_Files102567891113[Avis Prog],"2-Favorable sous réserve",Tableau_Lancer_la_requête_à_partir_de_Excel_Files102567891113[''BFC''])</f>
        <v>0</v>
      </c>
      <c r="P73" s="3">
        <f>SUMIF(Tableau_Lancer_la_requête_à_partir_de_Excel_Files102567891113[Avis Cofimac],"2-Favorable sous réserve",Tableau_Lancer_la_requête_à_partir_de_Excel_Files102567891113[''BFC''])</f>
        <v>0</v>
      </c>
      <c r="Q73" s="1">
        <f>SUMIF(Tableau_Lancer_la_requête_à_partir_de_Excel_Files10256789111214[Avis Prog],"1-Favorable",Tableau_Lancer_la_requête_à_partir_de_Excel_Files10256789111214[''BFC''])</f>
        <v>0</v>
      </c>
      <c r="R73" s="3">
        <f>SUMIF(Tableau_Lancer_la_requête_à_partir_de_Excel_Files10256789111214[Avis Cofimac],"1-Favorable",Tableau_Lancer_la_requête_à_partir_de_Excel_Files10256789111214[''BFC''])</f>
        <v>0</v>
      </c>
      <c r="S73" s="1">
        <f>SUMIF(Tableau_Lancer_la_requête_à_partir_de_Excel_Files10256789111214[Avis Prog],"2-Favorable sous réserve",Tableau_Lancer_la_requête_à_partir_de_Excel_Files10256789111214[''BFC''])</f>
        <v>0</v>
      </c>
      <c r="T73" s="3">
        <f>SUMIF(Tableau_Lancer_la_requête_à_partir_de_Excel_Files10256789111214[Avis Cofimac],"2-Favorable sous réserve",Tableau_Lancer_la_requête_à_partir_de_Excel_Files10256789111214[''BFC''])</f>
        <v>0</v>
      </c>
      <c r="U73" s="1">
        <f>SUMIF(Tableau_Lancer_la_requête_à_partir_de_Excel_Files102567891112[Avis Prog],"1-Favorable",Tableau_Lancer_la_requête_à_partir_de_Excel_Files102567891112[''BFC''])</f>
        <v>0</v>
      </c>
      <c r="V73" s="3">
        <f>SUMIF(Tableau_Lancer_la_requête_à_partir_de_Excel_Files102567891112[Avis Cofimac],"1-Favorable",Tableau_Lancer_la_requête_à_partir_de_Excel_Files102567891112[''BFC''])</f>
        <v>0</v>
      </c>
      <c r="W73" s="1">
        <f>SUMIF(Tableau_Lancer_la_requête_à_partir_de_Excel_Files102567891112[Avis Prog],"2-Favorable sous réserve",Tableau_Lancer_la_requête_à_partir_de_Excel_Files102567891112[''BFC''])</f>
        <v>0</v>
      </c>
      <c r="X73" s="3">
        <f>SUMIF(Tableau_Lancer_la_requête_à_partir_de_Excel_Files102567891112[Avis Cofimac],"2-Favorable sous réserve",Tableau_Lancer_la_requête_à_partir_de_Excel_Files102567891112[''BFC''])</f>
        <v>0</v>
      </c>
    </row>
    <row r="74" spans="1:44" hidden="1" x14ac:dyDescent="0.25">
      <c r="D74" s="3" t="s">
        <v>62</v>
      </c>
      <c r="E74" s="3">
        <f t="shared" si="0"/>
        <v>0</v>
      </c>
      <c r="F74" s="3">
        <f t="shared" si="1"/>
        <v>59295.55</v>
      </c>
      <c r="H74" s="1">
        <f>SUMIF(Tableau_Lancer_la_requête_à_partir_de_Excel_Files1025678911[Avis Prog],"1-Favorable",Tableau_Lancer_la_requête_à_partir_de_Excel_Files1025678911[''LRMP''])</f>
        <v>0</v>
      </c>
      <c r="I74" s="3">
        <f>SUMIF(Tableau_Lancer_la_requête_à_partir_de_Excel_Files1025678911[Avis Cofimac],"1-Favorable",Tableau_Lancer_la_requête_à_partir_de_Excel_Files1025678911[''LRMP''])</f>
        <v>0</v>
      </c>
      <c r="J74" s="1">
        <f>SUMIF(Tableau_Lancer_la_requête_à_partir_de_Excel_Files1025678911[Avis Prog],"2-Favorable sous réserve",Tableau_Lancer_la_requête_à_partir_de_Excel_Files1025678911[''LRMP''])</f>
        <v>0</v>
      </c>
      <c r="K74" s="3">
        <f>SUMIF(Tableau_Lancer_la_requête_à_partir_de_Excel_Files1025678911[Avis Cofimac],"2-Favorable sous réserve",Tableau_Lancer_la_requête_à_partir_de_Excel_Files1025678911[''LRMP''])</f>
        <v>0</v>
      </c>
      <c r="M74" s="1">
        <f>SUMIF(Tableau_Lancer_la_requête_à_partir_de_Excel_Files102567891113[Avis Prog],"1-Favorable",Tableau_Lancer_la_requête_à_partir_de_Excel_Files102567891113[''LRMP''])</f>
        <v>0</v>
      </c>
      <c r="N74" s="3">
        <f>SUMIF(Tableau_Lancer_la_requête_à_partir_de_Excel_Files102567891113[Avis Cofimac],"1-Favorable",Tableau_Lancer_la_requête_à_partir_de_Excel_Files102567891113[''LRMP''])</f>
        <v>0</v>
      </c>
      <c r="O74" s="1">
        <f>SUMIF(Tableau_Lancer_la_requête_à_partir_de_Excel_Files102567891113[Avis Prog],"2-Favorable sous réserve",Tableau_Lancer_la_requête_à_partir_de_Excel_Files102567891113[''LRMP''])</f>
        <v>0</v>
      </c>
      <c r="P74" s="3">
        <f>SUMIF(Tableau_Lancer_la_requête_à_partir_de_Excel_Files102567891113[Avis Cofimac],"2-Favorable sous réserve",Tableau_Lancer_la_requête_à_partir_de_Excel_Files102567891113[''LRMP''])</f>
        <v>0</v>
      </c>
      <c r="Q74" s="1">
        <f>SUMIF(Tableau_Lancer_la_requête_à_partir_de_Excel_Files10256789111214[Avis Prog],"1-Favorable",Tableau_Lancer_la_requête_à_partir_de_Excel_Files10256789111214[''LRMP''])</f>
        <v>0</v>
      </c>
      <c r="R74" s="3">
        <f>SUMIF(Tableau_Lancer_la_requête_à_partir_de_Excel_Files10256789111214[Avis Cofimac],"1-Favorable",Tableau_Lancer_la_requête_à_partir_de_Excel_Files10256789111214[''LRMP''])</f>
        <v>0</v>
      </c>
      <c r="S74" s="1">
        <f>SUMIF(Tableau_Lancer_la_requête_à_partir_de_Excel_Files10256789111214[Avis Prog],"2-Favorable sous réserve",Tableau_Lancer_la_requête_à_partir_de_Excel_Files10256789111214[''LRMP''])</f>
        <v>0</v>
      </c>
      <c r="T74" s="3">
        <f>SUMIF(Tableau_Lancer_la_requête_à_partir_de_Excel_Files10256789111214[Avis Cofimac],"2-Favorable sous réserve",Tableau_Lancer_la_requête_à_partir_de_Excel_Files10256789111214[''LRMP''])</f>
        <v>48563.55</v>
      </c>
      <c r="U74" s="1">
        <f>SUMIF(Tableau_Lancer_la_requête_à_partir_de_Excel_Files102567891112[Avis Prog],"1-Favorable",Tableau_Lancer_la_requête_à_partir_de_Excel_Files102567891112[''LRMP''])</f>
        <v>0</v>
      </c>
      <c r="V74" s="3">
        <f>SUMIF(Tableau_Lancer_la_requête_à_partir_de_Excel_Files102567891112[Avis Cofimac],"1-Favorable",Tableau_Lancer_la_requête_à_partir_de_Excel_Files102567891112[''LRMP''])</f>
        <v>0</v>
      </c>
      <c r="W74" s="1">
        <f>SUMIF(Tableau_Lancer_la_requête_à_partir_de_Excel_Files102567891112[Avis Prog],"2-Favorable sous réserve",Tableau_Lancer_la_requête_à_partir_de_Excel_Files102567891112[''LRMP''])</f>
        <v>0</v>
      </c>
      <c r="X74" s="3">
        <f>SUMIF(Tableau_Lancer_la_requête_à_partir_de_Excel_Files102567891112[Avis Cofimac],"2-Favorable sous réserve",Tableau_Lancer_la_requête_à_partir_de_Excel_Files102567891112[''LRMP''])</f>
        <v>10732</v>
      </c>
    </row>
    <row r="75" spans="1:44" hidden="1" x14ac:dyDescent="0.25">
      <c r="D75" t="s">
        <v>48</v>
      </c>
      <c r="E75" s="3">
        <f t="shared" si="0"/>
        <v>3765</v>
      </c>
      <c r="F75" s="3">
        <f t="shared" si="1"/>
        <v>24111</v>
      </c>
      <c r="H75" s="1">
        <f>SUMIF(Tableau_Lancer_la_requête_à_partir_de_Excel_Files1025678911[Avis Prog],"1-Favorable",Tableau_Lancer_la_requête_à_partir_de_Excel_Files1025678911[Total Dpts])</f>
        <v>0</v>
      </c>
      <c r="I75" s="3">
        <f>SUMIF(Tableau_Lancer_la_requête_à_partir_de_Excel_Files1025678911[Avis Cofimac],"1-Favorable",Tableau_Lancer_la_requête_à_partir_de_Excel_Files1025678911[Total Dpts])</f>
        <v>0</v>
      </c>
      <c r="J75" s="1">
        <f>SUMIF(Tableau_Lancer_la_requête_à_partir_de_Excel_Files1025678911[Avis Prog],"2-Favorable sous réserve",Tableau_Lancer_la_requête_à_partir_de_Excel_Files1025678911[Total Dpts])</f>
        <v>0</v>
      </c>
      <c r="K75" s="3">
        <f>SUMIF(Tableau_Lancer_la_requête_à_partir_de_Excel_Files1025678911[Avis Cofimac],"2-Favorable sous réserve",Tableau_Lancer_la_requête_à_partir_de_Excel_Files1025678911[Total Dpts])</f>
        <v>0</v>
      </c>
      <c r="M75" s="1">
        <f>SUMIF(Tableau_Lancer_la_requête_à_partir_de_Excel_Files102567891113[Avis Prog],"1-Favorable",Tableau_Lancer_la_requête_à_partir_de_Excel_Files102567891113[Total Dpts])</f>
        <v>3765</v>
      </c>
      <c r="N75" s="3">
        <f>SUMIF(Tableau_Lancer_la_requête_à_partir_de_Excel_Files102567891113[Avis Cofimac],"1-Favorable",Tableau_Lancer_la_requête_à_partir_de_Excel_Files102567891113[Total Dpts])</f>
        <v>0</v>
      </c>
      <c r="O75" s="1">
        <f>SUMIF(Tableau_Lancer_la_requête_à_partir_de_Excel_Files102567891113[Avis Prog],"2-Favorable sous réserve",Tableau_Lancer_la_requête_à_partir_de_Excel_Files102567891113[Total Dpts])</f>
        <v>0</v>
      </c>
      <c r="P75" s="3">
        <f>SUMIF(Tableau_Lancer_la_requête_à_partir_de_Excel_Files102567891113[Avis Cofimac],"2-Favorable sous réserve",Tableau_Lancer_la_requête_à_partir_de_Excel_Files102567891113[Total Dpts])</f>
        <v>3765</v>
      </c>
      <c r="Q75" s="1">
        <f>SUMIF(Tableau_Lancer_la_requête_à_partir_de_Excel_Files10256789111214[Avis Prog],"1-Favorable",Tableau_Lancer_la_requête_à_partir_de_Excel_Files10256789111214[Total Dpts])</f>
        <v>0</v>
      </c>
      <c r="R75" s="3">
        <f>SUMIF(Tableau_Lancer_la_requête_à_partir_de_Excel_Files10256789111214[Avis Cofimac],"1-Favorable",Tableau_Lancer_la_requête_à_partir_de_Excel_Files10256789111214[Total Dpts])</f>
        <v>0</v>
      </c>
      <c r="S75" s="1">
        <f>SUMIF(Tableau_Lancer_la_requête_à_partir_de_Excel_Files10256789111214[Avis Prog],"2-Favorable sous réserve",Tableau_Lancer_la_requête_à_partir_de_Excel_Files10256789111214[Total Dpts])</f>
        <v>0</v>
      </c>
      <c r="T75" s="3">
        <f>SUMIF(Tableau_Lancer_la_requête_à_partir_de_Excel_Files10256789111214[Avis Cofimac],"2-Favorable sous réserve",Tableau_Lancer_la_requête_à_partir_de_Excel_Files10256789111214[Total Dpts])</f>
        <v>20346</v>
      </c>
      <c r="U75" s="1">
        <f>SUMIF(Tableau_Lancer_la_requête_à_partir_de_Excel_Files102567891112[Avis Prog],"1-Favorable",Tableau_Lancer_la_requête_à_partir_de_Excel_Files102567891112[Total Dpts])</f>
        <v>0</v>
      </c>
      <c r="V75" s="3">
        <f>SUMIF(Tableau_Lancer_la_requête_à_partir_de_Excel_Files102567891112[Avis Cofimac],"1-Favorable",Tableau_Lancer_la_requête_à_partir_de_Excel_Files102567891112[Total Dpts])</f>
        <v>0</v>
      </c>
      <c r="W75" s="1">
        <f>SUMIF(Tableau_Lancer_la_requête_à_partir_de_Excel_Files102567891112[Avis Prog],"2-Favorable sous réserve",Tableau_Lancer_la_requête_à_partir_de_Excel_Files102567891112[Total Dpts])</f>
        <v>0</v>
      </c>
      <c r="X75" s="3">
        <f>SUMIF(Tableau_Lancer_la_requête_à_partir_de_Excel_Files102567891112[Avis Cofimac],"2-Favorable sous réserve",Tableau_Lancer_la_requête_à_partir_de_Excel_Files102567891112[Total Dpts])</f>
        <v>0</v>
      </c>
    </row>
    <row r="76" spans="1:44" hidden="1" x14ac:dyDescent="0.25">
      <c r="D76" t="s">
        <v>22</v>
      </c>
      <c r="E76" s="3">
        <f t="shared" si="0"/>
        <v>0</v>
      </c>
      <c r="F76" s="3">
        <f t="shared" si="1"/>
        <v>0</v>
      </c>
      <c r="H76" s="1">
        <f>SUMIF(Tableau_Lancer_la_requête_à_partir_de_Excel_Files1025678911[Avis Prog],"1-Favorable",Tableau_Lancer_la_requête_à_partir_de_Excel_Files1025678911[''03''])</f>
        <v>0</v>
      </c>
      <c r="I76" s="3">
        <f>SUMIF(Tableau_Lancer_la_requête_à_partir_de_Excel_Files1025678911[Avis Cofimac],"1-Favorable",Tableau_Lancer_la_requête_à_partir_de_Excel_Files1025678911[''03''])</f>
        <v>0</v>
      </c>
      <c r="J76" s="1">
        <f>SUMIF(Tableau_Lancer_la_requête_à_partir_de_Excel_Files1025678911[Avis Prog],"2-Favorable sous réserve",Tableau_Lancer_la_requête_à_partir_de_Excel_Files1025678911[''03''])</f>
        <v>0</v>
      </c>
      <c r="K76" s="3">
        <f>SUMIF(Tableau_Lancer_la_requête_à_partir_de_Excel_Files1025678911[Avis Cofimac],"2-Favorable sous réserve",Tableau_Lancer_la_requête_à_partir_de_Excel_Files1025678911[''03''])</f>
        <v>0</v>
      </c>
      <c r="M76" s="1">
        <f>SUMIF(Tableau_Lancer_la_requête_à_partir_de_Excel_Files102567891113[Avis Prog],"1-Favorable",Tableau_Lancer_la_requête_à_partir_de_Excel_Files102567891113[''03''])</f>
        <v>0</v>
      </c>
      <c r="N76" s="3">
        <f>SUMIF(Tableau_Lancer_la_requête_à_partir_de_Excel_Files102567891113[Avis Cofimac],"1-Favorable",Tableau_Lancer_la_requête_à_partir_de_Excel_Files102567891113[''03''])</f>
        <v>0</v>
      </c>
      <c r="O76" s="1">
        <f>SUMIF(Tableau_Lancer_la_requête_à_partir_de_Excel_Files102567891113[Avis Prog],"2-Favorable sous réserve",Tableau_Lancer_la_requête_à_partir_de_Excel_Files102567891113[''03''])</f>
        <v>0</v>
      </c>
      <c r="P76" s="3">
        <f>SUMIF(Tableau_Lancer_la_requête_à_partir_de_Excel_Files102567891113[Avis Cofimac],"2-Favorable sous réserve",Tableau_Lancer_la_requête_à_partir_de_Excel_Files102567891113[''03''])</f>
        <v>0</v>
      </c>
      <c r="Q76" s="1">
        <f>SUMIF(Tableau_Lancer_la_requête_à_partir_de_Excel_Files10256789111214[Avis Prog],"1-Favorable",Tableau_Lancer_la_requête_à_partir_de_Excel_Files10256789111214[''03''])</f>
        <v>0</v>
      </c>
      <c r="R76" s="3">
        <f>SUMIF(Tableau_Lancer_la_requête_à_partir_de_Excel_Files10256789111214[Avis Cofimac],"1-Favorable",Tableau_Lancer_la_requête_à_partir_de_Excel_Files10256789111214[''03''])</f>
        <v>0</v>
      </c>
      <c r="S76" s="1">
        <f>SUMIF(Tableau_Lancer_la_requête_à_partir_de_Excel_Files10256789111214[Avis Prog],"2-Favorable sous réserve",Tableau_Lancer_la_requête_à_partir_de_Excel_Files10256789111214[''03''])</f>
        <v>0</v>
      </c>
      <c r="T76" s="3">
        <f>SUMIF(Tableau_Lancer_la_requête_à_partir_de_Excel_Files10256789111214[Avis Cofimac],"2-Favorable sous réserve",Tableau_Lancer_la_requête_à_partir_de_Excel_Files10256789111214[''03''])</f>
        <v>0</v>
      </c>
      <c r="U76" s="1">
        <f>SUMIF(Tableau_Lancer_la_requête_à_partir_de_Excel_Files102567891112[Avis Prog],"1-Favorable",Tableau_Lancer_la_requête_à_partir_de_Excel_Files102567891112[''03''])</f>
        <v>0</v>
      </c>
      <c r="V76" s="3">
        <f>SUMIF(Tableau_Lancer_la_requête_à_partir_de_Excel_Files102567891112[Avis Cofimac],"1-Favorable",Tableau_Lancer_la_requête_à_partir_de_Excel_Files102567891112[''03''])</f>
        <v>0</v>
      </c>
      <c r="W76" s="1">
        <f>SUMIF(Tableau_Lancer_la_requête_à_partir_de_Excel_Files102567891112[Avis Prog],"2-Favorable sous réserve",Tableau_Lancer_la_requête_à_partir_de_Excel_Files102567891112[''03''])</f>
        <v>0</v>
      </c>
      <c r="X76" s="3">
        <f>SUMIF(Tableau_Lancer_la_requête_à_partir_de_Excel_Files102567891112[Avis Cofimac],"2-Favorable sous réserve",Tableau_Lancer_la_requête_à_partir_de_Excel_Files102567891112[''03''])</f>
        <v>0</v>
      </c>
    </row>
    <row r="77" spans="1:44" hidden="1" x14ac:dyDescent="0.25">
      <c r="D77" t="s">
        <v>23</v>
      </c>
      <c r="E77" s="3">
        <f t="shared" si="0"/>
        <v>0</v>
      </c>
      <c r="F77" s="3">
        <f t="shared" si="1"/>
        <v>0</v>
      </c>
      <c r="H77" s="1">
        <f>SUMIF(Tableau_Lancer_la_requête_à_partir_de_Excel_Files1025678911[Avis Prog],"1-Favorable",Tableau_Lancer_la_requête_à_partir_de_Excel_Files1025678911[''07''])</f>
        <v>0</v>
      </c>
      <c r="I77" s="3">
        <f>SUMIF(Tableau_Lancer_la_requête_à_partir_de_Excel_Files1025678911[Avis Cofimac],"1-Favorable",Tableau_Lancer_la_requête_à_partir_de_Excel_Files1025678911[''07''])</f>
        <v>0</v>
      </c>
      <c r="J77" s="1">
        <f>SUMIF(Tableau_Lancer_la_requête_à_partir_de_Excel_Files1025678911[Avis Prog],"2-Favorable sous réserve",Tableau_Lancer_la_requête_à_partir_de_Excel_Files1025678911[''07''])</f>
        <v>0</v>
      </c>
      <c r="K77" s="3">
        <f>SUMIF(Tableau_Lancer_la_requête_à_partir_de_Excel_Files1025678911[Avis Cofimac],"2-Favorable sous réserve",Tableau_Lancer_la_requête_à_partir_de_Excel_Files1025678911[''07''])</f>
        <v>0</v>
      </c>
      <c r="M77" s="1">
        <f>SUMIF(Tableau_Lancer_la_requête_à_partir_de_Excel_Files102567891113[Avis Prog],"1-Favorable",Tableau_Lancer_la_requête_à_partir_de_Excel_Files102567891113[''07''])</f>
        <v>0</v>
      </c>
      <c r="N77" s="3">
        <f>SUMIF(Tableau_Lancer_la_requête_à_partir_de_Excel_Files102567891113[Avis Cofimac],"1-Favorable",Tableau_Lancer_la_requête_à_partir_de_Excel_Files102567891113[''07''])</f>
        <v>0</v>
      </c>
      <c r="O77" s="1">
        <f>SUMIF(Tableau_Lancer_la_requête_à_partir_de_Excel_Files102567891113[Avis Prog],"2-Favorable sous réserve",Tableau_Lancer_la_requête_à_partir_de_Excel_Files102567891113[''07''])</f>
        <v>0</v>
      </c>
      <c r="P77" s="3">
        <f>SUMIF(Tableau_Lancer_la_requête_à_partir_de_Excel_Files102567891113[Avis Cofimac],"2-Favorable sous réserve",Tableau_Lancer_la_requête_à_partir_de_Excel_Files102567891113[''07''])</f>
        <v>0</v>
      </c>
      <c r="Q77" s="1">
        <f>SUMIF(Tableau_Lancer_la_requête_à_partir_de_Excel_Files10256789111214[Avis Prog],"1-Favorable",Tableau_Lancer_la_requête_à_partir_de_Excel_Files10256789111214[''07''])</f>
        <v>0</v>
      </c>
      <c r="R77" s="3">
        <f>SUMIF(Tableau_Lancer_la_requête_à_partir_de_Excel_Files10256789111214[Avis Cofimac],"1-Favorable",Tableau_Lancer_la_requête_à_partir_de_Excel_Files10256789111214[''07''])</f>
        <v>0</v>
      </c>
      <c r="S77" s="1">
        <f>SUMIF(Tableau_Lancer_la_requête_à_partir_de_Excel_Files10256789111214[Avis Prog],"2-Favorable sous réserve",Tableau_Lancer_la_requête_à_partir_de_Excel_Files10256789111214[''07''])</f>
        <v>0</v>
      </c>
      <c r="T77" s="3">
        <f>SUMIF(Tableau_Lancer_la_requête_à_partir_de_Excel_Files10256789111214[Avis Cofimac],"2-Favorable sous réserve",Tableau_Lancer_la_requête_à_partir_de_Excel_Files10256789111214[''07''])</f>
        <v>0</v>
      </c>
      <c r="U77" s="1">
        <f>SUMIF(Tableau_Lancer_la_requête_à_partir_de_Excel_Files102567891112[Avis Prog],"1-Favorable",Tableau_Lancer_la_requête_à_partir_de_Excel_Files102567891112[''07''])</f>
        <v>0</v>
      </c>
      <c r="V77" s="3">
        <f>SUMIF(Tableau_Lancer_la_requête_à_partir_de_Excel_Files102567891112[Avis Cofimac],"1-Favorable",Tableau_Lancer_la_requête_à_partir_de_Excel_Files102567891112[''07''])</f>
        <v>0</v>
      </c>
      <c r="W77" s="1">
        <f>SUMIF(Tableau_Lancer_la_requête_à_partir_de_Excel_Files102567891112[Avis Prog],"2-Favorable sous réserve",Tableau_Lancer_la_requête_à_partir_de_Excel_Files102567891112[''07''])</f>
        <v>0</v>
      </c>
      <c r="X77" s="3">
        <f>SUMIF(Tableau_Lancer_la_requête_à_partir_de_Excel_Files102567891112[Avis Cofimac],"2-Favorable sous réserve",Tableau_Lancer_la_requête_à_partir_de_Excel_Files102567891112[''07''])</f>
        <v>0</v>
      </c>
    </row>
    <row r="78" spans="1:44" hidden="1" x14ac:dyDescent="0.25">
      <c r="D78" t="s">
        <v>24</v>
      </c>
      <c r="E78" s="3">
        <f t="shared" si="0"/>
        <v>0</v>
      </c>
      <c r="F78" s="3">
        <f t="shared" si="1"/>
        <v>0</v>
      </c>
      <c r="H78" s="1">
        <f>SUMIF(Tableau_Lancer_la_requête_à_partir_de_Excel_Files1025678911[Avis Prog],"1-Favorable",Tableau_Lancer_la_requête_à_partir_de_Excel_Files1025678911[''11''])</f>
        <v>0</v>
      </c>
      <c r="I78" s="3">
        <f>SUMIF(Tableau_Lancer_la_requête_à_partir_de_Excel_Files1025678911[Avis Cofimac],"1-Favorable",Tableau_Lancer_la_requête_à_partir_de_Excel_Files1025678911[''11''])</f>
        <v>0</v>
      </c>
      <c r="J78" s="1">
        <f>SUMIF(Tableau_Lancer_la_requête_à_partir_de_Excel_Files1025678911[Avis Prog],"2-Favorable sous réserve",Tableau_Lancer_la_requête_à_partir_de_Excel_Files1025678911[''11''])</f>
        <v>0</v>
      </c>
      <c r="K78" s="3">
        <f>SUMIF(Tableau_Lancer_la_requête_à_partir_de_Excel_Files1025678911[Avis Cofimac],"2-Favorable sous réserve",Tableau_Lancer_la_requête_à_partir_de_Excel_Files1025678911[''11''])</f>
        <v>0</v>
      </c>
      <c r="M78" s="1">
        <f>SUMIF(Tableau_Lancer_la_requête_à_partir_de_Excel_Files102567891113[Avis Prog],"1-Favorable",Tableau_Lancer_la_requête_à_partir_de_Excel_Files102567891113[''11''])</f>
        <v>0</v>
      </c>
      <c r="N78" s="3">
        <f>SUMIF(Tableau_Lancer_la_requête_à_partir_de_Excel_Files102567891113[Avis Cofimac],"1-Favorable",Tableau_Lancer_la_requête_à_partir_de_Excel_Files102567891113[''11''])</f>
        <v>0</v>
      </c>
      <c r="O78" s="1">
        <f>SUMIF(Tableau_Lancer_la_requête_à_partir_de_Excel_Files102567891113[Avis Prog],"2-Favorable sous réserve",Tableau_Lancer_la_requête_à_partir_de_Excel_Files102567891113[''11''])</f>
        <v>0</v>
      </c>
      <c r="P78" s="3">
        <f>SUMIF(Tableau_Lancer_la_requête_à_partir_de_Excel_Files102567891113[Avis Cofimac],"2-Favorable sous réserve",Tableau_Lancer_la_requête_à_partir_de_Excel_Files102567891113[''11''])</f>
        <v>0</v>
      </c>
      <c r="Q78" s="1">
        <f>SUMIF(Tableau_Lancer_la_requête_à_partir_de_Excel_Files10256789111214[Avis Prog],"1-Favorable",Tableau_Lancer_la_requête_à_partir_de_Excel_Files10256789111214[''11''])</f>
        <v>0</v>
      </c>
      <c r="R78" s="3">
        <f>SUMIF(Tableau_Lancer_la_requête_à_partir_de_Excel_Files10256789111214[Avis Cofimac],"1-Favorable",Tableau_Lancer_la_requête_à_partir_de_Excel_Files10256789111214[''11''])</f>
        <v>0</v>
      </c>
      <c r="S78" s="1">
        <f>SUMIF(Tableau_Lancer_la_requête_à_partir_de_Excel_Files10256789111214[Avis Prog],"2-Favorable sous réserve",Tableau_Lancer_la_requête_à_partir_de_Excel_Files10256789111214[''11''])</f>
        <v>0</v>
      </c>
      <c r="T78" s="3">
        <f>SUMIF(Tableau_Lancer_la_requête_à_partir_de_Excel_Files10256789111214[Avis Cofimac],"2-Favorable sous réserve",Tableau_Lancer_la_requête_à_partir_de_Excel_Files10256789111214[''11''])</f>
        <v>0</v>
      </c>
      <c r="U78" s="1">
        <f>SUMIF(Tableau_Lancer_la_requête_à_partir_de_Excel_Files102567891112[Avis Prog],"1-Favorable",Tableau_Lancer_la_requête_à_partir_de_Excel_Files102567891112[''11''])</f>
        <v>0</v>
      </c>
      <c r="V78" s="3">
        <f>SUMIF(Tableau_Lancer_la_requête_à_partir_de_Excel_Files102567891112[Avis Cofimac],"1-Favorable",Tableau_Lancer_la_requête_à_partir_de_Excel_Files102567891112[''11''])</f>
        <v>0</v>
      </c>
      <c r="W78" s="1">
        <f>SUMIF(Tableau_Lancer_la_requête_à_partir_de_Excel_Files102567891112[Avis Prog],"2-Favorable sous réserve",Tableau_Lancer_la_requête_à_partir_de_Excel_Files102567891112[''11''])</f>
        <v>0</v>
      </c>
      <c r="X78" s="3">
        <f>SUMIF(Tableau_Lancer_la_requête_à_partir_de_Excel_Files102567891112[Avis Cofimac],"2-Favorable sous réserve",Tableau_Lancer_la_requête_à_partir_de_Excel_Files102567891112[''11''])</f>
        <v>0</v>
      </c>
    </row>
    <row r="79" spans="1:44" hidden="1" x14ac:dyDescent="0.25">
      <c r="D79" t="s">
        <v>25</v>
      </c>
      <c r="E79" s="3">
        <f t="shared" si="0"/>
        <v>0</v>
      </c>
      <c r="F79" s="3">
        <f t="shared" si="1"/>
        <v>5016</v>
      </c>
      <c r="H79" s="1">
        <f>SUMIF(Tableau_Lancer_la_requête_à_partir_de_Excel_Files1025678911[Avis Prog],"1-Favorable",Tableau_Lancer_la_requête_à_partir_de_Excel_Files1025678911[''12''])</f>
        <v>0</v>
      </c>
      <c r="I79" s="3">
        <f>SUMIF(Tableau_Lancer_la_requête_à_partir_de_Excel_Files1025678911[Avis Cofimac],"1-Favorable",Tableau_Lancer_la_requête_à_partir_de_Excel_Files1025678911[''12''])</f>
        <v>0</v>
      </c>
      <c r="J79" s="1">
        <f>SUMIF(Tableau_Lancer_la_requête_à_partir_de_Excel_Files1025678911[Avis Prog],"2-Favorable sous réserve",Tableau_Lancer_la_requête_à_partir_de_Excel_Files1025678911[''12''])</f>
        <v>0</v>
      </c>
      <c r="K79" s="3">
        <f>SUMIF(Tableau_Lancer_la_requête_à_partir_de_Excel_Files1025678911[Avis Cofimac],"2-Favorable sous réserve",Tableau_Lancer_la_requête_à_partir_de_Excel_Files1025678911[''12''])</f>
        <v>0</v>
      </c>
      <c r="M79" s="1">
        <f>SUMIF(Tableau_Lancer_la_requête_à_partir_de_Excel_Files102567891113[Avis Prog],"1-Favorable",Tableau_Lancer_la_requête_à_partir_de_Excel_Files102567891113[''12''])</f>
        <v>0</v>
      </c>
      <c r="N79" s="3">
        <f>SUMIF(Tableau_Lancer_la_requête_à_partir_de_Excel_Files102567891113[Avis Cofimac],"1-Favorable",Tableau_Lancer_la_requête_à_partir_de_Excel_Files102567891113[''12''])</f>
        <v>0</v>
      </c>
      <c r="O79" s="1">
        <f>SUMIF(Tableau_Lancer_la_requête_à_partir_de_Excel_Files102567891113[Avis Prog],"2-Favorable sous réserve",Tableau_Lancer_la_requête_à_partir_de_Excel_Files102567891113[''12''])</f>
        <v>0</v>
      </c>
      <c r="P79" s="3">
        <f>SUMIF(Tableau_Lancer_la_requête_à_partir_de_Excel_Files102567891113[Avis Cofimac],"2-Favorable sous réserve",Tableau_Lancer_la_requête_à_partir_de_Excel_Files102567891113[''12''])</f>
        <v>0</v>
      </c>
      <c r="Q79" s="1">
        <f>SUMIF(Tableau_Lancer_la_requête_à_partir_de_Excel_Files10256789111214[Avis Prog],"1-Favorable",Tableau_Lancer_la_requête_à_partir_de_Excel_Files10256789111214[''12''])</f>
        <v>0</v>
      </c>
      <c r="R79" s="3">
        <f>SUMIF(Tableau_Lancer_la_requête_à_partir_de_Excel_Files10256789111214[Avis Cofimac],"1-Favorable",Tableau_Lancer_la_requête_à_partir_de_Excel_Files10256789111214[''12''])</f>
        <v>0</v>
      </c>
      <c r="S79" s="1">
        <f>SUMIF(Tableau_Lancer_la_requête_à_partir_de_Excel_Files10256789111214[Avis Prog],"2-Favorable sous réserve",Tableau_Lancer_la_requête_à_partir_de_Excel_Files10256789111214[''12''])</f>
        <v>0</v>
      </c>
      <c r="T79" s="3">
        <f>SUMIF(Tableau_Lancer_la_requête_à_partir_de_Excel_Files10256789111214[Avis Cofimac],"2-Favorable sous réserve",Tableau_Lancer_la_requête_à_partir_de_Excel_Files10256789111214[''12''])</f>
        <v>5016</v>
      </c>
      <c r="U79" s="1">
        <f>SUMIF(Tableau_Lancer_la_requête_à_partir_de_Excel_Files102567891112[Avis Prog],"1-Favorable",Tableau_Lancer_la_requête_à_partir_de_Excel_Files102567891112[''12''])</f>
        <v>0</v>
      </c>
      <c r="V79" s="3">
        <f>SUMIF(Tableau_Lancer_la_requête_à_partir_de_Excel_Files102567891112[Avis Cofimac],"1-Favorable",Tableau_Lancer_la_requête_à_partir_de_Excel_Files102567891112[''12''])</f>
        <v>0</v>
      </c>
      <c r="W79" s="1">
        <f>SUMIF(Tableau_Lancer_la_requête_à_partir_de_Excel_Files102567891112[Avis Prog],"2-Favorable sous réserve",Tableau_Lancer_la_requête_à_partir_de_Excel_Files102567891112[''12''])</f>
        <v>0</v>
      </c>
      <c r="X79" s="3">
        <f>SUMIF(Tableau_Lancer_la_requête_à_partir_de_Excel_Files102567891112[Avis Cofimac],"2-Favorable sous réserve",Tableau_Lancer_la_requête_à_partir_de_Excel_Files102567891112[''12''])</f>
        <v>0</v>
      </c>
    </row>
    <row r="80" spans="1:44" hidden="1" x14ac:dyDescent="0.25">
      <c r="D80" t="s">
        <v>26</v>
      </c>
      <c r="E80" s="3">
        <f t="shared" si="0"/>
        <v>0</v>
      </c>
      <c r="F80" s="3">
        <f t="shared" si="1"/>
        <v>0</v>
      </c>
      <c r="H80" s="1">
        <f>SUMIF(Tableau_Lancer_la_requête_à_partir_de_Excel_Files1025678911[Avis Prog],"1-Favorable",Tableau_Lancer_la_requête_à_partir_de_Excel_Files1025678911[''15''])</f>
        <v>0</v>
      </c>
      <c r="I80" s="3">
        <f>SUMIF(Tableau_Lancer_la_requête_à_partir_de_Excel_Files1025678911[Avis Cofimac],"1-Favorable",Tableau_Lancer_la_requête_à_partir_de_Excel_Files1025678911[''15''])</f>
        <v>0</v>
      </c>
      <c r="J80" s="1">
        <f>SUMIF(Tableau_Lancer_la_requête_à_partir_de_Excel_Files1025678911[Avis Prog],"2-Favorable sous réserve",Tableau_Lancer_la_requête_à_partir_de_Excel_Files1025678911[''15''])</f>
        <v>0</v>
      </c>
      <c r="K80" s="3">
        <f>SUMIF(Tableau_Lancer_la_requête_à_partir_de_Excel_Files1025678911[Avis Cofimac],"2-Favorable sous réserve",Tableau_Lancer_la_requête_à_partir_de_Excel_Files1025678911[''15''])</f>
        <v>0</v>
      </c>
      <c r="M80" s="1">
        <f>SUMIF(Tableau_Lancer_la_requête_à_partir_de_Excel_Files102567891113[Avis Prog],"1-Favorable",Tableau_Lancer_la_requête_à_partir_de_Excel_Files102567891113[''15''])</f>
        <v>0</v>
      </c>
      <c r="N80" s="3">
        <f>SUMIF(Tableau_Lancer_la_requête_à_partir_de_Excel_Files102567891113[Avis Cofimac],"1-Favorable",Tableau_Lancer_la_requête_à_partir_de_Excel_Files102567891113[''15''])</f>
        <v>0</v>
      </c>
      <c r="O80" s="1">
        <f>SUMIF(Tableau_Lancer_la_requête_à_partir_de_Excel_Files102567891113[Avis Prog],"2-Favorable sous réserve",Tableau_Lancer_la_requête_à_partir_de_Excel_Files102567891113[''15''])</f>
        <v>0</v>
      </c>
      <c r="P80" s="3">
        <f>SUMIF(Tableau_Lancer_la_requête_à_partir_de_Excel_Files102567891113[Avis Cofimac],"2-Favorable sous réserve",Tableau_Lancer_la_requête_à_partir_de_Excel_Files102567891113[''15''])</f>
        <v>0</v>
      </c>
      <c r="Q80" s="1">
        <f>SUMIF(Tableau_Lancer_la_requête_à_partir_de_Excel_Files10256789111214[Avis Prog],"1-Favorable",Tableau_Lancer_la_requête_à_partir_de_Excel_Files10256789111214[''15''])</f>
        <v>0</v>
      </c>
      <c r="R80" s="3">
        <f>SUMIF(Tableau_Lancer_la_requête_à_partir_de_Excel_Files10256789111214[Avis Cofimac],"1-Favorable",Tableau_Lancer_la_requête_à_partir_de_Excel_Files10256789111214[''15''])</f>
        <v>0</v>
      </c>
      <c r="S80" s="1">
        <f>SUMIF(Tableau_Lancer_la_requête_à_partir_de_Excel_Files10256789111214[Avis Prog],"2-Favorable sous réserve",Tableau_Lancer_la_requête_à_partir_de_Excel_Files10256789111214[''15''])</f>
        <v>0</v>
      </c>
      <c r="T80" s="3">
        <f>SUMIF(Tableau_Lancer_la_requête_à_partir_de_Excel_Files10256789111214[Avis Cofimac],"2-Favorable sous réserve",Tableau_Lancer_la_requête_à_partir_de_Excel_Files10256789111214[''15''])</f>
        <v>0</v>
      </c>
      <c r="U80" s="1">
        <f>SUMIF(Tableau_Lancer_la_requête_à_partir_de_Excel_Files102567891112[Avis Prog],"1-Favorable",Tableau_Lancer_la_requête_à_partir_de_Excel_Files102567891112[''15''])</f>
        <v>0</v>
      </c>
      <c r="V80" s="3">
        <f>SUMIF(Tableau_Lancer_la_requête_à_partir_de_Excel_Files102567891112[Avis Cofimac],"1-Favorable",Tableau_Lancer_la_requête_à_partir_de_Excel_Files102567891112[''15''])</f>
        <v>0</v>
      </c>
      <c r="W80" s="1">
        <f>SUMIF(Tableau_Lancer_la_requête_à_partir_de_Excel_Files102567891112[Avis Prog],"2-Favorable sous réserve",Tableau_Lancer_la_requête_à_partir_de_Excel_Files102567891112[''15''])</f>
        <v>0</v>
      </c>
      <c r="X80" s="3">
        <f>SUMIF(Tableau_Lancer_la_requête_à_partir_de_Excel_Files102567891112[Avis Cofimac],"2-Favorable sous réserve",Tableau_Lancer_la_requête_à_partir_de_Excel_Files102567891112[''15''])</f>
        <v>0</v>
      </c>
    </row>
    <row r="81" spans="4:24" hidden="1" x14ac:dyDescent="0.25">
      <c r="D81" t="s">
        <v>27</v>
      </c>
      <c r="E81" s="3">
        <f t="shared" si="0"/>
        <v>0</v>
      </c>
      <c r="F81" s="3">
        <f t="shared" si="1"/>
        <v>0</v>
      </c>
      <c r="H81" s="1">
        <f>SUMIF(Tableau_Lancer_la_requête_à_partir_de_Excel_Files1025678911[Avis Prog],"1-Favorable",Tableau_Lancer_la_requête_à_partir_de_Excel_Files1025678911[''19''])</f>
        <v>0</v>
      </c>
      <c r="I81" s="3">
        <f>SUMIF(Tableau_Lancer_la_requête_à_partir_de_Excel_Files1025678911[Avis Cofimac],"1-Favorable",Tableau_Lancer_la_requête_à_partir_de_Excel_Files1025678911[''19''])</f>
        <v>0</v>
      </c>
      <c r="J81" s="1">
        <f>SUMIF(Tableau_Lancer_la_requête_à_partir_de_Excel_Files1025678911[Avis Prog],"2-Favorable sous réserve",Tableau_Lancer_la_requête_à_partir_de_Excel_Files1025678911[''19''])</f>
        <v>0</v>
      </c>
      <c r="K81" s="3">
        <f>SUMIF(Tableau_Lancer_la_requête_à_partir_de_Excel_Files1025678911[Avis Cofimac],"2-Favorable sous réserve",Tableau_Lancer_la_requête_à_partir_de_Excel_Files1025678911[''19''])</f>
        <v>0</v>
      </c>
      <c r="M81" s="1">
        <f>SUMIF(Tableau_Lancer_la_requête_à_partir_de_Excel_Files102567891113[Avis Prog],"1-Favorable",Tableau_Lancer_la_requête_à_partir_de_Excel_Files102567891113[''19''])</f>
        <v>0</v>
      </c>
      <c r="N81" s="3">
        <f>SUMIF(Tableau_Lancer_la_requête_à_partir_de_Excel_Files102567891113[Avis Cofimac],"1-Favorable",Tableau_Lancer_la_requête_à_partir_de_Excel_Files102567891113[''19''])</f>
        <v>0</v>
      </c>
      <c r="O81" s="1">
        <f>SUMIF(Tableau_Lancer_la_requête_à_partir_de_Excel_Files102567891113[Avis Prog],"2-Favorable sous réserve",Tableau_Lancer_la_requête_à_partir_de_Excel_Files102567891113[''19''])</f>
        <v>0</v>
      </c>
      <c r="P81" s="3">
        <f>SUMIF(Tableau_Lancer_la_requête_à_partir_de_Excel_Files102567891113[Avis Cofimac],"2-Favorable sous réserve",Tableau_Lancer_la_requête_à_partir_de_Excel_Files102567891113[''19''])</f>
        <v>0</v>
      </c>
      <c r="Q81" s="1">
        <f>SUMIF(Tableau_Lancer_la_requête_à_partir_de_Excel_Files10256789111214[Avis Prog],"1-Favorable",Tableau_Lancer_la_requête_à_partir_de_Excel_Files10256789111214[''19''])</f>
        <v>0</v>
      </c>
      <c r="R81" s="3">
        <f>SUMIF(Tableau_Lancer_la_requête_à_partir_de_Excel_Files10256789111214[Avis Cofimac],"1-Favorable",Tableau_Lancer_la_requête_à_partir_de_Excel_Files10256789111214[''19''])</f>
        <v>0</v>
      </c>
      <c r="S81" s="1">
        <f>SUMIF(Tableau_Lancer_la_requête_à_partir_de_Excel_Files10256789111214[Avis Prog],"2-Favorable sous réserve",Tableau_Lancer_la_requête_à_partir_de_Excel_Files10256789111214[''19''])</f>
        <v>0</v>
      </c>
      <c r="T81" s="3">
        <f>SUMIF(Tableau_Lancer_la_requête_à_partir_de_Excel_Files10256789111214[Avis Cofimac],"2-Favorable sous réserve",Tableau_Lancer_la_requête_à_partir_de_Excel_Files10256789111214[''19''])</f>
        <v>0</v>
      </c>
      <c r="U81" s="1">
        <f>SUMIF(Tableau_Lancer_la_requête_à_partir_de_Excel_Files102567891112[Avis Prog],"1-Favorable",Tableau_Lancer_la_requête_à_partir_de_Excel_Files102567891112[''19''])</f>
        <v>0</v>
      </c>
      <c r="V81" s="3">
        <f>SUMIF(Tableau_Lancer_la_requête_à_partir_de_Excel_Files102567891112[Avis Cofimac],"1-Favorable",Tableau_Lancer_la_requête_à_partir_de_Excel_Files102567891112[''19''])</f>
        <v>0</v>
      </c>
      <c r="W81" s="1">
        <f>SUMIF(Tableau_Lancer_la_requête_à_partir_de_Excel_Files102567891112[Avis Prog],"2-Favorable sous réserve",Tableau_Lancer_la_requête_à_partir_de_Excel_Files102567891112[''19''])</f>
        <v>0</v>
      </c>
      <c r="X81" s="3">
        <f>SUMIF(Tableau_Lancer_la_requête_à_partir_de_Excel_Files102567891112[Avis Cofimac],"2-Favorable sous réserve",Tableau_Lancer_la_requête_à_partir_de_Excel_Files102567891112[''19''])</f>
        <v>0</v>
      </c>
    </row>
    <row r="82" spans="4:24" hidden="1" x14ac:dyDescent="0.25">
      <c r="D82" t="s">
        <v>28</v>
      </c>
      <c r="E82" s="3">
        <f t="shared" si="0"/>
        <v>0</v>
      </c>
      <c r="F82" s="3">
        <f t="shared" si="1"/>
        <v>0</v>
      </c>
      <c r="H82" s="1">
        <f>SUMIF(Tableau_Lancer_la_requête_à_partir_de_Excel_Files1025678911[Avis Prog],"1-Favorable",Tableau_Lancer_la_requête_à_partir_de_Excel_Files1025678911[''21''])</f>
        <v>0</v>
      </c>
      <c r="I82" s="3">
        <f>SUMIF(Tableau_Lancer_la_requête_à_partir_de_Excel_Files1025678911[Avis Cofimac],"1-Favorable",Tableau_Lancer_la_requête_à_partir_de_Excel_Files1025678911[''21''])</f>
        <v>0</v>
      </c>
      <c r="J82" s="1">
        <f>SUMIF(Tableau_Lancer_la_requête_à_partir_de_Excel_Files1025678911[Avis Prog],"2-Favorable sous réserve",Tableau_Lancer_la_requête_à_partir_de_Excel_Files1025678911[''21''])</f>
        <v>0</v>
      </c>
      <c r="K82" s="3">
        <f>SUMIF(Tableau_Lancer_la_requête_à_partir_de_Excel_Files1025678911[Avis Cofimac],"2-Favorable sous réserve",Tableau_Lancer_la_requête_à_partir_de_Excel_Files1025678911[''21''])</f>
        <v>0</v>
      </c>
      <c r="M82" s="1">
        <f>SUMIF(Tableau_Lancer_la_requête_à_partir_de_Excel_Files102567891113[Avis Prog],"1-Favorable",Tableau_Lancer_la_requête_à_partir_de_Excel_Files102567891113[''21''])</f>
        <v>0</v>
      </c>
      <c r="N82" s="3">
        <f>SUMIF(Tableau_Lancer_la_requête_à_partir_de_Excel_Files102567891113[Avis Cofimac],"1-Favorable",Tableau_Lancer_la_requête_à_partir_de_Excel_Files102567891113[''21''])</f>
        <v>0</v>
      </c>
      <c r="O82" s="1">
        <f>SUMIF(Tableau_Lancer_la_requête_à_partir_de_Excel_Files102567891113[Avis Prog],"2-Favorable sous réserve",Tableau_Lancer_la_requête_à_partir_de_Excel_Files102567891113[''21''])</f>
        <v>0</v>
      </c>
      <c r="P82" s="3">
        <f>SUMIF(Tableau_Lancer_la_requête_à_partir_de_Excel_Files102567891113[Avis Cofimac],"2-Favorable sous réserve",Tableau_Lancer_la_requête_à_partir_de_Excel_Files102567891113[''21''])</f>
        <v>0</v>
      </c>
      <c r="Q82" s="1">
        <f>SUMIF(Tableau_Lancer_la_requête_à_partir_de_Excel_Files10256789111214[Avis Prog],"1-Favorable",Tableau_Lancer_la_requête_à_partir_de_Excel_Files10256789111214[''21''])</f>
        <v>0</v>
      </c>
      <c r="R82" s="3">
        <f>SUMIF(Tableau_Lancer_la_requête_à_partir_de_Excel_Files10256789111214[Avis Cofimac],"1-Favorable",Tableau_Lancer_la_requête_à_partir_de_Excel_Files10256789111214[''21''])</f>
        <v>0</v>
      </c>
      <c r="S82" s="1">
        <f>SUMIF(Tableau_Lancer_la_requête_à_partir_de_Excel_Files10256789111214[Avis Prog],"2-Favorable sous réserve",Tableau_Lancer_la_requête_à_partir_de_Excel_Files10256789111214[''21''])</f>
        <v>0</v>
      </c>
      <c r="T82" s="3">
        <f>SUMIF(Tableau_Lancer_la_requête_à_partir_de_Excel_Files10256789111214[Avis Cofimac],"2-Favorable sous réserve",Tableau_Lancer_la_requête_à_partir_de_Excel_Files10256789111214[''21''])</f>
        <v>0</v>
      </c>
      <c r="U82" s="1">
        <f>SUMIF(Tableau_Lancer_la_requête_à_partir_de_Excel_Files102567891112[Avis Prog],"1-Favorable",Tableau_Lancer_la_requête_à_partir_de_Excel_Files102567891112[''21''])</f>
        <v>0</v>
      </c>
      <c r="V82" s="3">
        <f>SUMIF(Tableau_Lancer_la_requête_à_partir_de_Excel_Files102567891112[Avis Cofimac],"1-Favorable",Tableau_Lancer_la_requête_à_partir_de_Excel_Files102567891112[''21''])</f>
        <v>0</v>
      </c>
      <c r="W82" s="1">
        <f>SUMIF(Tableau_Lancer_la_requête_à_partir_de_Excel_Files102567891112[Avis Prog],"2-Favorable sous réserve",Tableau_Lancer_la_requête_à_partir_de_Excel_Files102567891112[''21''])</f>
        <v>0</v>
      </c>
      <c r="X82" s="3">
        <f>SUMIF(Tableau_Lancer_la_requête_à_partir_de_Excel_Files102567891112[Avis Cofimac],"2-Favorable sous réserve",Tableau_Lancer_la_requête_à_partir_de_Excel_Files102567891112[''21''])</f>
        <v>0</v>
      </c>
    </row>
    <row r="83" spans="4:24" hidden="1" x14ac:dyDescent="0.25">
      <c r="D83" t="s">
        <v>29</v>
      </c>
      <c r="E83" s="3">
        <f t="shared" si="0"/>
        <v>0</v>
      </c>
      <c r="F83" s="3">
        <f t="shared" si="1"/>
        <v>0</v>
      </c>
      <c r="H83" s="1">
        <f>SUMIF(Tableau_Lancer_la_requête_à_partir_de_Excel_Files1025678911[Avis Prog],"1-Favorable",Tableau_Lancer_la_requête_à_partir_de_Excel_Files1025678911[''23''])</f>
        <v>0</v>
      </c>
      <c r="I83" s="3">
        <f>SUMIF(Tableau_Lancer_la_requête_à_partir_de_Excel_Files1025678911[Avis Cofimac],"1-Favorable",Tableau_Lancer_la_requête_à_partir_de_Excel_Files1025678911[''23''])</f>
        <v>0</v>
      </c>
      <c r="J83" s="1">
        <f>SUMIF(Tableau_Lancer_la_requête_à_partir_de_Excel_Files1025678911[Avis Prog],"2-Favorable sous réserve",Tableau_Lancer_la_requête_à_partir_de_Excel_Files1025678911[''23''])</f>
        <v>0</v>
      </c>
      <c r="K83" s="3">
        <f>SUMIF(Tableau_Lancer_la_requête_à_partir_de_Excel_Files1025678911[Avis Cofimac],"2-Favorable sous réserve",Tableau_Lancer_la_requête_à_partir_de_Excel_Files1025678911[''23''])</f>
        <v>0</v>
      </c>
      <c r="M83" s="1">
        <f>SUMIF(Tableau_Lancer_la_requête_à_partir_de_Excel_Files102567891113[Avis Prog],"1-Favorable",Tableau_Lancer_la_requête_à_partir_de_Excel_Files102567891113[''23''])</f>
        <v>0</v>
      </c>
      <c r="N83" s="3">
        <f>SUMIF(Tableau_Lancer_la_requête_à_partir_de_Excel_Files102567891113[Avis Cofimac],"1-Favorable",Tableau_Lancer_la_requête_à_partir_de_Excel_Files102567891113[''23''])</f>
        <v>0</v>
      </c>
      <c r="O83" s="1">
        <f>SUMIF(Tableau_Lancer_la_requête_à_partir_de_Excel_Files102567891113[Avis Prog],"2-Favorable sous réserve",Tableau_Lancer_la_requête_à_partir_de_Excel_Files102567891113[''23''])</f>
        <v>0</v>
      </c>
      <c r="P83" s="3">
        <f>SUMIF(Tableau_Lancer_la_requête_à_partir_de_Excel_Files102567891113[Avis Cofimac],"2-Favorable sous réserve",Tableau_Lancer_la_requête_à_partir_de_Excel_Files102567891113[''23''])</f>
        <v>0</v>
      </c>
      <c r="Q83" s="1">
        <f>SUMIF(Tableau_Lancer_la_requête_à_partir_de_Excel_Files10256789111214[Avis Prog],"1-Favorable",Tableau_Lancer_la_requête_à_partir_de_Excel_Files10256789111214[''23''])</f>
        <v>0</v>
      </c>
      <c r="R83" s="3">
        <f>SUMIF(Tableau_Lancer_la_requête_à_partir_de_Excel_Files10256789111214[Avis Cofimac],"1-Favorable",Tableau_Lancer_la_requête_à_partir_de_Excel_Files10256789111214[''23''])</f>
        <v>0</v>
      </c>
      <c r="S83" s="1">
        <f>SUMIF(Tableau_Lancer_la_requête_à_partir_de_Excel_Files10256789111214[Avis Prog],"2-Favorable sous réserve",Tableau_Lancer_la_requête_à_partir_de_Excel_Files10256789111214[''23''])</f>
        <v>0</v>
      </c>
      <c r="T83" s="3">
        <f>SUMIF(Tableau_Lancer_la_requête_à_partir_de_Excel_Files10256789111214[Avis Cofimac],"2-Favorable sous réserve",Tableau_Lancer_la_requête_à_partir_de_Excel_Files10256789111214[''23''])</f>
        <v>0</v>
      </c>
      <c r="U83" s="1">
        <f>SUMIF(Tableau_Lancer_la_requête_à_partir_de_Excel_Files102567891112[Avis Prog],"1-Favorable",Tableau_Lancer_la_requête_à_partir_de_Excel_Files102567891112[''23''])</f>
        <v>0</v>
      </c>
      <c r="V83" s="3">
        <f>SUMIF(Tableau_Lancer_la_requête_à_partir_de_Excel_Files102567891112[Avis Cofimac],"1-Favorable",Tableau_Lancer_la_requête_à_partir_de_Excel_Files102567891112[''23''])</f>
        <v>0</v>
      </c>
      <c r="W83" s="1">
        <f>SUMIF(Tableau_Lancer_la_requête_à_partir_de_Excel_Files102567891112[Avis Prog],"2-Favorable sous réserve",Tableau_Lancer_la_requête_à_partir_de_Excel_Files102567891112[''23''])</f>
        <v>0</v>
      </c>
      <c r="X83" s="3">
        <f>SUMIF(Tableau_Lancer_la_requête_à_partir_de_Excel_Files102567891112[Avis Cofimac],"2-Favorable sous réserve",Tableau_Lancer_la_requête_à_partir_de_Excel_Files102567891112[''23''])</f>
        <v>0</v>
      </c>
    </row>
    <row r="84" spans="4:24" hidden="1" x14ac:dyDescent="0.25">
      <c r="D84" t="s">
        <v>30</v>
      </c>
      <c r="E84" s="3">
        <f t="shared" si="0"/>
        <v>0</v>
      </c>
      <c r="F84" s="3">
        <f t="shared" si="1"/>
        <v>0</v>
      </c>
      <c r="H84" s="1">
        <f>SUMIF(Tableau_Lancer_la_requête_à_partir_de_Excel_Files1025678911[Avis Prog],"1-Favorable",Tableau_Lancer_la_requête_à_partir_de_Excel_Files1025678911[''30''])</f>
        <v>0</v>
      </c>
      <c r="I84" s="3">
        <f>SUMIF(Tableau_Lancer_la_requête_à_partir_de_Excel_Files1025678911[Avis Cofimac],"1-Favorable",Tableau_Lancer_la_requête_à_partir_de_Excel_Files1025678911[''30''])</f>
        <v>0</v>
      </c>
      <c r="J84" s="1">
        <f>SUMIF(Tableau_Lancer_la_requête_à_partir_de_Excel_Files1025678911[Avis Prog],"2-Favorable sous réserve",Tableau_Lancer_la_requête_à_partir_de_Excel_Files1025678911[''30''])</f>
        <v>0</v>
      </c>
      <c r="K84" s="3">
        <f>SUMIF(Tableau_Lancer_la_requête_à_partir_de_Excel_Files1025678911[Avis Cofimac],"2-Favorable sous réserve",Tableau_Lancer_la_requête_à_partir_de_Excel_Files1025678911[''30''])</f>
        <v>0</v>
      </c>
      <c r="M84" s="1">
        <f>SUMIF(Tableau_Lancer_la_requête_à_partir_de_Excel_Files102567891113[Avis Prog],"1-Favorable",Tableau_Lancer_la_requête_à_partir_de_Excel_Files102567891113[''30''])</f>
        <v>0</v>
      </c>
      <c r="N84" s="3">
        <f>SUMIF(Tableau_Lancer_la_requête_à_partir_de_Excel_Files102567891113[Avis Cofimac],"1-Favorable",Tableau_Lancer_la_requête_à_partir_de_Excel_Files102567891113[''30''])</f>
        <v>0</v>
      </c>
      <c r="O84" s="1">
        <f>SUMIF(Tableau_Lancer_la_requête_à_partir_de_Excel_Files102567891113[Avis Prog],"2-Favorable sous réserve",Tableau_Lancer_la_requête_à_partir_de_Excel_Files102567891113[''30''])</f>
        <v>0</v>
      </c>
      <c r="P84" s="3">
        <f>SUMIF(Tableau_Lancer_la_requête_à_partir_de_Excel_Files102567891113[Avis Cofimac],"2-Favorable sous réserve",Tableau_Lancer_la_requête_à_partir_de_Excel_Files102567891113[''30''])</f>
        <v>0</v>
      </c>
      <c r="Q84" s="1">
        <f>SUMIF(Tableau_Lancer_la_requête_à_partir_de_Excel_Files10256789111214[Avis Prog],"1-Favorable",Tableau_Lancer_la_requête_à_partir_de_Excel_Files10256789111214[''30''])</f>
        <v>0</v>
      </c>
      <c r="R84" s="3">
        <f>SUMIF(Tableau_Lancer_la_requête_à_partir_de_Excel_Files10256789111214[Avis Cofimac],"1-Favorable",Tableau_Lancer_la_requête_à_partir_de_Excel_Files10256789111214[''30''])</f>
        <v>0</v>
      </c>
      <c r="S84" s="1">
        <f>SUMIF(Tableau_Lancer_la_requête_à_partir_de_Excel_Files10256789111214[Avis Prog],"2-Favorable sous réserve",Tableau_Lancer_la_requête_à_partir_de_Excel_Files10256789111214[''30''])</f>
        <v>0</v>
      </c>
      <c r="T84" s="3">
        <f>SUMIF(Tableau_Lancer_la_requête_à_partir_de_Excel_Files10256789111214[Avis Cofimac],"2-Favorable sous réserve",Tableau_Lancer_la_requête_à_partir_de_Excel_Files10256789111214[''30''])</f>
        <v>0</v>
      </c>
      <c r="U84" s="1">
        <f>SUMIF(Tableau_Lancer_la_requête_à_partir_de_Excel_Files102567891112[Avis Prog],"1-Favorable",Tableau_Lancer_la_requête_à_partir_de_Excel_Files102567891112[''30''])</f>
        <v>0</v>
      </c>
      <c r="V84" s="3">
        <f>SUMIF(Tableau_Lancer_la_requête_à_partir_de_Excel_Files102567891112[Avis Cofimac],"1-Favorable",Tableau_Lancer_la_requête_à_partir_de_Excel_Files102567891112[''30''])</f>
        <v>0</v>
      </c>
      <c r="W84" s="1">
        <f>SUMIF(Tableau_Lancer_la_requête_à_partir_de_Excel_Files102567891112[Avis Prog],"2-Favorable sous réserve",Tableau_Lancer_la_requête_à_partir_de_Excel_Files102567891112[''30''])</f>
        <v>0</v>
      </c>
      <c r="X84" s="3">
        <f>SUMIF(Tableau_Lancer_la_requête_à_partir_de_Excel_Files102567891112[Avis Cofimac],"2-Favorable sous réserve",Tableau_Lancer_la_requête_à_partir_de_Excel_Files102567891112[''30''])</f>
        <v>0</v>
      </c>
    </row>
    <row r="85" spans="4:24" hidden="1" x14ac:dyDescent="0.25">
      <c r="D85" t="s">
        <v>31</v>
      </c>
      <c r="E85" s="3">
        <f t="shared" si="0"/>
        <v>0</v>
      </c>
      <c r="F85" s="3">
        <f t="shared" si="1"/>
        <v>0</v>
      </c>
      <c r="H85" s="1">
        <f>SUMIF(Tableau_Lancer_la_requête_à_partir_de_Excel_Files1025678911[Avis Prog],"1-Favorable",Tableau_Lancer_la_requête_à_partir_de_Excel_Files1025678911[''34''])</f>
        <v>0</v>
      </c>
      <c r="I85" s="3">
        <f>SUMIF(Tableau_Lancer_la_requête_à_partir_de_Excel_Files1025678911[Avis Cofimac],"1-Favorable",Tableau_Lancer_la_requête_à_partir_de_Excel_Files1025678911[''34''])</f>
        <v>0</v>
      </c>
      <c r="J85" s="1">
        <f>SUMIF(Tableau_Lancer_la_requête_à_partir_de_Excel_Files1025678911[Avis Prog],"2-Favorable sous réserve",Tableau_Lancer_la_requête_à_partir_de_Excel_Files1025678911[''34''])</f>
        <v>0</v>
      </c>
      <c r="K85" s="3">
        <f>SUMIF(Tableau_Lancer_la_requête_à_partir_de_Excel_Files1025678911[Avis Cofimac],"2-Favorable sous réserve",Tableau_Lancer_la_requête_à_partir_de_Excel_Files1025678911[''34''])</f>
        <v>0</v>
      </c>
      <c r="M85" s="1">
        <f>SUMIF(Tableau_Lancer_la_requête_à_partir_de_Excel_Files102567891113[Avis Prog],"1-Favorable",Tableau_Lancer_la_requête_à_partir_de_Excel_Files102567891113[''34''])</f>
        <v>0</v>
      </c>
      <c r="N85" s="3">
        <f>SUMIF(Tableau_Lancer_la_requête_à_partir_de_Excel_Files102567891113[Avis Cofimac],"1-Favorable",Tableau_Lancer_la_requête_à_partir_de_Excel_Files102567891113[''34''])</f>
        <v>0</v>
      </c>
      <c r="O85" s="1">
        <f>SUMIF(Tableau_Lancer_la_requête_à_partir_de_Excel_Files102567891113[Avis Prog],"2-Favorable sous réserve",Tableau_Lancer_la_requête_à_partir_de_Excel_Files102567891113[''34''])</f>
        <v>0</v>
      </c>
      <c r="P85" s="3">
        <f>SUMIF(Tableau_Lancer_la_requête_à_partir_de_Excel_Files102567891113[Avis Cofimac],"2-Favorable sous réserve",Tableau_Lancer_la_requête_à_partir_de_Excel_Files102567891113[''34''])</f>
        <v>0</v>
      </c>
      <c r="Q85" s="1">
        <f>SUMIF(Tableau_Lancer_la_requête_à_partir_de_Excel_Files10256789111214[Avis Prog],"1-Favorable",Tableau_Lancer_la_requête_à_partir_de_Excel_Files10256789111214[''34''])</f>
        <v>0</v>
      </c>
      <c r="R85" s="3">
        <f>SUMIF(Tableau_Lancer_la_requête_à_partir_de_Excel_Files10256789111214[Avis Cofimac],"1-Favorable",Tableau_Lancer_la_requête_à_partir_de_Excel_Files10256789111214[''34''])</f>
        <v>0</v>
      </c>
      <c r="S85" s="1">
        <f>SUMIF(Tableau_Lancer_la_requête_à_partir_de_Excel_Files10256789111214[Avis Prog],"2-Favorable sous réserve",Tableau_Lancer_la_requête_à_partir_de_Excel_Files10256789111214[''34''])</f>
        <v>0</v>
      </c>
      <c r="T85" s="3">
        <f>SUMIF(Tableau_Lancer_la_requête_à_partir_de_Excel_Files10256789111214[Avis Cofimac],"2-Favorable sous réserve",Tableau_Lancer_la_requête_à_partir_de_Excel_Files10256789111214[''34''])</f>
        <v>0</v>
      </c>
      <c r="U85" s="1">
        <f>SUMIF(Tableau_Lancer_la_requête_à_partir_de_Excel_Files102567891112[Avis Prog],"1-Favorable",Tableau_Lancer_la_requête_à_partir_de_Excel_Files102567891112[''34''])</f>
        <v>0</v>
      </c>
      <c r="V85" s="3">
        <f>SUMIF(Tableau_Lancer_la_requête_à_partir_de_Excel_Files102567891112[Avis Cofimac],"1-Favorable",Tableau_Lancer_la_requête_à_partir_de_Excel_Files102567891112[''34''])</f>
        <v>0</v>
      </c>
      <c r="W85" s="1">
        <f>SUMIF(Tableau_Lancer_la_requête_à_partir_de_Excel_Files102567891112[Avis Prog],"2-Favorable sous réserve",Tableau_Lancer_la_requête_à_partir_de_Excel_Files102567891112[''34''])</f>
        <v>0</v>
      </c>
      <c r="X85" s="3">
        <f>SUMIF(Tableau_Lancer_la_requête_à_partir_de_Excel_Files102567891112[Avis Cofimac],"2-Favorable sous réserve",Tableau_Lancer_la_requête_à_partir_de_Excel_Files102567891112[''34''])</f>
        <v>0</v>
      </c>
    </row>
    <row r="86" spans="4:24" hidden="1" x14ac:dyDescent="0.25">
      <c r="D86" t="s">
        <v>32</v>
      </c>
      <c r="E86" s="3">
        <f t="shared" si="0"/>
        <v>0</v>
      </c>
      <c r="F86" s="3">
        <f t="shared" si="1"/>
        <v>0</v>
      </c>
      <c r="H86" s="1">
        <f>SUMIF(Tableau_Lancer_la_requête_à_partir_de_Excel_Files1025678911[Avis Prog],"1-Favorable",Tableau_Lancer_la_requête_à_partir_de_Excel_Files1025678911[''42''])</f>
        <v>0</v>
      </c>
      <c r="I86" s="3">
        <f>SUMIF(Tableau_Lancer_la_requête_à_partir_de_Excel_Files1025678911[Avis Cofimac],"1-Favorable",Tableau_Lancer_la_requête_à_partir_de_Excel_Files1025678911[''42''])</f>
        <v>0</v>
      </c>
      <c r="J86" s="1">
        <f>SUMIF(Tableau_Lancer_la_requête_à_partir_de_Excel_Files1025678911[Avis Prog],"2-Favorable sous réserve",Tableau_Lancer_la_requête_à_partir_de_Excel_Files1025678911[''42''])</f>
        <v>0</v>
      </c>
      <c r="K86" s="3">
        <f>SUMIF(Tableau_Lancer_la_requête_à_partir_de_Excel_Files1025678911[Avis Cofimac],"2-Favorable sous réserve",Tableau_Lancer_la_requête_à_partir_de_Excel_Files1025678911[''42''])</f>
        <v>0</v>
      </c>
      <c r="M86" s="1">
        <f>SUMIF(Tableau_Lancer_la_requête_à_partir_de_Excel_Files102567891113[Avis Prog],"1-Favorable",Tableau_Lancer_la_requête_à_partir_de_Excel_Files102567891113[''42''])</f>
        <v>0</v>
      </c>
      <c r="N86" s="3">
        <f>SUMIF(Tableau_Lancer_la_requête_à_partir_de_Excel_Files102567891113[Avis Cofimac],"1-Favorable",Tableau_Lancer_la_requête_à_partir_de_Excel_Files102567891113[''42''])</f>
        <v>0</v>
      </c>
      <c r="O86" s="1">
        <f>SUMIF(Tableau_Lancer_la_requête_à_partir_de_Excel_Files102567891113[Avis Prog],"2-Favorable sous réserve",Tableau_Lancer_la_requête_à_partir_de_Excel_Files102567891113[''42''])</f>
        <v>0</v>
      </c>
      <c r="P86" s="3">
        <f>SUMIF(Tableau_Lancer_la_requête_à_partir_de_Excel_Files102567891113[Avis Cofimac],"2-Favorable sous réserve",Tableau_Lancer_la_requête_à_partir_de_Excel_Files102567891113[''42''])</f>
        <v>0</v>
      </c>
      <c r="Q86" s="1">
        <f>SUMIF(Tableau_Lancer_la_requête_à_partir_de_Excel_Files10256789111214[Avis Prog],"1-Favorable",Tableau_Lancer_la_requête_à_partir_de_Excel_Files10256789111214[''42''])</f>
        <v>0</v>
      </c>
      <c r="R86" s="3">
        <f>SUMIF(Tableau_Lancer_la_requête_à_partir_de_Excel_Files10256789111214[Avis Cofimac],"1-Favorable",Tableau_Lancer_la_requête_à_partir_de_Excel_Files10256789111214[''42''])</f>
        <v>0</v>
      </c>
      <c r="S86" s="1">
        <f>SUMIF(Tableau_Lancer_la_requête_à_partir_de_Excel_Files10256789111214[Avis Prog],"2-Favorable sous réserve",Tableau_Lancer_la_requête_à_partir_de_Excel_Files10256789111214[''42''])</f>
        <v>0</v>
      </c>
      <c r="T86" s="3">
        <f>SUMIF(Tableau_Lancer_la_requête_à_partir_de_Excel_Files10256789111214[Avis Cofimac],"2-Favorable sous réserve",Tableau_Lancer_la_requête_à_partir_de_Excel_Files10256789111214[''42''])</f>
        <v>0</v>
      </c>
      <c r="U86" s="1">
        <f>SUMIF(Tableau_Lancer_la_requête_à_partir_de_Excel_Files102567891112[Avis Prog],"1-Favorable",Tableau_Lancer_la_requête_à_partir_de_Excel_Files102567891112[''42''])</f>
        <v>0</v>
      </c>
      <c r="V86" s="3">
        <f>SUMIF(Tableau_Lancer_la_requête_à_partir_de_Excel_Files102567891112[Avis Cofimac],"1-Favorable",Tableau_Lancer_la_requête_à_partir_de_Excel_Files102567891112[''42''])</f>
        <v>0</v>
      </c>
      <c r="W86" s="1">
        <f>SUMIF(Tableau_Lancer_la_requête_à_partir_de_Excel_Files102567891112[Avis Prog],"2-Favorable sous réserve",Tableau_Lancer_la_requête_à_partir_de_Excel_Files102567891112[''42''])</f>
        <v>0</v>
      </c>
      <c r="X86" s="3">
        <f>SUMIF(Tableau_Lancer_la_requête_à_partir_de_Excel_Files102567891112[Avis Cofimac],"2-Favorable sous réserve",Tableau_Lancer_la_requête_à_partir_de_Excel_Files102567891112[''42''])</f>
        <v>0</v>
      </c>
    </row>
    <row r="87" spans="4:24" hidden="1" x14ac:dyDescent="0.25">
      <c r="D87" t="s">
        <v>33</v>
      </c>
      <c r="E87" s="3">
        <f t="shared" si="0"/>
        <v>0</v>
      </c>
      <c r="F87" s="3">
        <f t="shared" si="1"/>
        <v>0</v>
      </c>
      <c r="H87" s="1">
        <f>SUMIF(Tableau_Lancer_la_requête_à_partir_de_Excel_Files1025678911[Avis Prog],"1-Favorable",Tableau_Lancer_la_requête_à_partir_de_Excel_Files1025678911[''43''])</f>
        <v>0</v>
      </c>
      <c r="I87" s="3">
        <f>SUMIF(Tableau_Lancer_la_requête_à_partir_de_Excel_Files1025678911[Avis Cofimac],"1-Favorable",Tableau_Lancer_la_requête_à_partir_de_Excel_Files1025678911[''43''])</f>
        <v>0</v>
      </c>
      <c r="J87" s="1">
        <f>SUMIF(Tableau_Lancer_la_requête_à_partir_de_Excel_Files1025678911[Avis Prog],"2-Favorable sous réserve",Tableau_Lancer_la_requête_à_partir_de_Excel_Files1025678911[''43''])</f>
        <v>0</v>
      </c>
      <c r="K87" s="3">
        <f>SUMIF(Tableau_Lancer_la_requête_à_partir_de_Excel_Files1025678911[Avis Cofimac],"2-Favorable sous réserve",Tableau_Lancer_la_requête_à_partir_de_Excel_Files1025678911[''43''])</f>
        <v>0</v>
      </c>
      <c r="M87" s="1">
        <f>SUMIF(Tableau_Lancer_la_requête_à_partir_de_Excel_Files102567891113[Avis Prog],"1-Favorable",Tableau_Lancer_la_requête_à_partir_de_Excel_Files102567891113[''43''])</f>
        <v>0</v>
      </c>
      <c r="N87" s="3">
        <f>SUMIF(Tableau_Lancer_la_requête_à_partir_de_Excel_Files102567891113[Avis Cofimac],"1-Favorable",Tableau_Lancer_la_requête_à_partir_de_Excel_Files102567891113[''43''])</f>
        <v>0</v>
      </c>
      <c r="O87" s="1">
        <f>SUMIF(Tableau_Lancer_la_requête_à_partir_de_Excel_Files102567891113[Avis Prog],"2-Favorable sous réserve",Tableau_Lancer_la_requête_à_partir_de_Excel_Files102567891113[''43''])</f>
        <v>0</v>
      </c>
      <c r="P87" s="3">
        <f>SUMIF(Tableau_Lancer_la_requête_à_partir_de_Excel_Files102567891113[Avis Cofimac],"2-Favorable sous réserve",Tableau_Lancer_la_requête_à_partir_de_Excel_Files102567891113[''43''])</f>
        <v>0</v>
      </c>
      <c r="Q87" s="1">
        <f>SUMIF(Tableau_Lancer_la_requête_à_partir_de_Excel_Files10256789111214[Avis Prog],"1-Favorable",Tableau_Lancer_la_requête_à_partir_de_Excel_Files10256789111214[''43''])</f>
        <v>0</v>
      </c>
      <c r="R87" s="3">
        <f>SUMIF(Tableau_Lancer_la_requête_à_partir_de_Excel_Files10256789111214[Avis Cofimac],"1-Favorable",Tableau_Lancer_la_requête_à_partir_de_Excel_Files10256789111214[''43''])</f>
        <v>0</v>
      </c>
      <c r="S87" s="1">
        <f>SUMIF(Tableau_Lancer_la_requête_à_partir_de_Excel_Files10256789111214[Avis Prog],"2-Favorable sous réserve",Tableau_Lancer_la_requête_à_partir_de_Excel_Files10256789111214[''43''])</f>
        <v>0</v>
      </c>
      <c r="T87" s="3">
        <f>SUMIF(Tableau_Lancer_la_requête_à_partir_de_Excel_Files10256789111214[Avis Cofimac],"2-Favorable sous réserve",Tableau_Lancer_la_requête_à_partir_de_Excel_Files10256789111214[''43''])</f>
        <v>0</v>
      </c>
      <c r="U87" s="1">
        <f>SUMIF(Tableau_Lancer_la_requête_à_partir_de_Excel_Files102567891112[Avis Prog],"1-Favorable",Tableau_Lancer_la_requête_à_partir_de_Excel_Files102567891112[''43''])</f>
        <v>0</v>
      </c>
      <c r="V87" s="3">
        <f>SUMIF(Tableau_Lancer_la_requête_à_partir_de_Excel_Files102567891112[Avis Cofimac],"1-Favorable",Tableau_Lancer_la_requête_à_partir_de_Excel_Files102567891112[''43''])</f>
        <v>0</v>
      </c>
      <c r="W87" s="1">
        <f>SUMIF(Tableau_Lancer_la_requête_à_partir_de_Excel_Files102567891112[Avis Prog],"2-Favorable sous réserve",Tableau_Lancer_la_requête_à_partir_de_Excel_Files102567891112[''43''])</f>
        <v>0</v>
      </c>
      <c r="X87" s="3">
        <f>SUMIF(Tableau_Lancer_la_requête_à_partir_de_Excel_Files102567891112[Avis Cofimac],"2-Favorable sous réserve",Tableau_Lancer_la_requête_à_partir_de_Excel_Files102567891112[''43''])</f>
        <v>0</v>
      </c>
    </row>
    <row r="88" spans="4:24" hidden="1" x14ac:dyDescent="0.25">
      <c r="D88" t="s">
        <v>34</v>
      </c>
      <c r="E88" s="3">
        <f t="shared" si="0"/>
        <v>0</v>
      </c>
      <c r="F88" s="3">
        <f t="shared" si="1"/>
        <v>0</v>
      </c>
      <c r="H88" s="1">
        <f>SUMIF(Tableau_Lancer_la_requête_à_partir_de_Excel_Files1025678911[Avis Prog],"1-Favorable",Tableau_Lancer_la_requête_à_partir_de_Excel_Files1025678911[''46''])</f>
        <v>0</v>
      </c>
      <c r="I88" s="3">
        <f>SUMIF(Tableau_Lancer_la_requête_à_partir_de_Excel_Files1025678911[Avis Cofimac],"1-Favorable",Tableau_Lancer_la_requête_à_partir_de_Excel_Files1025678911[''46''])</f>
        <v>0</v>
      </c>
      <c r="J88" s="1">
        <f>SUMIF(Tableau_Lancer_la_requête_à_partir_de_Excel_Files1025678911[Avis Prog],"2-Favorable sous réserve",Tableau_Lancer_la_requête_à_partir_de_Excel_Files1025678911[''46''])</f>
        <v>0</v>
      </c>
      <c r="K88" s="3">
        <f>SUMIF(Tableau_Lancer_la_requête_à_partir_de_Excel_Files1025678911[Avis Cofimac],"2-Favorable sous réserve",Tableau_Lancer_la_requête_à_partir_de_Excel_Files1025678911[''46''])</f>
        <v>0</v>
      </c>
      <c r="M88" s="1">
        <f>SUMIF(Tableau_Lancer_la_requête_à_partir_de_Excel_Files102567891113[Avis Prog],"1-Favorable",Tableau_Lancer_la_requête_à_partir_de_Excel_Files102567891113[''46''])</f>
        <v>0</v>
      </c>
      <c r="N88" s="3">
        <f>SUMIF(Tableau_Lancer_la_requête_à_partir_de_Excel_Files102567891113[Avis Cofimac],"1-Favorable",Tableau_Lancer_la_requête_à_partir_de_Excel_Files102567891113[''46''])</f>
        <v>0</v>
      </c>
      <c r="O88" s="1">
        <f>SUMIF(Tableau_Lancer_la_requête_à_partir_de_Excel_Files102567891113[Avis Prog],"2-Favorable sous réserve",Tableau_Lancer_la_requête_à_partir_de_Excel_Files102567891113[''46''])</f>
        <v>0</v>
      </c>
      <c r="P88" s="3">
        <f>SUMIF(Tableau_Lancer_la_requête_à_partir_de_Excel_Files102567891113[Avis Cofimac],"2-Favorable sous réserve",Tableau_Lancer_la_requête_à_partir_de_Excel_Files102567891113[''46''])</f>
        <v>0</v>
      </c>
      <c r="Q88" s="1">
        <f>SUMIF(Tableau_Lancer_la_requête_à_partir_de_Excel_Files10256789111214[Avis Prog],"1-Favorable",Tableau_Lancer_la_requête_à_partir_de_Excel_Files10256789111214[''46''])</f>
        <v>0</v>
      </c>
      <c r="R88" s="3">
        <f>SUMIF(Tableau_Lancer_la_requête_à_partir_de_Excel_Files10256789111214[Avis Cofimac],"1-Favorable",Tableau_Lancer_la_requête_à_partir_de_Excel_Files10256789111214[''46''])</f>
        <v>0</v>
      </c>
      <c r="S88" s="1">
        <f>SUMIF(Tableau_Lancer_la_requête_à_partir_de_Excel_Files10256789111214[Avis Prog],"2-Favorable sous réserve",Tableau_Lancer_la_requête_à_partir_de_Excel_Files10256789111214[''46''])</f>
        <v>0</v>
      </c>
      <c r="T88" s="3">
        <f>SUMIF(Tableau_Lancer_la_requête_à_partir_de_Excel_Files10256789111214[Avis Cofimac],"2-Favorable sous réserve",Tableau_Lancer_la_requête_à_partir_de_Excel_Files10256789111214[''46''])</f>
        <v>0</v>
      </c>
      <c r="U88" s="1">
        <f>SUMIF(Tableau_Lancer_la_requête_à_partir_de_Excel_Files102567891112[Avis Prog],"1-Favorable",Tableau_Lancer_la_requête_à_partir_de_Excel_Files102567891112[''46''])</f>
        <v>0</v>
      </c>
      <c r="V88" s="3">
        <f>SUMIF(Tableau_Lancer_la_requête_à_partir_de_Excel_Files102567891112[Avis Cofimac],"1-Favorable",Tableau_Lancer_la_requête_à_partir_de_Excel_Files102567891112[''46''])</f>
        <v>0</v>
      </c>
      <c r="W88" s="1">
        <f>SUMIF(Tableau_Lancer_la_requête_à_partir_de_Excel_Files102567891112[Avis Prog],"2-Favorable sous réserve",Tableau_Lancer_la_requête_à_partir_de_Excel_Files102567891112[''46''])</f>
        <v>0</v>
      </c>
      <c r="X88" s="3">
        <f>SUMIF(Tableau_Lancer_la_requête_à_partir_de_Excel_Files102567891112[Avis Cofimac],"2-Favorable sous réserve",Tableau_Lancer_la_requête_à_partir_de_Excel_Files102567891112[''46''])</f>
        <v>0</v>
      </c>
    </row>
    <row r="89" spans="4:24" hidden="1" x14ac:dyDescent="0.25">
      <c r="D89" t="s">
        <v>35</v>
      </c>
      <c r="E89" s="3">
        <f t="shared" si="0"/>
        <v>0</v>
      </c>
      <c r="F89" s="3">
        <f t="shared" si="1"/>
        <v>15330</v>
      </c>
      <c r="H89" s="1">
        <f>SUMIF(Tableau_Lancer_la_requête_à_partir_de_Excel_Files1025678911[Avis Prog],"1-Favorable",Tableau_Lancer_la_requête_à_partir_de_Excel_Files1025678911[''48''])</f>
        <v>0</v>
      </c>
      <c r="I89" s="3">
        <f>SUMIF(Tableau_Lancer_la_requête_à_partir_de_Excel_Files1025678911[Avis Cofimac],"1-Favorable",Tableau_Lancer_la_requête_à_partir_de_Excel_Files1025678911[''48''])</f>
        <v>0</v>
      </c>
      <c r="J89" s="1">
        <f>SUMIF(Tableau_Lancer_la_requête_à_partir_de_Excel_Files1025678911[Avis Prog],"2-Favorable sous réserve",Tableau_Lancer_la_requête_à_partir_de_Excel_Files1025678911[''48''])</f>
        <v>0</v>
      </c>
      <c r="K89" s="3">
        <f>SUMIF(Tableau_Lancer_la_requête_à_partir_de_Excel_Files1025678911[Avis Cofimac],"2-Favorable sous réserve",Tableau_Lancer_la_requête_à_partir_de_Excel_Files1025678911[''48''])</f>
        <v>0</v>
      </c>
      <c r="M89" s="1">
        <f>SUMIF(Tableau_Lancer_la_requête_à_partir_de_Excel_Files102567891113[Avis Prog],"1-Favorable",Tableau_Lancer_la_requête_à_partir_de_Excel_Files102567891113[''48''])</f>
        <v>0</v>
      </c>
      <c r="N89" s="3">
        <f>SUMIF(Tableau_Lancer_la_requête_à_partir_de_Excel_Files102567891113[Avis Cofimac],"1-Favorable",Tableau_Lancer_la_requête_à_partir_de_Excel_Files102567891113[''48''])</f>
        <v>0</v>
      </c>
      <c r="O89" s="1">
        <f>SUMIF(Tableau_Lancer_la_requête_à_partir_de_Excel_Files102567891113[Avis Prog],"2-Favorable sous réserve",Tableau_Lancer_la_requête_à_partir_de_Excel_Files102567891113[''48''])</f>
        <v>0</v>
      </c>
      <c r="P89" s="3">
        <f>SUMIF(Tableau_Lancer_la_requête_à_partir_de_Excel_Files102567891113[Avis Cofimac],"2-Favorable sous réserve",Tableau_Lancer_la_requête_à_partir_de_Excel_Files102567891113[''48''])</f>
        <v>0</v>
      </c>
      <c r="Q89" s="1">
        <f>SUMIF(Tableau_Lancer_la_requête_à_partir_de_Excel_Files10256789111214[Avis Prog],"1-Favorable",Tableau_Lancer_la_requête_à_partir_de_Excel_Files10256789111214[''48''])</f>
        <v>0</v>
      </c>
      <c r="R89" s="3">
        <f>SUMIF(Tableau_Lancer_la_requête_à_partir_de_Excel_Files10256789111214[Avis Cofimac],"1-Favorable",Tableau_Lancer_la_requête_à_partir_de_Excel_Files10256789111214[''48''])</f>
        <v>0</v>
      </c>
      <c r="S89" s="1">
        <f>SUMIF(Tableau_Lancer_la_requête_à_partir_de_Excel_Files10256789111214[Avis Prog],"2-Favorable sous réserve",Tableau_Lancer_la_requête_à_partir_de_Excel_Files10256789111214[''48''])</f>
        <v>0</v>
      </c>
      <c r="T89" s="3">
        <f>SUMIF(Tableau_Lancer_la_requête_à_partir_de_Excel_Files10256789111214[Avis Cofimac],"2-Favorable sous réserve",Tableau_Lancer_la_requête_à_partir_de_Excel_Files10256789111214[''48''])</f>
        <v>15330</v>
      </c>
      <c r="U89" s="1">
        <f>SUMIF(Tableau_Lancer_la_requête_à_partir_de_Excel_Files102567891112[Avis Prog],"1-Favorable",Tableau_Lancer_la_requête_à_partir_de_Excel_Files102567891112[''48''])</f>
        <v>0</v>
      </c>
      <c r="V89" s="3">
        <f>SUMIF(Tableau_Lancer_la_requête_à_partir_de_Excel_Files102567891112[Avis Cofimac],"1-Favorable",Tableau_Lancer_la_requête_à_partir_de_Excel_Files102567891112[''48''])</f>
        <v>0</v>
      </c>
      <c r="W89" s="1">
        <f>SUMIF(Tableau_Lancer_la_requête_à_partir_de_Excel_Files102567891112[Avis Prog],"2-Favorable sous réserve",Tableau_Lancer_la_requête_à_partir_de_Excel_Files102567891112[''48''])</f>
        <v>0</v>
      </c>
      <c r="X89" s="3">
        <f>SUMIF(Tableau_Lancer_la_requête_à_partir_de_Excel_Files102567891112[Avis Cofimac],"2-Favorable sous réserve",Tableau_Lancer_la_requête_à_partir_de_Excel_Files102567891112[''48''])</f>
        <v>0</v>
      </c>
    </row>
    <row r="90" spans="4:24" hidden="1" x14ac:dyDescent="0.25">
      <c r="D90" t="s">
        <v>36</v>
      </c>
      <c r="E90" s="3">
        <f t="shared" si="0"/>
        <v>0</v>
      </c>
      <c r="F90" s="3">
        <f t="shared" si="1"/>
        <v>0</v>
      </c>
      <c r="H90" s="1">
        <f>SUMIF(Tableau_Lancer_la_requête_à_partir_de_Excel_Files1025678911[Avis Prog],"1-Favorable",Tableau_Lancer_la_requête_à_partir_de_Excel_Files1025678911[''58''])</f>
        <v>0</v>
      </c>
      <c r="I90" s="3">
        <f>SUMIF(Tableau_Lancer_la_requête_à_partir_de_Excel_Files1025678911[Avis Cofimac],"1-Favorable",Tableau_Lancer_la_requête_à_partir_de_Excel_Files1025678911[''58''])</f>
        <v>0</v>
      </c>
      <c r="J90" s="1">
        <f>SUMIF(Tableau_Lancer_la_requête_à_partir_de_Excel_Files1025678911[Avis Prog],"2-Favorable sous réserve",Tableau_Lancer_la_requête_à_partir_de_Excel_Files1025678911[''58''])</f>
        <v>0</v>
      </c>
      <c r="K90" s="3">
        <f>SUMIF(Tableau_Lancer_la_requête_à_partir_de_Excel_Files1025678911[Avis Cofimac],"2-Favorable sous réserve",Tableau_Lancer_la_requête_à_partir_de_Excel_Files1025678911[''58''])</f>
        <v>0</v>
      </c>
      <c r="M90" s="1">
        <f>SUMIF(Tableau_Lancer_la_requête_à_partir_de_Excel_Files102567891113[Avis Prog],"1-Favorable",Tableau_Lancer_la_requête_à_partir_de_Excel_Files102567891113[''58''])</f>
        <v>0</v>
      </c>
      <c r="N90" s="3">
        <f>SUMIF(Tableau_Lancer_la_requête_à_partir_de_Excel_Files102567891113[Avis Cofimac],"1-Favorable",Tableau_Lancer_la_requête_à_partir_de_Excel_Files102567891113[''58''])</f>
        <v>0</v>
      </c>
      <c r="O90" s="1">
        <f>SUMIF(Tableau_Lancer_la_requête_à_partir_de_Excel_Files102567891113[Avis Prog],"2-Favorable sous réserve",Tableau_Lancer_la_requête_à_partir_de_Excel_Files102567891113[''58''])</f>
        <v>0</v>
      </c>
      <c r="P90" s="3">
        <f>SUMIF(Tableau_Lancer_la_requête_à_partir_de_Excel_Files102567891113[Avis Cofimac],"2-Favorable sous réserve",Tableau_Lancer_la_requête_à_partir_de_Excel_Files102567891113[''58''])</f>
        <v>0</v>
      </c>
      <c r="Q90" s="1">
        <f>SUMIF(Tableau_Lancer_la_requête_à_partir_de_Excel_Files10256789111214[Avis Prog],"1-Favorable",Tableau_Lancer_la_requête_à_partir_de_Excel_Files10256789111214[''58''])</f>
        <v>0</v>
      </c>
      <c r="R90" s="3">
        <f>SUMIF(Tableau_Lancer_la_requête_à_partir_de_Excel_Files10256789111214[Avis Cofimac],"1-Favorable",Tableau_Lancer_la_requête_à_partir_de_Excel_Files10256789111214[''58''])</f>
        <v>0</v>
      </c>
      <c r="S90" s="1">
        <f>SUMIF(Tableau_Lancer_la_requête_à_partir_de_Excel_Files10256789111214[Avis Prog],"2-Favorable sous réserve",Tableau_Lancer_la_requête_à_partir_de_Excel_Files10256789111214[''58''])</f>
        <v>0</v>
      </c>
      <c r="T90" s="3">
        <f>SUMIF(Tableau_Lancer_la_requête_à_partir_de_Excel_Files10256789111214[Avis Cofimac],"2-Favorable sous réserve",Tableau_Lancer_la_requête_à_partir_de_Excel_Files10256789111214[''58''])</f>
        <v>0</v>
      </c>
      <c r="U90" s="1">
        <f>SUMIF(Tableau_Lancer_la_requête_à_partir_de_Excel_Files102567891112[Avis Prog],"1-Favorable",Tableau_Lancer_la_requête_à_partir_de_Excel_Files102567891112[''58''])</f>
        <v>0</v>
      </c>
      <c r="V90" s="3">
        <f>SUMIF(Tableau_Lancer_la_requête_à_partir_de_Excel_Files102567891112[Avis Cofimac],"1-Favorable",Tableau_Lancer_la_requête_à_partir_de_Excel_Files102567891112[''58''])</f>
        <v>0</v>
      </c>
      <c r="W90" s="1">
        <f>SUMIF(Tableau_Lancer_la_requête_à_partir_de_Excel_Files102567891112[Avis Prog],"2-Favorable sous réserve",Tableau_Lancer_la_requête_à_partir_de_Excel_Files102567891112[''58''])</f>
        <v>0</v>
      </c>
      <c r="X90" s="3">
        <f>SUMIF(Tableau_Lancer_la_requête_à_partir_de_Excel_Files102567891112[Avis Cofimac],"2-Favorable sous réserve",Tableau_Lancer_la_requête_à_partir_de_Excel_Files102567891112[''58''])</f>
        <v>0</v>
      </c>
    </row>
    <row r="91" spans="4:24" hidden="1" x14ac:dyDescent="0.25">
      <c r="D91" t="s">
        <v>37</v>
      </c>
      <c r="E91" s="3">
        <f t="shared" si="0"/>
        <v>0</v>
      </c>
      <c r="F91" s="3">
        <f t="shared" si="1"/>
        <v>0</v>
      </c>
      <c r="H91" s="1">
        <f>SUMIF(Tableau_Lancer_la_requête_à_partir_de_Excel_Files1025678911[Avis Prog],"1-Favorable",Tableau_Lancer_la_requête_à_partir_de_Excel_Files1025678911[''63''])</f>
        <v>0</v>
      </c>
      <c r="I91" s="3">
        <f>SUMIF(Tableau_Lancer_la_requête_à_partir_de_Excel_Files1025678911[Avis Cofimac],"1-Favorable",Tableau_Lancer_la_requête_à_partir_de_Excel_Files1025678911[''63''])</f>
        <v>0</v>
      </c>
      <c r="J91" s="1">
        <f>SUMIF(Tableau_Lancer_la_requête_à_partir_de_Excel_Files1025678911[Avis Prog],"2-Favorable sous réserve",Tableau_Lancer_la_requête_à_partir_de_Excel_Files1025678911[''63''])</f>
        <v>0</v>
      </c>
      <c r="K91" s="3">
        <f>SUMIF(Tableau_Lancer_la_requête_à_partir_de_Excel_Files1025678911[Avis Cofimac],"2-Favorable sous réserve",Tableau_Lancer_la_requête_à_partir_de_Excel_Files1025678911[''63''])</f>
        <v>0</v>
      </c>
      <c r="M91" s="1">
        <f>SUMIF(Tableau_Lancer_la_requête_à_partir_de_Excel_Files102567891113[Avis Prog],"1-Favorable",Tableau_Lancer_la_requête_à_partir_de_Excel_Files102567891113[''63''])</f>
        <v>0</v>
      </c>
      <c r="N91" s="3">
        <f>SUMIF(Tableau_Lancer_la_requête_à_partir_de_Excel_Files102567891113[Avis Cofimac],"1-Favorable",Tableau_Lancer_la_requête_à_partir_de_Excel_Files102567891113[''63''])</f>
        <v>0</v>
      </c>
      <c r="O91" s="1">
        <f>SUMIF(Tableau_Lancer_la_requête_à_partir_de_Excel_Files102567891113[Avis Prog],"2-Favorable sous réserve",Tableau_Lancer_la_requête_à_partir_de_Excel_Files102567891113[''63''])</f>
        <v>0</v>
      </c>
      <c r="P91" s="3">
        <f>SUMIF(Tableau_Lancer_la_requête_à_partir_de_Excel_Files102567891113[Avis Cofimac],"2-Favorable sous réserve",Tableau_Lancer_la_requête_à_partir_de_Excel_Files102567891113[''63''])</f>
        <v>0</v>
      </c>
      <c r="Q91" s="1">
        <f>SUMIF(Tableau_Lancer_la_requête_à_partir_de_Excel_Files10256789111214[Avis Prog],"1-Favorable",Tableau_Lancer_la_requête_à_partir_de_Excel_Files10256789111214[''63''])</f>
        <v>0</v>
      </c>
      <c r="R91" s="3">
        <f>SUMIF(Tableau_Lancer_la_requête_à_partir_de_Excel_Files10256789111214[Avis Cofimac],"1-Favorable",Tableau_Lancer_la_requête_à_partir_de_Excel_Files10256789111214[''63''])</f>
        <v>0</v>
      </c>
      <c r="S91" s="1">
        <f>SUMIF(Tableau_Lancer_la_requête_à_partir_de_Excel_Files10256789111214[Avis Prog],"2-Favorable sous réserve",Tableau_Lancer_la_requête_à_partir_de_Excel_Files10256789111214[''63''])</f>
        <v>0</v>
      </c>
      <c r="T91" s="3">
        <f>SUMIF(Tableau_Lancer_la_requête_à_partir_de_Excel_Files10256789111214[Avis Cofimac],"2-Favorable sous réserve",Tableau_Lancer_la_requête_à_partir_de_Excel_Files10256789111214[''63''])</f>
        <v>0</v>
      </c>
      <c r="U91" s="1">
        <f>SUMIF(Tableau_Lancer_la_requête_à_partir_de_Excel_Files102567891112[Avis Prog],"1-Favorable",Tableau_Lancer_la_requête_à_partir_de_Excel_Files102567891112[''63''])</f>
        <v>0</v>
      </c>
      <c r="V91" s="3">
        <f>SUMIF(Tableau_Lancer_la_requête_à_partir_de_Excel_Files102567891112[Avis Cofimac],"1-Favorable",Tableau_Lancer_la_requête_à_partir_de_Excel_Files102567891112[''63''])</f>
        <v>0</v>
      </c>
      <c r="W91" s="1">
        <f>SUMIF(Tableau_Lancer_la_requête_à_partir_de_Excel_Files102567891112[Avis Prog],"2-Favorable sous réserve",Tableau_Lancer_la_requête_à_partir_de_Excel_Files102567891112[''63''])</f>
        <v>0</v>
      </c>
      <c r="X91" s="3">
        <f>SUMIF(Tableau_Lancer_la_requête_à_partir_de_Excel_Files102567891112[Avis Cofimac],"2-Favorable sous réserve",Tableau_Lancer_la_requête_à_partir_de_Excel_Files102567891112[''63''])</f>
        <v>0</v>
      </c>
    </row>
    <row r="92" spans="4:24" hidden="1" x14ac:dyDescent="0.25">
      <c r="D92" t="s">
        <v>38</v>
      </c>
      <c r="E92" s="3">
        <f t="shared" si="0"/>
        <v>3765</v>
      </c>
      <c r="F92" s="3">
        <f t="shared" si="1"/>
        <v>3765</v>
      </c>
      <c r="H92" s="1">
        <f>SUMIF(Tableau_Lancer_la_requête_à_partir_de_Excel_Files1025678911[Avis Prog],"1-Favorable",Tableau_Lancer_la_requête_à_partir_de_Excel_Files1025678911[''69''])</f>
        <v>0</v>
      </c>
      <c r="I92" s="3">
        <f>SUMIF(Tableau_Lancer_la_requête_à_partir_de_Excel_Files1025678911[Avis Cofimac],"1-Favorable",Tableau_Lancer_la_requête_à_partir_de_Excel_Files1025678911[''69''])</f>
        <v>0</v>
      </c>
      <c r="J92" s="1">
        <f>SUMIF(Tableau_Lancer_la_requête_à_partir_de_Excel_Files1025678911[Avis Prog],"2-Favorable sous réserve",Tableau_Lancer_la_requête_à_partir_de_Excel_Files1025678911[''69''])</f>
        <v>0</v>
      </c>
      <c r="K92" s="3">
        <f>SUMIF(Tableau_Lancer_la_requête_à_partir_de_Excel_Files1025678911[Avis Cofimac],"2-Favorable sous réserve",Tableau_Lancer_la_requête_à_partir_de_Excel_Files1025678911[''69''])</f>
        <v>0</v>
      </c>
      <c r="M92" s="1">
        <f>SUMIF(Tableau_Lancer_la_requête_à_partir_de_Excel_Files102567891113[Avis Prog],"1-Favorable",Tableau_Lancer_la_requête_à_partir_de_Excel_Files102567891113[''69''])</f>
        <v>3765</v>
      </c>
      <c r="N92" s="3">
        <f>SUMIF(Tableau_Lancer_la_requête_à_partir_de_Excel_Files102567891113[Avis Cofimac],"1-Favorable",Tableau_Lancer_la_requête_à_partir_de_Excel_Files102567891113[''69''])</f>
        <v>0</v>
      </c>
      <c r="O92" s="1">
        <f>SUMIF(Tableau_Lancer_la_requête_à_partir_de_Excel_Files102567891113[Avis Prog],"2-Favorable sous réserve",Tableau_Lancer_la_requête_à_partir_de_Excel_Files102567891113[''69''])</f>
        <v>0</v>
      </c>
      <c r="P92" s="3">
        <f>SUMIF(Tableau_Lancer_la_requête_à_partir_de_Excel_Files102567891113[Avis Cofimac],"2-Favorable sous réserve",Tableau_Lancer_la_requête_à_partir_de_Excel_Files102567891113[''69''])</f>
        <v>3765</v>
      </c>
      <c r="Q92" s="1">
        <f>SUMIF(Tableau_Lancer_la_requête_à_partir_de_Excel_Files10256789111214[Avis Prog],"1-Favorable",Tableau_Lancer_la_requête_à_partir_de_Excel_Files10256789111214[''69''])</f>
        <v>0</v>
      </c>
      <c r="R92" s="3">
        <f>SUMIF(Tableau_Lancer_la_requête_à_partir_de_Excel_Files10256789111214[Avis Cofimac],"1-Favorable",Tableau_Lancer_la_requête_à_partir_de_Excel_Files10256789111214[''69''])</f>
        <v>0</v>
      </c>
      <c r="S92" s="1">
        <f>SUMIF(Tableau_Lancer_la_requête_à_partir_de_Excel_Files10256789111214[Avis Prog],"2-Favorable sous réserve",Tableau_Lancer_la_requête_à_partir_de_Excel_Files10256789111214[''69''])</f>
        <v>0</v>
      </c>
      <c r="T92" s="3">
        <f>SUMIF(Tableau_Lancer_la_requête_à_partir_de_Excel_Files10256789111214[Avis Cofimac],"2-Favorable sous réserve",Tableau_Lancer_la_requête_à_partir_de_Excel_Files10256789111214[''69''])</f>
        <v>0</v>
      </c>
      <c r="U92" s="1">
        <f>SUMIF(Tableau_Lancer_la_requête_à_partir_de_Excel_Files102567891112[Avis Prog],"1-Favorable",Tableau_Lancer_la_requête_à_partir_de_Excel_Files102567891112[''69''])</f>
        <v>0</v>
      </c>
      <c r="V92" s="3">
        <f>SUMIF(Tableau_Lancer_la_requête_à_partir_de_Excel_Files102567891112[Avis Cofimac],"1-Favorable",Tableau_Lancer_la_requête_à_partir_de_Excel_Files102567891112[''69''])</f>
        <v>0</v>
      </c>
      <c r="W92" s="1">
        <f>SUMIF(Tableau_Lancer_la_requête_à_partir_de_Excel_Files102567891112[Avis Prog],"2-Favorable sous réserve",Tableau_Lancer_la_requête_à_partir_de_Excel_Files102567891112[''69''])</f>
        <v>0</v>
      </c>
      <c r="X92" s="3">
        <f>SUMIF(Tableau_Lancer_la_requête_à_partir_de_Excel_Files102567891112[Avis Cofimac],"2-Favorable sous réserve",Tableau_Lancer_la_requête_à_partir_de_Excel_Files102567891112[''69''])</f>
        <v>0</v>
      </c>
    </row>
    <row r="93" spans="4:24" hidden="1" x14ac:dyDescent="0.25">
      <c r="D93" t="s">
        <v>39</v>
      </c>
      <c r="E93" s="3">
        <f t="shared" si="0"/>
        <v>0</v>
      </c>
      <c r="F93" s="3">
        <f t="shared" si="1"/>
        <v>0</v>
      </c>
      <c r="H93" s="1">
        <f>SUMIF(Tableau_Lancer_la_requête_à_partir_de_Excel_Files1025678911[Avis Prog],"1-Favorable",Tableau_Lancer_la_requête_à_partir_de_Excel_Files1025678911[''71''])</f>
        <v>0</v>
      </c>
      <c r="I93" s="3">
        <f>SUMIF(Tableau_Lancer_la_requête_à_partir_de_Excel_Files1025678911[Avis Cofimac],"1-Favorable",Tableau_Lancer_la_requête_à_partir_de_Excel_Files1025678911[''71''])</f>
        <v>0</v>
      </c>
      <c r="J93" s="1">
        <f>SUMIF(Tableau_Lancer_la_requête_à_partir_de_Excel_Files1025678911[Avis Prog],"2-Favorable sous réserve",Tableau_Lancer_la_requête_à_partir_de_Excel_Files1025678911[''71''])</f>
        <v>0</v>
      </c>
      <c r="K93" s="3">
        <f>SUMIF(Tableau_Lancer_la_requête_à_partir_de_Excel_Files1025678911[Avis Cofimac],"2-Favorable sous réserve",Tableau_Lancer_la_requête_à_partir_de_Excel_Files1025678911[''71''])</f>
        <v>0</v>
      </c>
      <c r="M93" s="1">
        <f>SUMIF(Tableau_Lancer_la_requête_à_partir_de_Excel_Files102567891113[Avis Prog],"1-Favorable",Tableau_Lancer_la_requête_à_partir_de_Excel_Files102567891113[''71''])</f>
        <v>0</v>
      </c>
      <c r="N93" s="3">
        <f>SUMIF(Tableau_Lancer_la_requête_à_partir_de_Excel_Files102567891113[Avis Cofimac],"1-Favorable",Tableau_Lancer_la_requête_à_partir_de_Excel_Files102567891113[''71''])</f>
        <v>0</v>
      </c>
      <c r="O93" s="1">
        <f>SUMIF(Tableau_Lancer_la_requête_à_partir_de_Excel_Files102567891113[Avis Prog],"2-Favorable sous réserve",Tableau_Lancer_la_requête_à_partir_de_Excel_Files102567891113[''71''])</f>
        <v>0</v>
      </c>
      <c r="P93" s="3">
        <f>SUMIF(Tableau_Lancer_la_requête_à_partir_de_Excel_Files102567891113[Avis Cofimac],"2-Favorable sous réserve",Tableau_Lancer_la_requête_à_partir_de_Excel_Files102567891113[''71''])</f>
        <v>0</v>
      </c>
      <c r="Q93" s="1">
        <f>SUMIF(Tableau_Lancer_la_requête_à_partir_de_Excel_Files10256789111214[Avis Prog],"1-Favorable",Tableau_Lancer_la_requête_à_partir_de_Excel_Files10256789111214[''71''])</f>
        <v>0</v>
      </c>
      <c r="R93" s="3">
        <f>SUMIF(Tableau_Lancer_la_requête_à_partir_de_Excel_Files10256789111214[Avis Cofimac],"1-Favorable",Tableau_Lancer_la_requête_à_partir_de_Excel_Files10256789111214[''71''])</f>
        <v>0</v>
      </c>
      <c r="S93" s="1">
        <f>SUMIF(Tableau_Lancer_la_requête_à_partir_de_Excel_Files10256789111214[Avis Prog],"2-Favorable sous réserve",Tableau_Lancer_la_requête_à_partir_de_Excel_Files10256789111214[''71''])</f>
        <v>0</v>
      </c>
      <c r="T93" s="3">
        <f>SUMIF(Tableau_Lancer_la_requête_à_partir_de_Excel_Files10256789111214[Avis Cofimac],"2-Favorable sous réserve",Tableau_Lancer_la_requête_à_partir_de_Excel_Files10256789111214[''71''])</f>
        <v>0</v>
      </c>
      <c r="U93" s="1">
        <f>SUMIF(Tableau_Lancer_la_requête_à_partir_de_Excel_Files102567891112[Avis Prog],"1-Favorable",Tableau_Lancer_la_requête_à_partir_de_Excel_Files102567891112[''71''])</f>
        <v>0</v>
      </c>
      <c r="V93" s="3">
        <f>SUMIF(Tableau_Lancer_la_requête_à_partir_de_Excel_Files102567891112[Avis Cofimac],"1-Favorable",Tableau_Lancer_la_requête_à_partir_de_Excel_Files102567891112[''71''])</f>
        <v>0</v>
      </c>
      <c r="W93" s="1">
        <f>SUMIF(Tableau_Lancer_la_requête_à_partir_de_Excel_Files102567891112[Avis Prog],"2-Favorable sous réserve",Tableau_Lancer_la_requête_à_partir_de_Excel_Files102567891112[''71''])</f>
        <v>0</v>
      </c>
      <c r="X93" s="3">
        <f>SUMIF(Tableau_Lancer_la_requête_à_partir_de_Excel_Files102567891112[Avis Cofimac],"2-Favorable sous réserve",Tableau_Lancer_la_requête_à_partir_de_Excel_Files102567891112[''71''])</f>
        <v>0</v>
      </c>
    </row>
    <row r="94" spans="4:24" hidden="1" x14ac:dyDescent="0.25">
      <c r="D94" t="s">
        <v>40</v>
      </c>
      <c r="E94" s="3">
        <f t="shared" si="0"/>
        <v>0</v>
      </c>
      <c r="F94" s="3">
        <f t="shared" si="1"/>
        <v>0</v>
      </c>
      <c r="H94" s="1">
        <f>SUMIF(Tableau_Lancer_la_requête_à_partir_de_Excel_Files1025678911[Avis Prog],"1-Favorable",Tableau_Lancer_la_requête_à_partir_de_Excel_Files1025678911[''81''])</f>
        <v>0</v>
      </c>
      <c r="I94" s="3">
        <f>SUMIF(Tableau_Lancer_la_requête_à_partir_de_Excel_Files1025678911[Avis Cofimac],"1-Favorable",Tableau_Lancer_la_requête_à_partir_de_Excel_Files1025678911[''81''])</f>
        <v>0</v>
      </c>
      <c r="J94" s="1">
        <f>SUMIF(Tableau_Lancer_la_requête_à_partir_de_Excel_Files1025678911[Avis Prog],"2-Favorable sous réserve",Tableau_Lancer_la_requête_à_partir_de_Excel_Files1025678911[''81''])</f>
        <v>0</v>
      </c>
      <c r="K94" s="3">
        <f>SUMIF(Tableau_Lancer_la_requête_à_partir_de_Excel_Files1025678911[Avis Cofimac],"2-Favorable sous réserve",Tableau_Lancer_la_requête_à_partir_de_Excel_Files1025678911[''81''])</f>
        <v>0</v>
      </c>
      <c r="M94" s="1">
        <f>SUMIF(Tableau_Lancer_la_requête_à_partir_de_Excel_Files102567891113[Avis Prog],"1-Favorable",Tableau_Lancer_la_requête_à_partir_de_Excel_Files102567891113[''81''])</f>
        <v>0</v>
      </c>
      <c r="N94" s="3">
        <f>SUMIF(Tableau_Lancer_la_requête_à_partir_de_Excel_Files102567891113[Avis Cofimac],"1-Favorable",Tableau_Lancer_la_requête_à_partir_de_Excel_Files102567891113[''81''])</f>
        <v>0</v>
      </c>
      <c r="O94" s="1">
        <f>SUMIF(Tableau_Lancer_la_requête_à_partir_de_Excel_Files102567891113[Avis Prog],"2-Favorable sous réserve",Tableau_Lancer_la_requête_à_partir_de_Excel_Files102567891113[''81''])</f>
        <v>0</v>
      </c>
      <c r="P94" s="3">
        <f>SUMIF(Tableau_Lancer_la_requête_à_partir_de_Excel_Files102567891113[Avis Cofimac],"2-Favorable sous réserve",Tableau_Lancer_la_requête_à_partir_de_Excel_Files102567891113[''81''])</f>
        <v>0</v>
      </c>
      <c r="Q94" s="1">
        <f>SUMIF(Tableau_Lancer_la_requête_à_partir_de_Excel_Files10256789111214[Avis Prog],"1-Favorable",Tableau_Lancer_la_requête_à_partir_de_Excel_Files10256789111214[''81''])</f>
        <v>0</v>
      </c>
      <c r="R94" s="3">
        <f>SUMIF(Tableau_Lancer_la_requête_à_partir_de_Excel_Files10256789111214[Avis Cofimac],"1-Favorable",Tableau_Lancer_la_requête_à_partir_de_Excel_Files10256789111214[''81''])</f>
        <v>0</v>
      </c>
      <c r="S94" s="1">
        <f>SUMIF(Tableau_Lancer_la_requête_à_partir_de_Excel_Files10256789111214[Avis Prog],"2-Favorable sous réserve",Tableau_Lancer_la_requête_à_partir_de_Excel_Files10256789111214[''81''])</f>
        <v>0</v>
      </c>
      <c r="T94" s="3">
        <f>SUMIF(Tableau_Lancer_la_requête_à_partir_de_Excel_Files10256789111214[Avis Cofimac],"2-Favorable sous réserve",Tableau_Lancer_la_requête_à_partir_de_Excel_Files10256789111214[''81''])</f>
        <v>0</v>
      </c>
      <c r="U94" s="1">
        <f>SUMIF(Tableau_Lancer_la_requête_à_partir_de_Excel_Files102567891112[Avis Prog],"1-Favorable",Tableau_Lancer_la_requête_à_partir_de_Excel_Files102567891112[''81''])</f>
        <v>0</v>
      </c>
      <c r="V94" s="3">
        <f>SUMIF(Tableau_Lancer_la_requête_à_partir_de_Excel_Files102567891112[Avis Cofimac],"1-Favorable",Tableau_Lancer_la_requête_à_partir_de_Excel_Files102567891112[''81''])</f>
        <v>0</v>
      </c>
      <c r="W94" s="1">
        <f>SUMIF(Tableau_Lancer_la_requête_à_partir_de_Excel_Files102567891112[Avis Prog],"2-Favorable sous réserve",Tableau_Lancer_la_requête_à_partir_de_Excel_Files102567891112[''81''])</f>
        <v>0</v>
      </c>
      <c r="X94" s="3">
        <f>SUMIF(Tableau_Lancer_la_requête_à_partir_de_Excel_Files102567891112[Avis Cofimac],"2-Favorable sous réserve",Tableau_Lancer_la_requête_à_partir_de_Excel_Files102567891112[''81''])</f>
        <v>0</v>
      </c>
    </row>
    <row r="95" spans="4:24" hidden="1" x14ac:dyDescent="0.25">
      <c r="D95" t="s">
        <v>41</v>
      </c>
      <c r="E95" s="3">
        <f t="shared" si="0"/>
        <v>0</v>
      </c>
      <c r="F95" s="3">
        <f t="shared" si="1"/>
        <v>0</v>
      </c>
      <c r="H95" s="1">
        <f>SUMIF(Tableau_Lancer_la_requête_à_partir_de_Excel_Files1025678911[Avis Prog],"1-Favorable",Tableau_Lancer_la_requête_à_partir_de_Excel_Files1025678911[''82''])</f>
        <v>0</v>
      </c>
      <c r="I95" s="3">
        <f>SUMIF(Tableau_Lancer_la_requête_à_partir_de_Excel_Files1025678911[Avis Cofimac],"1-Favorable",Tableau_Lancer_la_requête_à_partir_de_Excel_Files1025678911[''82''])</f>
        <v>0</v>
      </c>
      <c r="J95" s="1">
        <f>SUMIF(Tableau_Lancer_la_requête_à_partir_de_Excel_Files1025678911[Avis Prog],"2-Favorable sous réserve",Tableau_Lancer_la_requête_à_partir_de_Excel_Files1025678911[''82''])</f>
        <v>0</v>
      </c>
      <c r="K95" s="3">
        <f>SUMIF(Tableau_Lancer_la_requête_à_partir_de_Excel_Files1025678911[Avis Cofimac],"2-Favorable sous réserve",Tableau_Lancer_la_requête_à_partir_de_Excel_Files1025678911[''82''])</f>
        <v>0</v>
      </c>
      <c r="M95" s="1">
        <f>SUMIF(Tableau_Lancer_la_requête_à_partir_de_Excel_Files102567891113[Avis Prog],"1-Favorable",Tableau_Lancer_la_requête_à_partir_de_Excel_Files102567891113[''82''])</f>
        <v>0</v>
      </c>
      <c r="N95" s="3">
        <f>SUMIF(Tableau_Lancer_la_requête_à_partir_de_Excel_Files102567891113[Avis Cofimac],"1-Favorable",Tableau_Lancer_la_requête_à_partir_de_Excel_Files102567891113[''82''])</f>
        <v>0</v>
      </c>
      <c r="O95" s="1">
        <f>SUMIF(Tableau_Lancer_la_requête_à_partir_de_Excel_Files102567891113[Avis Prog],"2-Favorable sous réserve",Tableau_Lancer_la_requête_à_partir_de_Excel_Files102567891113[''82''])</f>
        <v>0</v>
      </c>
      <c r="P95" s="3">
        <f>SUMIF(Tableau_Lancer_la_requête_à_partir_de_Excel_Files102567891113[Avis Cofimac],"2-Favorable sous réserve",Tableau_Lancer_la_requête_à_partir_de_Excel_Files102567891113[''82''])</f>
        <v>0</v>
      </c>
      <c r="Q95" s="1">
        <f>SUMIF(Tableau_Lancer_la_requête_à_partir_de_Excel_Files10256789111214[Avis Prog],"1-Favorable",Tableau_Lancer_la_requête_à_partir_de_Excel_Files10256789111214[''82''])</f>
        <v>0</v>
      </c>
      <c r="R95" s="3">
        <f>SUMIF(Tableau_Lancer_la_requête_à_partir_de_Excel_Files10256789111214[Avis Cofimac],"1-Favorable",Tableau_Lancer_la_requête_à_partir_de_Excel_Files10256789111214[''82''])</f>
        <v>0</v>
      </c>
      <c r="S95" s="1">
        <f>SUMIF(Tableau_Lancer_la_requête_à_partir_de_Excel_Files10256789111214[Avis Prog],"2-Favorable sous réserve",Tableau_Lancer_la_requête_à_partir_de_Excel_Files10256789111214[''82''])</f>
        <v>0</v>
      </c>
      <c r="T95" s="3">
        <f>SUMIF(Tableau_Lancer_la_requête_à_partir_de_Excel_Files10256789111214[Avis Cofimac],"2-Favorable sous réserve",Tableau_Lancer_la_requête_à_partir_de_Excel_Files10256789111214[''82''])</f>
        <v>0</v>
      </c>
      <c r="U95" s="1">
        <f>SUMIF(Tableau_Lancer_la_requête_à_partir_de_Excel_Files102567891112[Avis Prog],"1-Favorable",Tableau_Lancer_la_requête_à_partir_de_Excel_Files102567891112[''82''])</f>
        <v>0</v>
      </c>
      <c r="V95" s="3">
        <f>SUMIF(Tableau_Lancer_la_requête_à_partir_de_Excel_Files102567891112[Avis Cofimac],"1-Favorable",Tableau_Lancer_la_requête_à_partir_de_Excel_Files102567891112[''82''])</f>
        <v>0</v>
      </c>
      <c r="W95" s="1">
        <f>SUMIF(Tableau_Lancer_la_requête_à_partir_de_Excel_Files102567891112[Avis Prog],"2-Favorable sous réserve",Tableau_Lancer_la_requête_à_partir_de_Excel_Files102567891112[''82''])</f>
        <v>0</v>
      </c>
      <c r="X95" s="3">
        <f>SUMIF(Tableau_Lancer_la_requête_à_partir_de_Excel_Files102567891112[Avis Cofimac],"2-Favorable sous réserve",Tableau_Lancer_la_requête_à_partir_de_Excel_Files102567891112[''82''])</f>
        <v>0</v>
      </c>
    </row>
    <row r="96" spans="4:24" hidden="1" x14ac:dyDescent="0.25">
      <c r="D96" t="s">
        <v>42</v>
      </c>
      <c r="E96" s="3">
        <f t="shared" si="0"/>
        <v>0</v>
      </c>
      <c r="F96" s="3">
        <f t="shared" si="1"/>
        <v>0</v>
      </c>
      <c r="H96" s="1">
        <f>SUMIF(Tableau_Lancer_la_requête_à_partir_de_Excel_Files1025678911[Avis Prog],"1-Favorable",Tableau_Lancer_la_requête_à_partir_de_Excel_Files1025678911[''87''])</f>
        <v>0</v>
      </c>
      <c r="I96" s="3">
        <f>SUMIF(Tableau_Lancer_la_requête_à_partir_de_Excel_Files1025678911[Avis Cofimac],"1-Favorable",Tableau_Lancer_la_requête_à_partir_de_Excel_Files1025678911[''87''])</f>
        <v>0</v>
      </c>
      <c r="J96" s="1">
        <f>SUMIF(Tableau_Lancer_la_requête_à_partir_de_Excel_Files1025678911[Avis Prog],"2-Favorable sous réserve",Tableau_Lancer_la_requête_à_partir_de_Excel_Files1025678911[''87''])</f>
        <v>0</v>
      </c>
      <c r="K96" s="3">
        <f>SUMIF(Tableau_Lancer_la_requête_à_partir_de_Excel_Files1025678911[Avis Cofimac],"2-Favorable sous réserve",Tableau_Lancer_la_requête_à_partir_de_Excel_Files1025678911[''87''])</f>
        <v>0</v>
      </c>
      <c r="M96" s="1">
        <f>SUMIF(Tableau_Lancer_la_requête_à_partir_de_Excel_Files102567891113[Avis Prog],"1-Favorable",Tableau_Lancer_la_requête_à_partir_de_Excel_Files102567891113[''87''])</f>
        <v>0</v>
      </c>
      <c r="N96" s="3">
        <f>SUMIF(Tableau_Lancer_la_requête_à_partir_de_Excel_Files102567891113[Avis Cofimac],"1-Favorable",Tableau_Lancer_la_requête_à_partir_de_Excel_Files102567891113[''87''])</f>
        <v>0</v>
      </c>
      <c r="O96" s="1">
        <f>SUMIF(Tableau_Lancer_la_requête_à_partir_de_Excel_Files102567891113[Avis Prog],"2-Favorable sous réserve",Tableau_Lancer_la_requête_à_partir_de_Excel_Files102567891113[''87''])</f>
        <v>0</v>
      </c>
      <c r="P96" s="3">
        <f>SUMIF(Tableau_Lancer_la_requête_à_partir_de_Excel_Files102567891113[Avis Cofimac],"2-Favorable sous réserve",Tableau_Lancer_la_requête_à_partir_de_Excel_Files102567891113[''87''])</f>
        <v>0</v>
      </c>
      <c r="Q96" s="1">
        <f>SUMIF(Tableau_Lancer_la_requête_à_partir_de_Excel_Files10256789111214[Avis Prog],"1-Favorable",Tableau_Lancer_la_requête_à_partir_de_Excel_Files10256789111214[''87''])</f>
        <v>0</v>
      </c>
      <c r="R96" s="3">
        <f>SUMIF(Tableau_Lancer_la_requête_à_partir_de_Excel_Files10256789111214[Avis Cofimac],"1-Favorable",Tableau_Lancer_la_requête_à_partir_de_Excel_Files10256789111214[''87''])</f>
        <v>0</v>
      </c>
      <c r="S96" s="1">
        <f>SUMIF(Tableau_Lancer_la_requête_à_partir_de_Excel_Files10256789111214[Avis Prog],"2-Favorable sous réserve",Tableau_Lancer_la_requête_à_partir_de_Excel_Files10256789111214[''87''])</f>
        <v>0</v>
      </c>
      <c r="T96" s="3">
        <f>SUMIF(Tableau_Lancer_la_requête_à_partir_de_Excel_Files10256789111214[Avis Cofimac],"2-Favorable sous réserve",Tableau_Lancer_la_requête_à_partir_de_Excel_Files10256789111214[''87''])</f>
        <v>0</v>
      </c>
      <c r="U96" s="1">
        <f>SUMIF(Tableau_Lancer_la_requête_à_partir_de_Excel_Files102567891112[Avis Prog],"1-Favorable",Tableau_Lancer_la_requête_à_partir_de_Excel_Files102567891112[''87''])</f>
        <v>0</v>
      </c>
      <c r="V96" s="3">
        <f>SUMIF(Tableau_Lancer_la_requête_à_partir_de_Excel_Files102567891112[Avis Cofimac],"1-Favorable",Tableau_Lancer_la_requête_à_partir_de_Excel_Files102567891112[''87''])</f>
        <v>0</v>
      </c>
      <c r="W96" s="1">
        <f>SUMIF(Tableau_Lancer_la_requête_à_partir_de_Excel_Files102567891112[Avis Prog],"2-Favorable sous réserve",Tableau_Lancer_la_requête_à_partir_de_Excel_Files102567891112[''87''])</f>
        <v>0</v>
      </c>
      <c r="X96" s="3">
        <f>SUMIF(Tableau_Lancer_la_requête_à_partir_de_Excel_Files102567891112[Avis Cofimac],"2-Favorable sous réserve",Tableau_Lancer_la_requête_à_partir_de_Excel_Files102567891112[''87''])</f>
        <v>0</v>
      </c>
    </row>
    <row r="97" spans="4:24" hidden="1" x14ac:dyDescent="0.25">
      <c r="D97" t="s">
        <v>43</v>
      </c>
      <c r="E97" s="3">
        <f t="shared" si="0"/>
        <v>0</v>
      </c>
      <c r="F97" s="3">
        <f t="shared" si="1"/>
        <v>0</v>
      </c>
      <c r="H97" s="1">
        <f>SUMIF(Tableau_Lancer_la_requête_à_partir_de_Excel_Files1025678911[Avis Prog],"1-Favorable",Tableau_Lancer_la_requête_à_partir_de_Excel_Files1025678911[''89''])</f>
        <v>0</v>
      </c>
      <c r="I97" s="3">
        <f>SUMIF(Tableau_Lancer_la_requête_à_partir_de_Excel_Files1025678911[Avis Cofimac],"1-Favorable",Tableau_Lancer_la_requête_à_partir_de_Excel_Files1025678911[''89''])</f>
        <v>0</v>
      </c>
      <c r="J97" s="1">
        <f>SUMIF(Tableau_Lancer_la_requête_à_partir_de_Excel_Files1025678911[Avis Prog],"2-Favorable sous réserve",Tableau_Lancer_la_requête_à_partir_de_Excel_Files1025678911[''89''])</f>
        <v>0</v>
      </c>
      <c r="K97" s="3">
        <f>SUMIF(Tableau_Lancer_la_requête_à_partir_de_Excel_Files1025678911[Avis Cofimac],"2-Favorable sous réserve",Tableau_Lancer_la_requête_à_partir_de_Excel_Files1025678911[''89''])</f>
        <v>0</v>
      </c>
      <c r="M97" s="1">
        <f>SUMIF(Tableau_Lancer_la_requête_à_partir_de_Excel_Files102567891113[Avis Prog],"1-Favorable",Tableau_Lancer_la_requête_à_partir_de_Excel_Files102567891113[''89''])</f>
        <v>0</v>
      </c>
      <c r="N97" s="3">
        <f>SUMIF(Tableau_Lancer_la_requête_à_partir_de_Excel_Files102567891113[Avis Cofimac],"1-Favorable",Tableau_Lancer_la_requête_à_partir_de_Excel_Files102567891113[''89''])</f>
        <v>0</v>
      </c>
      <c r="O97" s="1">
        <f>SUMIF(Tableau_Lancer_la_requête_à_partir_de_Excel_Files102567891113[Avis Prog],"2-Favorable sous réserve",Tableau_Lancer_la_requête_à_partir_de_Excel_Files102567891113[''89''])</f>
        <v>0</v>
      </c>
      <c r="P97" s="3">
        <f>SUMIF(Tableau_Lancer_la_requête_à_partir_de_Excel_Files102567891113[Avis Cofimac],"2-Favorable sous réserve",Tableau_Lancer_la_requête_à_partir_de_Excel_Files102567891113[''89''])</f>
        <v>0</v>
      </c>
      <c r="Q97" s="1">
        <f>SUMIF(Tableau_Lancer_la_requête_à_partir_de_Excel_Files10256789111214[Avis Prog],"1-Favorable",Tableau_Lancer_la_requête_à_partir_de_Excel_Files10256789111214[''89''])</f>
        <v>0</v>
      </c>
      <c r="R97" s="3">
        <f>SUMIF(Tableau_Lancer_la_requête_à_partir_de_Excel_Files10256789111214[Avis Cofimac],"1-Favorable",Tableau_Lancer_la_requête_à_partir_de_Excel_Files10256789111214[''89''])</f>
        <v>0</v>
      </c>
      <c r="S97" s="1">
        <f>SUMIF(Tableau_Lancer_la_requête_à_partir_de_Excel_Files10256789111214[Avis Prog],"2-Favorable sous réserve",Tableau_Lancer_la_requête_à_partir_de_Excel_Files10256789111214[''89''])</f>
        <v>0</v>
      </c>
      <c r="T97" s="3">
        <f>SUMIF(Tableau_Lancer_la_requête_à_partir_de_Excel_Files10256789111214[Avis Cofimac],"2-Favorable sous réserve",Tableau_Lancer_la_requête_à_partir_de_Excel_Files10256789111214[''89''])</f>
        <v>0</v>
      </c>
      <c r="U97" s="1">
        <f>SUMIF(Tableau_Lancer_la_requête_à_partir_de_Excel_Files102567891112[Avis Prog],"1-Favorable",Tableau_Lancer_la_requête_à_partir_de_Excel_Files102567891112[''89''])</f>
        <v>0</v>
      </c>
      <c r="V97" s="3">
        <f>SUMIF(Tableau_Lancer_la_requête_à_partir_de_Excel_Files102567891112[Avis Cofimac],"1-Favorable",Tableau_Lancer_la_requête_à_partir_de_Excel_Files102567891112[''89''])</f>
        <v>0</v>
      </c>
      <c r="W97" s="1">
        <f>SUMIF(Tableau_Lancer_la_requête_à_partir_de_Excel_Files102567891112[Avis Prog],"2-Favorable sous réserve",Tableau_Lancer_la_requête_à_partir_de_Excel_Files102567891112[''89''])</f>
        <v>0</v>
      </c>
      <c r="X97" s="3">
        <f>SUMIF(Tableau_Lancer_la_requête_à_partir_de_Excel_Files102567891112[Avis Cofimac],"2-Favorable sous réserve",Tableau_Lancer_la_requête_à_partir_de_Excel_Files102567891112[''89''])</f>
        <v>0</v>
      </c>
    </row>
    <row r="98" spans="4:24" hidden="1" x14ac:dyDescent="0.25"/>
  </sheetData>
  <mergeCells count="4">
    <mergeCell ref="I59:M59"/>
    <mergeCell ref="I60:M60"/>
    <mergeCell ref="I61:M61"/>
    <mergeCell ref="H66:K66"/>
  </mergeCells>
  <conditionalFormatting sqref="AP7:AP9 AR7:AR9 AP15:AP27 AR15:AR27 AP52:AP54 AR52:AR54">
    <cfRule type="cellIs" dxfId="1457" priority="49" operator="equal">
      <formula>"6-Retiré/Abandon"</formula>
    </cfRule>
    <cfRule type="cellIs" dxfId="1456" priority="50" operator="equal">
      <formula>"5-Défavorable"</formula>
    </cfRule>
    <cfRule type="cellIs" dxfId="1455" priority="51" operator="equal">
      <formula>"4-Ajournement"</formula>
    </cfRule>
    <cfRule type="cellIs" dxfId="1454" priority="52" operator="equal">
      <formula>"1-Favorable"</formula>
    </cfRule>
  </conditionalFormatting>
  <conditionalFormatting sqref="AP33:AP47 AR33:AR47">
    <cfRule type="cellIs" dxfId="1453" priority="37" operator="equal">
      <formula>"6-Retiré/Abandon"</formula>
    </cfRule>
    <cfRule type="cellIs" dxfId="1452" priority="38" operator="equal">
      <formula>"5-Défavorable"</formula>
    </cfRule>
    <cfRule type="cellIs" dxfId="1451" priority="39" operator="equal">
      <formula>"4-Ajournement"</formula>
    </cfRule>
    <cfRule type="cellIs" dxfId="1450" priority="40" operator="equal">
      <formula>"1-Favorable"</formula>
    </cfRule>
  </conditionalFormatting>
  <conditionalFormatting sqref="AT7:AT9">
    <cfRule type="cellIs" dxfId="1449" priority="33" operator="equal">
      <formula>"6-Retiré/Abandon"</formula>
    </cfRule>
    <cfRule type="cellIs" dxfId="1448" priority="34" operator="equal">
      <formula>"5-Défavorable"</formula>
    </cfRule>
    <cfRule type="cellIs" dxfId="1447" priority="35" operator="equal">
      <formula>"4-Ajournement"</formula>
    </cfRule>
    <cfRule type="cellIs" dxfId="1446" priority="36" operator="equal">
      <formula>"1-Favorable"</formula>
    </cfRule>
  </conditionalFormatting>
  <conditionalFormatting sqref="AT15:AT27">
    <cfRule type="cellIs" dxfId="1445" priority="29" operator="equal">
      <formula>"6-Retiré/Abandon"</formula>
    </cfRule>
    <cfRule type="cellIs" dxfId="1444" priority="30" operator="equal">
      <formula>"5-Défavorable"</formula>
    </cfRule>
    <cfRule type="cellIs" dxfId="1443" priority="31" operator="equal">
      <formula>"4-Ajournement"</formula>
    </cfRule>
    <cfRule type="cellIs" dxfId="1442" priority="32" operator="equal">
      <formula>"1-Favorable"</formula>
    </cfRule>
  </conditionalFormatting>
  <conditionalFormatting sqref="AT33:AT47">
    <cfRule type="cellIs" dxfId="1441" priority="25" operator="equal">
      <formula>"6-Retiré/Abandon"</formula>
    </cfRule>
    <cfRule type="cellIs" dxfId="1440" priority="26" operator="equal">
      <formula>"5-Défavorable"</formula>
    </cfRule>
    <cfRule type="cellIs" dxfId="1439" priority="27" operator="equal">
      <formula>"4-Ajournement"</formula>
    </cfRule>
    <cfRule type="cellIs" dxfId="1438" priority="28" operator="equal">
      <formula>"1-Favorable"</formula>
    </cfRule>
  </conditionalFormatting>
  <conditionalFormatting sqref="AT53">
    <cfRule type="cellIs" dxfId="1437" priority="7" operator="equal">
      <formula>"6-Retiré/Abandon"</formula>
    </cfRule>
    <cfRule type="cellIs" dxfId="1436" priority="8" operator="equal">
      <formula>"5-Défavorable"</formula>
    </cfRule>
    <cfRule type="cellIs" dxfId="1435" priority="9" operator="equal">
      <formula>"4-Ajournement"</formula>
    </cfRule>
    <cfRule type="cellIs" dxfId="1434" priority="10" operator="equal">
      <formula>"1-Favorable"</formula>
    </cfRule>
  </conditionalFormatting>
  <conditionalFormatting sqref="AO60:AO61">
    <cfRule type="cellIs" dxfId="1433" priority="16" operator="lessThan">
      <formula>0</formula>
    </cfRule>
  </conditionalFormatting>
  <conditionalFormatting sqref="R61">
    <cfRule type="cellIs" dxfId="1432" priority="15" operator="greaterThan">
      <formula>1000000</formula>
    </cfRule>
  </conditionalFormatting>
  <conditionalFormatting sqref="AP7:AP9 AR7:AR9 AP33:AP47 AR33:AR47 AP15:AP27 AR15:AR27 AP52:AP54 AR52:AR54">
    <cfRule type="cellIs" dxfId="1431" priority="14" operator="equal">
      <formula>"2-Favorable sous réserve"</formula>
    </cfRule>
  </conditionalFormatting>
  <conditionalFormatting sqref="AT53">
    <cfRule type="cellIs" dxfId="1430" priority="6" operator="equal">
      <formula>"2-Favorable sous réserve"</formula>
    </cfRule>
  </conditionalFormatting>
  <conditionalFormatting sqref="AT54">
    <cfRule type="cellIs" dxfId="1429" priority="2" operator="equal">
      <formula>"6-Retiré/Abandon"</formula>
    </cfRule>
    <cfRule type="cellIs" dxfId="1428" priority="3" operator="equal">
      <formula>"5-Défavorable"</formula>
    </cfRule>
    <cfRule type="cellIs" dxfId="1427" priority="4" operator="equal">
      <formula>"4-Ajournement"</formula>
    </cfRule>
    <cfRule type="cellIs" dxfId="1426" priority="5" operator="equal">
      <formula>"1-Favorable"</formula>
    </cfRule>
  </conditionalFormatting>
  <conditionalFormatting sqref="AT54">
    <cfRule type="cellIs" dxfId="1425" priority="1" operator="equal">
      <formula>"2-Favorable sous réserve"</formula>
    </cfRule>
  </conditionalFormatting>
  <dataValidations count="1">
    <dataValidation type="list" allowBlank="1" showInputMessage="1" showErrorMessage="1" sqref="AR7:AR9 AR33:AR47 AR53:AR54 AR15:AR27">
      <formula1>"1-Favorable,2-Favorable sous réserve,4-Ajournement,5-Défavorable,6-Retiré/Abandon"</formula1>
    </dataValidation>
  </dataValidations>
  <printOptions horizontalCentered="1" verticalCentered="1"/>
  <pageMargins left="0.25" right="0.25" top="0.75" bottom="0.75" header="0.3" footer="0.3"/>
  <pageSetup paperSize="8" scale="58" fitToHeight="0" orientation="landscape" r:id="rId1"/>
  <drawing r:id="rId2"/>
  <tableParts count="4">
    <tablePart r:id="rId3"/>
    <tablePart r:id="rId4"/>
    <tablePart r:id="rId5"/>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2"/>
  <sheetViews>
    <sheetView topLeftCell="A4" zoomScale="80" zoomScaleNormal="80" workbookViewId="0">
      <selection activeCell="D10" sqref="D10"/>
    </sheetView>
  </sheetViews>
  <sheetFormatPr baseColWidth="10" defaultRowHeight="15" outlineLevelCol="1" x14ac:dyDescent="0.25"/>
  <cols>
    <col min="1" max="1" width="14.5703125" style="34" customWidth="1"/>
    <col min="2" max="2" width="12.140625" style="34" hidden="1" customWidth="1"/>
    <col min="3" max="3" width="16.28515625" style="34" bestFit="1" customWidth="1"/>
    <col min="4" max="4" width="39.85546875" style="34" customWidth="1"/>
    <col min="5" max="5" width="46" style="34" customWidth="1"/>
    <col min="6" max="6" width="7.28515625" style="34" hidden="1" customWidth="1"/>
    <col min="7" max="7" width="20.85546875" style="34" hidden="1" customWidth="1"/>
    <col min="8" max="8" width="16" style="34" bestFit="1" customWidth="1"/>
    <col min="9" max="9" width="21" style="34" hidden="1" customWidth="1"/>
    <col min="10" max="10" width="13" style="34" hidden="1" customWidth="1"/>
    <col min="11" max="11" width="16.5703125" style="34" hidden="1" customWidth="1"/>
    <col min="12" max="12" width="16.140625" style="34" customWidth="1"/>
    <col min="13" max="13" width="14.5703125" style="34" customWidth="1"/>
    <col min="14" max="14" width="22.5703125" style="34" hidden="1" customWidth="1" outlineLevel="1"/>
    <col min="15" max="15" width="17.28515625" style="34" hidden="1" customWidth="1" outlineLevel="1" collapsed="1"/>
    <col min="16" max="16" width="14.7109375" style="34" customWidth="1" collapsed="1"/>
    <col min="17" max="20" width="22.5703125" style="34" hidden="1" customWidth="1" outlineLevel="1"/>
    <col min="21" max="21" width="18.85546875" style="34" bestFit="1" customWidth="1" collapsed="1"/>
    <col min="22" max="43" width="22.5703125" style="34" hidden="1" customWidth="1" outlineLevel="1"/>
    <col min="44" max="44" width="16.7109375" style="34" customWidth="1" collapsed="1"/>
    <col min="45" max="45" width="17.7109375" style="34" bestFit="1" customWidth="1"/>
    <col min="46" max="46" width="14.140625" style="34" bestFit="1" customWidth="1"/>
    <col min="47" max="47" width="2.42578125" style="37" customWidth="1"/>
    <col min="48" max="48" width="77.28515625" style="43" customWidth="1"/>
    <col min="49" max="49" width="24.28515625" style="37" hidden="1" customWidth="1"/>
    <col min="50" max="50" width="14.140625" style="34" hidden="1" customWidth="1"/>
    <col min="51" max="51" width="22.5703125" style="34" hidden="1" customWidth="1"/>
    <col min="52" max="52" width="17.28515625" style="34" hidden="1" customWidth="1" outlineLevel="1" collapsed="1"/>
    <col min="53" max="53" width="12.85546875" style="34" hidden="1" customWidth="1" outlineLevel="1"/>
    <col min="54" max="54" width="22.5703125" style="34" hidden="1" customWidth="1" collapsed="1"/>
    <col min="55" max="57" width="22.5703125" style="34" hidden="1" customWidth="1" outlineLevel="1"/>
    <col min="58" max="58" width="18.85546875" style="34" hidden="1" customWidth="1" outlineLevel="1" collapsed="1"/>
    <col min="59" max="59" width="22.5703125" style="34" hidden="1" customWidth="1" collapsed="1"/>
    <col min="60" max="80" width="22.5703125" style="34" hidden="1" customWidth="1" outlineLevel="1"/>
    <col min="81" max="81" width="12.42578125" style="34" hidden="1" customWidth="1" outlineLevel="1" collapsed="1"/>
    <col min="82" max="82" width="14.28515625" style="34" hidden="1" customWidth="1" collapsed="1"/>
    <col min="83" max="83" width="17.42578125" style="34" hidden="1" customWidth="1" collapsed="1"/>
    <col min="84" max="84" width="11.42578125" style="34" hidden="1" customWidth="1" collapsed="1"/>
    <col min="85" max="85" width="11.42578125" style="34" customWidth="1"/>
    <col min="86" max="86" width="15.5703125" style="34" customWidth="1"/>
    <col min="87" max="87" width="36.85546875" style="34" customWidth="1"/>
    <col min="88" max="88" width="10" style="34" customWidth="1"/>
    <col min="89" max="89" width="19.28515625" style="34" customWidth="1"/>
    <col min="90" max="90" width="21.5703125" style="34" customWidth="1" collapsed="1"/>
    <col min="91" max="91" width="9.7109375" style="38" customWidth="1" collapsed="1"/>
    <col min="92" max="112" width="9.7109375" style="38" customWidth="1"/>
    <col min="113" max="113" width="12" style="34" customWidth="1" collapsed="1"/>
    <col min="114" max="114" width="14.28515625" style="34" bestFit="1" customWidth="1" collapsed="1"/>
    <col min="115" max="115" width="17.42578125" style="34" bestFit="1" customWidth="1"/>
    <col min="116" max="116" width="17" style="34" bestFit="1" customWidth="1"/>
    <col min="117" max="117" width="14.7109375" style="34" bestFit="1" customWidth="1"/>
    <col min="118" max="16384" width="11.42578125" style="34"/>
  </cols>
  <sheetData>
    <row r="1" spans="1:112" ht="18.75" x14ac:dyDescent="0.3">
      <c r="D1" s="35" t="s">
        <v>78</v>
      </c>
      <c r="E1" s="36">
        <v>42663</v>
      </c>
      <c r="H1" s="36"/>
    </row>
    <row r="5" spans="1:112" x14ac:dyDescent="0.25">
      <c r="C5" s="39" t="s">
        <v>267</v>
      </c>
    </row>
    <row r="6" spans="1:112" s="41" customFormat="1" ht="60" x14ac:dyDescent="0.25">
      <c r="A6" s="40" t="s">
        <v>0</v>
      </c>
      <c r="B6" s="40" t="s">
        <v>10</v>
      </c>
      <c r="C6" s="40" t="s">
        <v>7</v>
      </c>
      <c r="D6" s="40" t="s">
        <v>1</v>
      </c>
      <c r="E6" s="40" t="s">
        <v>2</v>
      </c>
      <c r="F6" s="40" t="s">
        <v>3</v>
      </c>
      <c r="G6" s="40" t="s">
        <v>14</v>
      </c>
      <c r="H6" s="40" t="s">
        <v>15</v>
      </c>
      <c r="I6" s="40" t="s">
        <v>13</v>
      </c>
      <c r="J6" s="40" t="s">
        <v>6</v>
      </c>
      <c r="K6" s="40" t="s">
        <v>5</v>
      </c>
      <c r="L6" s="40" t="s">
        <v>4</v>
      </c>
      <c r="M6" s="40" t="s">
        <v>46</v>
      </c>
      <c r="N6" s="40" t="s">
        <v>16</v>
      </c>
      <c r="O6" s="40" t="s">
        <v>17</v>
      </c>
      <c r="P6" s="40" t="s">
        <v>47</v>
      </c>
      <c r="Q6" s="40" t="s">
        <v>20</v>
      </c>
      <c r="R6" s="40" t="s">
        <v>18</v>
      </c>
      <c r="S6" s="40" t="s">
        <v>19</v>
      </c>
      <c r="T6" s="40" t="s">
        <v>21</v>
      </c>
      <c r="U6" s="40" t="s">
        <v>48</v>
      </c>
      <c r="V6" s="40" t="s">
        <v>22</v>
      </c>
      <c r="W6" s="40" t="s">
        <v>23</v>
      </c>
      <c r="X6" s="40" t="s">
        <v>24</v>
      </c>
      <c r="Y6" s="40" t="s">
        <v>25</v>
      </c>
      <c r="Z6" s="40" t="s">
        <v>26</v>
      </c>
      <c r="AA6" s="40" t="s">
        <v>27</v>
      </c>
      <c r="AB6" s="40" t="s">
        <v>28</v>
      </c>
      <c r="AC6" s="40" t="s">
        <v>29</v>
      </c>
      <c r="AD6" s="40" t="s">
        <v>30</v>
      </c>
      <c r="AE6" s="40" t="s">
        <v>31</v>
      </c>
      <c r="AF6" s="40" t="s">
        <v>32</v>
      </c>
      <c r="AG6" s="40" t="s">
        <v>33</v>
      </c>
      <c r="AH6" s="40" t="s">
        <v>34</v>
      </c>
      <c r="AI6" s="40" t="s">
        <v>35</v>
      </c>
      <c r="AJ6" s="40" t="s">
        <v>36</v>
      </c>
      <c r="AK6" s="40" t="s">
        <v>37</v>
      </c>
      <c r="AL6" s="40" t="s">
        <v>38</v>
      </c>
      <c r="AM6" s="40" t="s">
        <v>39</v>
      </c>
      <c r="AN6" s="40" t="s">
        <v>40</v>
      </c>
      <c r="AO6" s="40" t="s">
        <v>41</v>
      </c>
      <c r="AP6" s="40" t="s">
        <v>42</v>
      </c>
      <c r="AQ6" s="40" t="s">
        <v>43</v>
      </c>
      <c r="AR6" s="40" t="s">
        <v>44</v>
      </c>
      <c r="AS6" s="40" t="s">
        <v>45</v>
      </c>
      <c r="AT6" s="40" t="s">
        <v>57</v>
      </c>
      <c r="AV6" s="33" t="s">
        <v>12</v>
      </c>
      <c r="AX6" s="41" t="s">
        <v>63</v>
      </c>
      <c r="AY6" s="40" t="s">
        <v>46</v>
      </c>
      <c r="AZ6" s="40" t="s">
        <v>16</v>
      </c>
      <c r="BA6" s="40" t="s">
        <v>17</v>
      </c>
      <c r="BB6" s="40" t="s">
        <v>47</v>
      </c>
      <c r="BC6" s="40" t="s">
        <v>20</v>
      </c>
      <c r="BD6" s="40" t="s">
        <v>18</v>
      </c>
      <c r="BE6" s="40" t="s">
        <v>19</v>
      </c>
      <c r="BF6" s="40" t="s">
        <v>21</v>
      </c>
      <c r="BG6" s="40" t="s">
        <v>48</v>
      </c>
      <c r="BH6" s="40" t="s">
        <v>22</v>
      </c>
      <c r="BI6" s="40" t="s">
        <v>23</v>
      </c>
      <c r="BJ6" s="40" t="s">
        <v>24</v>
      </c>
      <c r="BK6" s="40" t="s">
        <v>25</v>
      </c>
      <c r="BL6" s="40" t="s">
        <v>26</v>
      </c>
      <c r="BM6" s="40" t="s">
        <v>27</v>
      </c>
      <c r="BN6" s="40" t="s">
        <v>28</v>
      </c>
      <c r="BO6" s="40" t="s">
        <v>29</v>
      </c>
      <c r="BP6" s="40" t="s">
        <v>30</v>
      </c>
      <c r="BQ6" s="40" t="s">
        <v>31</v>
      </c>
      <c r="BR6" s="40" t="s">
        <v>32</v>
      </c>
      <c r="BS6" s="40" t="s">
        <v>33</v>
      </c>
      <c r="BT6" s="40" t="s">
        <v>34</v>
      </c>
      <c r="BU6" s="40" t="s">
        <v>35</v>
      </c>
      <c r="BV6" s="40" t="s">
        <v>36</v>
      </c>
      <c r="BW6" s="40" t="s">
        <v>37</v>
      </c>
      <c r="BX6" s="40" t="s">
        <v>38</v>
      </c>
      <c r="BY6" s="40" t="s">
        <v>39</v>
      </c>
      <c r="BZ6" s="40" t="s">
        <v>40</v>
      </c>
      <c r="CA6" s="40" t="s">
        <v>41</v>
      </c>
      <c r="CB6" s="40" t="s">
        <v>42</v>
      </c>
      <c r="CC6" s="40" t="s">
        <v>43</v>
      </c>
      <c r="CD6" s="40" t="s">
        <v>44</v>
      </c>
      <c r="CE6" s="41" t="s">
        <v>64</v>
      </c>
    </row>
    <row r="7" spans="1:112" ht="30" x14ac:dyDescent="0.25">
      <c r="A7" s="40" t="s">
        <v>253</v>
      </c>
      <c r="B7" s="42" t="s">
        <v>279</v>
      </c>
      <c r="C7" s="42" t="s">
        <v>279</v>
      </c>
      <c r="D7" s="43" t="s">
        <v>280</v>
      </c>
      <c r="E7" s="43" t="s">
        <v>281</v>
      </c>
      <c r="F7" s="44">
        <v>479701.57</v>
      </c>
      <c r="G7" s="44"/>
      <c r="H7" s="44">
        <f>IF(Tableau_Lancer_la_requête_à_partir_de_Excel_Files316[[#This Row],[Coût total Eligible FEDER]]="",Tableau_Lancer_la_requête_à_partir_de_Excel_Files316[[#This Row],[Coût total déposé]],Tableau_Lancer_la_requête_à_partir_de_Excel_Files316[[#This Row],[Coût total Eligible FEDER]])</f>
        <v>479701.57</v>
      </c>
      <c r="I7" s="44">
        <f>Tableau_Lancer_la_requête_à_partir_de_Excel_Files316[[#This Row],[Aide Massif Obtenu]]+Tableau_Lancer_la_requête_à_partir_de_Excel_Files316[[#This Row],[''Autre Public'']]</f>
        <v>0</v>
      </c>
      <c r="J7" s="45">
        <f>Tableau_Lancer_la_requête_à_partir_de_Excel_Files316[[#This Row],[Aide Publique Obtenue]]/Tableau_Lancer_la_requête_à_partir_de_Excel_Files316[[#This Row],[Coût total]]</f>
        <v>0</v>
      </c>
      <c r="K7"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7" s="45">
        <f>Tableau_Lancer_la_requête_à_partir_de_Excel_Files316[[#This Row],[Aide Massif Obtenu]]/Tableau_Lancer_la_requête_à_partir_de_Excel_Files316[[#This Row],[Coût total]]</f>
        <v>0</v>
      </c>
      <c r="M7" s="46">
        <f>Tableau_Lancer_la_requête_à_partir_de_Excel_Files316[[#This Row],[''FNADT'']]+Tableau_Lancer_la_requête_à_partir_de_Excel_Files316[[#This Row],[''Agriculture'']]</f>
        <v>0</v>
      </c>
      <c r="N7" s="44"/>
      <c r="O7" s="44"/>
      <c r="P7"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7" s="44"/>
      <c r="R7" s="44"/>
      <c r="S7" s="44"/>
      <c r="T7" s="44"/>
      <c r="U7"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7" s="44"/>
      <c r="W7" s="44"/>
      <c r="X7" s="44"/>
      <c r="Y7" s="44"/>
      <c r="Z7" s="44"/>
      <c r="AA7" s="44"/>
      <c r="AB7" s="44"/>
      <c r="AC7" s="44"/>
      <c r="AD7" s="44"/>
      <c r="AE7" s="44"/>
      <c r="AF7" s="44"/>
      <c r="AG7" s="44"/>
      <c r="AH7" s="44"/>
      <c r="AI7" s="44"/>
      <c r="AJ7" s="44"/>
      <c r="AK7" s="44"/>
      <c r="AL7" s="44"/>
      <c r="AM7" s="44"/>
      <c r="AN7" s="44"/>
      <c r="AO7" s="44"/>
      <c r="AP7" s="44"/>
      <c r="AQ7" s="44"/>
      <c r="AR7" s="44">
        <v>0</v>
      </c>
      <c r="AS7" s="44">
        <v>0</v>
      </c>
      <c r="AT7" s="47"/>
      <c r="AU7" s="34"/>
      <c r="AV7" s="86"/>
      <c r="AX7" s="37"/>
      <c r="AY7" s="46">
        <f t="shared" ref="AY7:AY23" si="0">SUM(AZ7:BA7)</f>
        <v>0</v>
      </c>
      <c r="AZ7" s="46"/>
      <c r="BA7" s="46"/>
      <c r="BB7" s="46">
        <f t="shared" ref="BB7:BB23" si="1">SUM(BC7:BF7)</f>
        <v>0</v>
      </c>
      <c r="BC7" s="46"/>
      <c r="BD7" s="46"/>
      <c r="BE7" s="46"/>
      <c r="BF7" s="46"/>
      <c r="BG7" s="46">
        <f t="shared" ref="BG7:BG23" si="2">SUM(BH7:CC7)</f>
        <v>0</v>
      </c>
      <c r="BH7" s="46"/>
      <c r="BI7" s="46"/>
      <c r="BJ7" s="46"/>
      <c r="BK7" s="46"/>
      <c r="BL7" s="46"/>
      <c r="BM7" s="46"/>
      <c r="BN7" s="46"/>
      <c r="BO7" s="46"/>
      <c r="BP7" s="46"/>
      <c r="BQ7" s="46"/>
      <c r="BR7" s="46"/>
      <c r="BS7" s="46"/>
      <c r="BT7" s="46"/>
      <c r="BU7" s="46"/>
      <c r="BV7" s="46"/>
      <c r="BW7" s="46"/>
      <c r="BX7" s="46"/>
      <c r="BY7" s="46"/>
      <c r="BZ7" s="46"/>
      <c r="CA7" s="46"/>
      <c r="CB7" s="46"/>
      <c r="CC7" s="46"/>
      <c r="CD7" s="46"/>
      <c r="CE7" s="34" t="e">
        <f>VLOOKUP(Tableau317[[#This Row],[NumSym]],Tableau_Lancer_la_requête_à_partir_de_Excel_Files316[[ID_Synergie]:[Avis Prog]],44)</f>
        <v>#N/A</v>
      </c>
      <c r="CM7" s="34"/>
      <c r="CN7" s="34"/>
      <c r="CO7" s="34"/>
      <c r="CP7" s="34"/>
      <c r="CQ7" s="34"/>
      <c r="CR7" s="34"/>
      <c r="CS7" s="34"/>
      <c r="CT7" s="34"/>
      <c r="CU7" s="34"/>
      <c r="CV7" s="34"/>
      <c r="CW7" s="34"/>
      <c r="CX7" s="34"/>
      <c r="CY7" s="34"/>
      <c r="CZ7" s="34"/>
      <c r="DA7" s="34"/>
      <c r="DB7" s="34"/>
      <c r="DC7" s="34"/>
      <c r="DD7" s="34"/>
      <c r="DE7" s="34"/>
      <c r="DF7" s="34"/>
      <c r="DG7" s="34"/>
      <c r="DH7" s="34"/>
    </row>
    <row r="8" spans="1:112" ht="60" x14ac:dyDescent="0.25">
      <c r="A8" s="40" t="s">
        <v>321</v>
      </c>
      <c r="B8" s="42" t="s">
        <v>420</v>
      </c>
      <c r="C8" s="42" t="s">
        <v>420</v>
      </c>
      <c r="D8" s="43" t="s">
        <v>245</v>
      </c>
      <c r="E8" s="43" t="s">
        <v>246</v>
      </c>
      <c r="F8" s="44">
        <v>68622.25</v>
      </c>
      <c r="G8" s="44"/>
      <c r="H8" s="44">
        <f>IF(Tableau_Lancer_la_requête_à_partir_de_Excel_Files316[[#This Row],[Coût total Eligible FEDER]]="",Tableau_Lancer_la_requête_à_partir_de_Excel_Files316[[#This Row],[Coût total déposé]],Tableau_Lancer_la_requête_à_partir_de_Excel_Files316[[#This Row],[Coût total Eligible FEDER]])</f>
        <v>68622.25</v>
      </c>
      <c r="I8" s="44">
        <f>Tableau_Lancer_la_requête_à_partir_de_Excel_Files316[[#This Row],[Aide Massif Obtenu]]+Tableau_Lancer_la_requête_à_partir_de_Excel_Files316[[#This Row],[''Autre Public'']]</f>
        <v>0</v>
      </c>
      <c r="J8" s="45">
        <f>Tableau_Lancer_la_requête_à_partir_de_Excel_Files316[[#This Row],[Aide Publique Obtenue]]/Tableau_Lancer_la_requête_à_partir_de_Excel_Files316[[#This Row],[Coût total]]</f>
        <v>0</v>
      </c>
      <c r="K8"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8" s="45">
        <f>Tableau_Lancer_la_requête_à_partir_de_Excel_Files316[[#This Row],[Aide Massif Obtenu]]/Tableau_Lancer_la_requête_à_partir_de_Excel_Files316[[#This Row],[Coût total]]</f>
        <v>0</v>
      </c>
      <c r="M8" s="46">
        <f>Tableau_Lancer_la_requête_à_partir_de_Excel_Files316[[#This Row],[''FNADT'']]+Tableau_Lancer_la_requête_à_partir_de_Excel_Files316[[#This Row],[''Agriculture'']]</f>
        <v>0</v>
      </c>
      <c r="N8" s="44"/>
      <c r="O8" s="44"/>
      <c r="P8"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8" s="44"/>
      <c r="R8" s="44"/>
      <c r="S8" s="44"/>
      <c r="T8" s="44"/>
      <c r="U8"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8" s="44"/>
      <c r="W8" s="44"/>
      <c r="X8" s="44"/>
      <c r="Y8" s="44"/>
      <c r="Z8" s="44"/>
      <c r="AA8" s="44"/>
      <c r="AB8" s="44"/>
      <c r="AC8" s="44"/>
      <c r="AD8" s="44"/>
      <c r="AE8" s="44"/>
      <c r="AF8" s="44"/>
      <c r="AG8" s="44"/>
      <c r="AH8" s="44"/>
      <c r="AI8" s="44"/>
      <c r="AJ8" s="44"/>
      <c r="AK8" s="44"/>
      <c r="AL8" s="44"/>
      <c r="AM8" s="44"/>
      <c r="AN8" s="44"/>
      <c r="AO8" s="44"/>
      <c r="AP8" s="44"/>
      <c r="AQ8" s="44"/>
      <c r="AR8" s="44">
        <v>0</v>
      </c>
      <c r="AS8" s="44">
        <v>0</v>
      </c>
      <c r="AT8" s="79"/>
      <c r="AU8" s="34"/>
      <c r="AV8" s="87"/>
      <c r="AX8" s="37"/>
      <c r="AY8" s="46">
        <f t="shared" si="0"/>
        <v>0</v>
      </c>
      <c r="AZ8" s="46"/>
      <c r="BA8" s="46"/>
      <c r="BB8" s="46">
        <f t="shared" si="1"/>
        <v>0</v>
      </c>
      <c r="BC8" s="46"/>
      <c r="BD8" s="46"/>
      <c r="BE8" s="46"/>
      <c r="BF8" s="46"/>
      <c r="BG8" s="46">
        <f t="shared" si="2"/>
        <v>0</v>
      </c>
      <c r="BH8" s="46"/>
      <c r="BI8" s="46"/>
      <c r="BJ8" s="46"/>
      <c r="BK8" s="46"/>
      <c r="BL8" s="46"/>
      <c r="BM8" s="46"/>
      <c r="BN8" s="46"/>
      <c r="BO8" s="46"/>
      <c r="BP8" s="46"/>
      <c r="BQ8" s="46"/>
      <c r="BR8" s="46"/>
      <c r="BS8" s="46"/>
      <c r="BT8" s="46"/>
      <c r="BU8" s="46"/>
      <c r="BV8" s="46"/>
      <c r="BW8" s="46"/>
      <c r="BX8" s="46"/>
      <c r="BY8" s="46"/>
      <c r="BZ8" s="46"/>
      <c r="CA8" s="46"/>
      <c r="CB8" s="46"/>
      <c r="CC8" s="46"/>
      <c r="CD8" s="46"/>
      <c r="CE8" s="34" t="e">
        <f>VLOOKUP(Tableau317[[#This Row],[NumSym]],Tableau_Lancer_la_requête_à_partir_de_Excel_Files316[[ID_Synergie]:[Avis Prog]],44)</f>
        <v>#N/A</v>
      </c>
      <c r="CM8" s="34"/>
      <c r="CN8" s="34"/>
      <c r="CO8" s="34"/>
      <c r="CP8" s="34"/>
      <c r="CQ8" s="34"/>
      <c r="CR8" s="34"/>
      <c r="CS8" s="34"/>
      <c r="CT8" s="34"/>
      <c r="CU8" s="34"/>
      <c r="CV8" s="34"/>
      <c r="CW8" s="34"/>
      <c r="CX8" s="34"/>
      <c r="CY8" s="34"/>
      <c r="CZ8" s="34"/>
      <c r="DA8" s="34"/>
      <c r="DB8" s="34"/>
      <c r="DC8" s="34"/>
      <c r="DD8" s="34"/>
      <c r="DE8" s="34"/>
      <c r="DF8" s="34"/>
      <c r="DG8" s="34"/>
      <c r="DH8" s="34"/>
    </row>
    <row r="9" spans="1:112" ht="45" x14ac:dyDescent="0.25">
      <c r="A9" s="40" t="s">
        <v>321</v>
      </c>
      <c r="B9" s="42" t="s">
        <v>421</v>
      </c>
      <c r="C9" s="42" t="s">
        <v>421</v>
      </c>
      <c r="D9" s="43" t="s">
        <v>247</v>
      </c>
      <c r="E9" s="43" t="s">
        <v>248</v>
      </c>
      <c r="F9" s="44">
        <v>68884.460000000006</v>
      </c>
      <c r="G9" s="44"/>
      <c r="H9" s="44">
        <f>IF(Tableau_Lancer_la_requête_à_partir_de_Excel_Files316[[#This Row],[Coût total Eligible FEDER]]="",Tableau_Lancer_la_requête_à_partir_de_Excel_Files316[[#This Row],[Coût total déposé]],Tableau_Lancer_la_requête_à_partir_de_Excel_Files316[[#This Row],[Coût total Eligible FEDER]])</f>
        <v>68884.460000000006</v>
      </c>
      <c r="I9" s="44">
        <f>Tableau_Lancer_la_requête_à_partir_de_Excel_Files316[[#This Row],[Aide Massif Obtenu]]+Tableau_Lancer_la_requête_à_partir_de_Excel_Files316[[#This Row],[''Autre Public'']]</f>
        <v>0</v>
      </c>
      <c r="J9" s="45">
        <f>Tableau_Lancer_la_requête_à_partir_de_Excel_Files316[[#This Row],[Aide Publique Obtenue]]/Tableau_Lancer_la_requête_à_partir_de_Excel_Files316[[#This Row],[Coût total]]</f>
        <v>0</v>
      </c>
      <c r="K9"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9" s="45">
        <f>Tableau_Lancer_la_requête_à_partir_de_Excel_Files316[[#This Row],[Aide Massif Obtenu]]/Tableau_Lancer_la_requête_à_partir_de_Excel_Files316[[#This Row],[Coût total]]</f>
        <v>0</v>
      </c>
      <c r="M9" s="46">
        <f>Tableau_Lancer_la_requête_à_partir_de_Excel_Files316[[#This Row],[''FNADT'']]+Tableau_Lancer_la_requête_à_partir_de_Excel_Files316[[#This Row],[''Agriculture'']]</f>
        <v>0</v>
      </c>
      <c r="N9" s="44"/>
      <c r="O9" s="44"/>
      <c r="P9"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9" s="44"/>
      <c r="R9" s="44"/>
      <c r="S9" s="44"/>
      <c r="T9" s="44"/>
      <c r="U9"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9" s="44"/>
      <c r="W9" s="44"/>
      <c r="X9" s="44"/>
      <c r="Y9" s="44"/>
      <c r="Z9" s="44"/>
      <c r="AA9" s="44"/>
      <c r="AB9" s="44"/>
      <c r="AC9" s="44"/>
      <c r="AD9" s="44"/>
      <c r="AE9" s="44"/>
      <c r="AF9" s="44"/>
      <c r="AG9" s="44"/>
      <c r="AH9" s="44"/>
      <c r="AI9" s="44"/>
      <c r="AJ9" s="44"/>
      <c r="AK9" s="44"/>
      <c r="AL9" s="44"/>
      <c r="AM9" s="44"/>
      <c r="AN9" s="44"/>
      <c r="AO9" s="44"/>
      <c r="AP9" s="44"/>
      <c r="AQ9" s="44"/>
      <c r="AR9" s="44">
        <v>0</v>
      </c>
      <c r="AS9" s="44">
        <v>0</v>
      </c>
      <c r="AT9" s="79"/>
      <c r="AU9" s="34"/>
      <c r="AV9" s="86"/>
      <c r="AX9" s="37"/>
      <c r="AY9" s="46">
        <f t="shared" si="0"/>
        <v>0</v>
      </c>
      <c r="AZ9" s="46"/>
      <c r="BA9" s="46"/>
      <c r="BB9" s="46">
        <f t="shared" si="1"/>
        <v>0</v>
      </c>
      <c r="BC9" s="46"/>
      <c r="BD9" s="46"/>
      <c r="BE9" s="46"/>
      <c r="BF9" s="46"/>
      <c r="BG9" s="46">
        <f t="shared" si="2"/>
        <v>0</v>
      </c>
      <c r="BH9" s="46"/>
      <c r="BI9" s="46"/>
      <c r="BJ9" s="46"/>
      <c r="BK9" s="46"/>
      <c r="BL9" s="46"/>
      <c r="BM9" s="46"/>
      <c r="BN9" s="46"/>
      <c r="BO9" s="46"/>
      <c r="BP9" s="46"/>
      <c r="BQ9" s="46"/>
      <c r="BR9" s="46"/>
      <c r="BS9" s="46"/>
      <c r="BT9" s="46"/>
      <c r="BU9" s="46"/>
      <c r="BV9" s="46"/>
      <c r="BW9" s="46"/>
      <c r="BX9" s="46"/>
      <c r="BY9" s="46"/>
      <c r="BZ9" s="46"/>
      <c r="CA9" s="46"/>
      <c r="CB9" s="46"/>
      <c r="CC9" s="46"/>
      <c r="CD9" s="46"/>
      <c r="CE9" s="34" t="e">
        <f>VLOOKUP(Tableau317[[#This Row],[NumSym]],Tableau_Lancer_la_requête_à_partir_de_Excel_Files316[[ID_Synergie]:[Avis Prog]],44)</f>
        <v>#N/A</v>
      </c>
      <c r="CM9" s="34"/>
      <c r="CN9" s="34"/>
      <c r="CO9" s="34"/>
      <c r="CP9" s="34"/>
      <c r="CQ9" s="34"/>
      <c r="CR9" s="34"/>
      <c r="CS9" s="34"/>
      <c r="CT9" s="34"/>
      <c r="CU9" s="34"/>
      <c r="CV9" s="34"/>
      <c r="CW9" s="34"/>
      <c r="CX9" s="34"/>
      <c r="CY9" s="34"/>
      <c r="CZ9" s="34"/>
      <c r="DA9" s="34"/>
      <c r="DB9" s="34"/>
      <c r="DC9" s="34"/>
      <c r="DD9" s="34"/>
      <c r="DE9" s="34"/>
      <c r="DF9" s="34"/>
      <c r="DG9" s="34"/>
      <c r="DH9" s="34"/>
    </row>
    <row r="10" spans="1:112" ht="45" x14ac:dyDescent="0.25">
      <c r="A10" s="40" t="s">
        <v>321</v>
      </c>
      <c r="B10" s="42" t="s">
        <v>341</v>
      </c>
      <c r="C10" s="42" t="s">
        <v>341</v>
      </c>
      <c r="D10" s="43" t="s">
        <v>143</v>
      </c>
      <c r="E10" s="43" t="s">
        <v>141</v>
      </c>
      <c r="F10" s="44">
        <v>180150</v>
      </c>
      <c r="G10" s="44"/>
      <c r="H10" s="44">
        <f>IF(Tableau_Lancer_la_requête_à_partir_de_Excel_Files316[[#This Row],[Coût total Eligible FEDER]]="",Tableau_Lancer_la_requête_à_partir_de_Excel_Files316[[#This Row],[Coût total déposé]],Tableau_Lancer_la_requête_à_partir_de_Excel_Files316[[#This Row],[Coût total Eligible FEDER]])</f>
        <v>180150</v>
      </c>
      <c r="I10" s="44">
        <f>Tableau_Lancer_la_requête_à_partir_de_Excel_Files316[[#This Row],[Aide Massif Obtenu]]+Tableau_Lancer_la_requête_à_partir_de_Excel_Files316[[#This Row],[''Autre Public'']]</f>
        <v>0</v>
      </c>
      <c r="J10" s="45">
        <f>Tableau_Lancer_la_requête_à_partir_de_Excel_Files316[[#This Row],[Aide Publique Obtenue]]/Tableau_Lancer_la_requête_à_partir_de_Excel_Files316[[#This Row],[Coût total]]</f>
        <v>0</v>
      </c>
      <c r="K10"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10" s="45">
        <f>Tableau_Lancer_la_requête_à_partir_de_Excel_Files316[[#This Row],[Aide Massif Obtenu]]/Tableau_Lancer_la_requête_à_partir_de_Excel_Files316[[#This Row],[Coût total]]</f>
        <v>0</v>
      </c>
      <c r="M10" s="46">
        <f>Tableau_Lancer_la_requête_à_partir_de_Excel_Files316[[#This Row],[''FNADT'']]+Tableau_Lancer_la_requête_à_partir_de_Excel_Files316[[#This Row],[''Agriculture'']]</f>
        <v>0</v>
      </c>
      <c r="N10" s="44"/>
      <c r="O10" s="44"/>
      <c r="P10"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10" s="44"/>
      <c r="R10" s="44"/>
      <c r="S10" s="44"/>
      <c r="T10" s="44"/>
      <c r="U10"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10" s="44"/>
      <c r="W10" s="44"/>
      <c r="X10" s="44"/>
      <c r="Y10" s="44"/>
      <c r="Z10" s="44"/>
      <c r="AA10" s="44"/>
      <c r="AB10" s="44"/>
      <c r="AC10" s="44"/>
      <c r="AD10" s="44"/>
      <c r="AE10" s="44"/>
      <c r="AF10" s="44"/>
      <c r="AG10" s="44"/>
      <c r="AH10" s="44"/>
      <c r="AI10" s="44"/>
      <c r="AJ10" s="44"/>
      <c r="AK10" s="44"/>
      <c r="AL10" s="44"/>
      <c r="AM10" s="44"/>
      <c r="AN10" s="44"/>
      <c r="AO10" s="44"/>
      <c r="AP10" s="44"/>
      <c r="AQ10" s="44"/>
      <c r="AR10" s="44">
        <v>0</v>
      </c>
      <c r="AS10" s="44">
        <v>0</v>
      </c>
      <c r="AT10" s="79"/>
      <c r="AU10" s="34"/>
      <c r="AV10" s="87"/>
      <c r="AX10" s="37"/>
      <c r="AY10" s="46">
        <f t="shared" si="0"/>
        <v>0</v>
      </c>
      <c r="AZ10" s="46"/>
      <c r="BA10" s="46"/>
      <c r="BB10" s="46">
        <f t="shared" si="1"/>
        <v>0</v>
      </c>
      <c r="BC10" s="46"/>
      <c r="BD10" s="46"/>
      <c r="BE10" s="46"/>
      <c r="BF10" s="46"/>
      <c r="BG10" s="46">
        <f t="shared" si="2"/>
        <v>0</v>
      </c>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34" t="e">
        <f>VLOOKUP(Tableau317[[#This Row],[NumSym]],Tableau_Lancer_la_requête_à_partir_de_Excel_Files316[[ID_Synergie]:[Avis Prog]],44)</f>
        <v>#N/A</v>
      </c>
      <c r="CM10" s="34"/>
      <c r="CN10" s="34"/>
      <c r="CO10" s="34"/>
      <c r="CP10" s="34"/>
      <c r="CQ10" s="34"/>
      <c r="CR10" s="34"/>
      <c r="CS10" s="34"/>
      <c r="CT10" s="34"/>
      <c r="CU10" s="34"/>
      <c r="CV10" s="34"/>
      <c r="CW10" s="34"/>
      <c r="CX10" s="34"/>
      <c r="CY10" s="34"/>
      <c r="CZ10" s="34"/>
      <c r="DA10" s="34"/>
      <c r="DB10" s="34"/>
      <c r="DC10" s="34"/>
      <c r="DD10" s="34"/>
      <c r="DE10" s="34"/>
      <c r="DF10" s="34"/>
      <c r="DG10" s="34"/>
      <c r="DH10" s="34"/>
    </row>
    <row r="11" spans="1:112" ht="45" x14ac:dyDescent="0.25">
      <c r="A11" s="40" t="s">
        <v>253</v>
      </c>
      <c r="B11" s="42" t="s">
        <v>278</v>
      </c>
      <c r="C11" s="42" t="s">
        <v>275</v>
      </c>
      <c r="D11" s="43" t="s">
        <v>276</v>
      </c>
      <c r="E11" s="43" t="s">
        <v>277</v>
      </c>
      <c r="F11" s="44">
        <v>2221076</v>
      </c>
      <c r="G11" s="44">
        <v>236250</v>
      </c>
      <c r="H11" s="44">
        <f>IF(Tableau_Lancer_la_requête_à_partir_de_Excel_Files316[[#This Row],[Coût total Eligible FEDER]]="",Tableau_Lancer_la_requête_à_partir_de_Excel_Files316[[#This Row],[Coût total déposé]],Tableau_Lancer_la_requête_à_partir_de_Excel_Files316[[#This Row],[Coût total Eligible FEDER]])</f>
        <v>236250</v>
      </c>
      <c r="I11" s="44">
        <f>Tableau_Lancer_la_requête_à_partir_de_Excel_Files316[[#This Row],[Aide Massif Obtenu]]+Tableau_Lancer_la_requête_à_partir_de_Excel_Files316[[#This Row],[''Autre Public'']]</f>
        <v>0</v>
      </c>
      <c r="J11" s="45">
        <f>Tableau_Lancer_la_requête_à_partir_de_Excel_Files316[[#This Row],[Aide Publique Obtenue]]/Tableau_Lancer_la_requête_à_partir_de_Excel_Files316[[#This Row],[Coût total]]</f>
        <v>0</v>
      </c>
      <c r="K11"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11" s="45">
        <f>Tableau_Lancer_la_requête_à_partir_de_Excel_Files316[[#This Row],[Aide Massif Obtenu]]/Tableau_Lancer_la_requête_à_partir_de_Excel_Files316[[#This Row],[Coût total]]</f>
        <v>0</v>
      </c>
      <c r="M11" s="46">
        <f>Tableau_Lancer_la_requête_à_partir_de_Excel_Files316[[#This Row],[''FNADT'']]+Tableau_Lancer_la_requête_à_partir_de_Excel_Files316[[#This Row],[''Agriculture'']]</f>
        <v>0</v>
      </c>
      <c r="N11" s="44"/>
      <c r="O11" s="44"/>
      <c r="P11"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11" s="44"/>
      <c r="R11" s="44"/>
      <c r="S11" s="44"/>
      <c r="T11" s="44"/>
      <c r="U11"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11" s="44"/>
      <c r="W11" s="44"/>
      <c r="X11" s="44"/>
      <c r="Y11" s="44"/>
      <c r="Z11" s="44"/>
      <c r="AA11" s="44"/>
      <c r="AB11" s="44"/>
      <c r="AC11" s="44"/>
      <c r="AD11" s="44"/>
      <c r="AE11" s="44"/>
      <c r="AF11" s="44"/>
      <c r="AG11" s="44"/>
      <c r="AH11" s="44"/>
      <c r="AI11" s="44"/>
      <c r="AJ11" s="44"/>
      <c r="AK11" s="44"/>
      <c r="AL11" s="44"/>
      <c r="AM11" s="44"/>
      <c r="AN11" s="44"/>
      <c r="AO11" s="44"/>
      <c r="AP11" s="44"/>
      <c r="AQ11" s="44"/>
      <c r="AR11" s="44">
        <v>0</v>
      </c>
      <c r="AS11" s="44">
        <v>0</v>
      </c>
      <c r="AT11" s="82"/>
      <c r="AU11" s="34"/>
      <c r="AV11" s="86"/>
      <c r="AX11" s="37"/>
      <c r="AY11" s="46">
        <f t="shared" si="0"/>
        <v>0</v>
      </c>
      <c r="AZ11" s="46"/>
      <c r="BA11" s="46"/>
      <c r="BB11" s="46">
        <f t="shared" si="1"/>
        <v>0</v>
      </c>
      <c r="BC11" s="46"/>
      <c r="BD11" s="46"/>
      <c r="BE11" s="46"/>
      <c r="BF11" s="46"/>
      <c r="BG11" s="46">
        <f t="shared" si="2"/>
        <v>0</v>
      </c>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34" t="e">
        <f>VLOOKUP(Tableau317[[#This Row],[NumSym]],Tableau_Lancer_la_requête_à_partir_de_Excel_Files316[[ID_Synergie]:[Avis Prog]],44)</f>
        <v>#N/A</v>
      </c>
      <c r="CM11" s="34"/>
      <c r="CN11" s="34"/>
      <c r="CO11" s="34"/>
      <c r="CP11" s="34"/>
      <c r="CQ11" s="34"/>
      <c r="CR11" s="34"/>
      <c r="CS11" s="34"/>
      <c r="CT11" s="34"/>
      <c r="CU11" s="34"/>
      <c r="CV11" s="34"/>
      <c r="CW11" s="34"/>
      <c r="CX11" s="34"/>
      <c r="CY11" s="34"/>
      <c r="CZ11" s="34"/>
      <c r="DA11" s="34"/>
      <c r="DB11" s="34"/>
      <c r="DC11" s="34"/>
      <c r="DD11" s="34"/>
      <c r="DE11" s="34"/>
      <c r="DF11" s="34"/>
      <c r="DG11" s="34"/>
      <c r="DH11" s="34"/>
    </row>
    <row r="12" spans="1:112" ht="60" x14ac:dyDescent="0.25">
      <c r="A12" s="40" t="s">
        <v>253</v>
      </c>
      <c r="B12" s="42" t="s">
        <v>274</v>
      </c>
      <c r="C12" s="42" t="s">
        <v>271</v>
      </c>
      <c r="D12" s="43" t="s">
        <v>272</v>
      </c>
      <c r="E12" s="43" t="s">
        <v>273</v>
      </c>
      <c r="F12" s="44">
        <v>30199.56</v>
      </c>
      <c r="G12" s="44"/>
      <c r="H12" s="44">
        <f>IF(Tableau_Lancer_la_requête_à_partir_de_Excel_Files316[[#This Row],[Coût total Eligible FEDER]]="",Tableau_Lancer_la_requête_à_partir_de_Excel_Files316[[#This Row],[Coût total déposé]],Tableau_Lancer_la_requête_à_partir_de_Excel_Files316[[#This Row],[Coût total Eligible FEDER]])</f>
        <v>30199.56</v>
      </c>
      <c r="I12" s="44">
        <f>Tableau_Lancer_la_requête_à_partir_de_Excel_Files316[[#This Row],[Aide Massif Obtenu]]+Tableau_Lancer_la_requête_à_partir_de_Excel_Files316[[#This Row],[''Autre Public'']]</f>
        <v>0</v>
      </c>
      <c r="J12" s="45">
        <f>Tableau_Lancer_la_requête_à_partir_de_Excel_Files316[[#This Row],[Aide Publique Obtenue]]/Tableau_Lancer_la_requête_à_partir_de_Excel_Files316[[#This Row],[Coût total]]</f>
        <v>0</v>
      </c>
      <c r="K12"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12" s="45">
        <f>Tableau_Lancer_la_requête_à_partir_de_Excel_Files316[[#This Row],[Aide Massif Obtenu]]/Tableau_Lancer_la_requête_à_partir_de_Excel_Files316[[#This Row],[Coût total]]</f>
        <v>0</v>
      </c>
      <c r="M12" s="46">
        <f>Tableau_Lancer_la_requête_à_partir_de_Excel_Files316[[#This Row],[''FNADT'']]+Tableau_Lancer_la_requête_à_partir_de_Excel_Files316[[#This Row],[''Agriculture'']]</f>
        <v>0</v>
      </c>
      <c r="N12" s="44"/>
      <c r="O12" s="44"/>
      <c r="P12"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12" s="44"/>
      <c r="R12" s="44"/>
      <c r="S12" s="44"/>
      <c r="T12" s="44"/>
      <c r="U12"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12" s="44"/>
      <c r="W12" s="44"/>
      <c r="X12" s="44"/>
      <c r="Y12" s="44"/>
      <c r="Z12" s="44"/>
      <c r="AA12" s="44"/>
      <c r="AB12" s="44"/>
      <c r="AC12" s="44"/>
      <c r="AD12" s="44"/>
      <c r="AE12" s="44"/>
      <c r="AF12" s="44"/>
      <c r="AG12" s="44"/>
      <c r="AH12" s="44"/>
      <c r="AI12" s="44"/>
      <c r="AJ12" s="44"/>
      <c r="AK12" s="44"/>
      <c r="AL12" s="44"/>
      <c r="AM12" s="44"/>
      <c r="AN12" s="44"/>
      <c r="AO12" s="44"/>
      <c r="AP12" s="44"/>
      <c r="AQ12" s="44"/>
      <c r="AR12" s="44">
        <v>0</v>
      </c>
      <c r="AS12" s="44">
        <v>0</v>
      </c>
      <c r="AT12" s="79"/>
      <c r="AU12" s="34"/>
      <c r="AV12" s="87"/>
      <c r="AX12" s="37"/>
      <c r="AY12" s="46">
        <f t="shared" si="0"/>
        <v>0</v>
      </c>
      <c r="AZ12" s="46"/>
      <c r="BA12" s="46"/>
      <c r="BB12" s="46">
        <f t="shared" si="1"/>
        <v>0</v>
      </c>
      <c r="BC12" s="46"/>
      <c r="BD12" s="46"/>
      <c r="BE12" s="46"/>
      <c r="BF12" s="46"/>
      <c r="BG12" s="46">
        <f t="shared" si="2"/>
        <v>0</v>
      </c>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34" t="e">
        <f>VLOOKUP(Tableau317[[#This Row],[NumSym]],Tableau_Lancer_la_requête_à_partir_de_Excel_Files316[[ID_Synergie]:[Avis Prog]],44)</f>
        <v>#N/A</v>
      </c>
      <c r="CM12" s="34"/>
      <c r="CN12" s="34"/>
      <c r="CO12" s="34"/>
      <c r="CP12" s="34"/>
      <c r="CQ12" s="34"/>
      <c r="CR12" s="34"/>
      <c r="CS12" s="34"/>
      <c r="CT12" s="34"/>
      <c r="CU12" s="34"/>
      <c r="CV12" s="34"/>
      <c r="CW12" s="34"/>
      <c r="CX12" s="34"/>
      <c r="CY12" s="34"/>
      <c r="CZ12" s="34"/>
      <c r="DA12" s="34"/>
      <c r="DB12" s="34"/>
      <c r="DC12" s="34"/>
      <c r="DD12" s="34"/>
      <c r="DE12" s="34"/>
      <c r="DF12" s="34"/>
      <c r="DG12" s="34"/>
      <c r="DH12" s="34"/>
    </row>
    <row r="13" spans="1:112" ht="30" x14ac:dyDescent="0.25">
      <c r="A13" s="40" t="s">
        <v>253</v>
      </c>
      <c r="B13" s="42" t="s">
        <v>270</v>
      </c>
      <c r="C13" s="42" t="s">
        <v>268</v>
      </c>
      <c r="D13" s="43" t="s">
        <v>77</v>
      </c>
      <c r="E13" s="43" t="s">
        <v>269</v>
      </c>
      <c r="F13" s="44">
        <v>134361.30750968272</v>
      </c>
      <c r="G13" s="44"/>
      <c r="H13" s="44">
        <f>IF(Tableau_Lancer_la_requête_à_partir_de_Excel_Files316[[#This Row],[Coût total Eligible FEDER]]="",Tableau_Lancer_la_requête_à_partir_de_Excel_Files316[[#This Row],[Coût total déposé]],Tableau_Lancer_la_requête_à_partir_de_Excel_Files316[[#This Row],[Coût total Eligible FEDER]])</f>
        <v>134361.30750968272</v>
      </c>
      <c r="I13" s="44">
        <f>Tableau_Lancer_la_requête_à_partir_de_Excel_Files316[[#This Row],[Aide Massif Obtenu]]+Tableau_Lancer_la_requête_à_partir_de_Excel_Files316[[#This Row],[''Autre Public'']]</f>
        <v>0</v>
      </c>
      <c r="J13" s="45">
        <f>Tableau_Lancer_la_requête_à_partir_de_Excel_Files316[[#This Row],[Aide Publique Obtenue]]/Tableau_Lancer_la_requête_à_partir_de_Excel_Files316[[#This Row],[Coût total]]</f>
        <v>0</v>
      </c>
      <c r="K13"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13" s="45">
        <f>Tableau_Lancer_la_requête_à_partir_de_Excel_Files316[[#This Row],[Aide Massif Obtenu]]/Tableau_Lancer_la_requête_à_partir_de_Excel_Files316[[#This Row],[Coût total]]</f>
        <v>0</v>
      </c>
      <c r="M13" s="46">
        <f>Tableau_Lancer_la_requête_à_partir_de_Excel_Files316[[#This Row],[''FNADT'']]+Tableau_Lancer_la_requête_à_partir_de_Excel_Files316[[#This Row],[''Agriculture'']]</f>
        <v>0</v>
      </c>
      <c r="N13" s="44"/>
      <c r="O13" s="44"/>
      <c r="P13"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13" s="44"/>
      <c r="R13" s="44"/>
      <c r="S13" s="44"/>
      <c r="T13" s="44"/>
      <c r="U13"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13" s="44"/>
      <c r="W13" s="44"/>
      <c r="X13" s="44"/>
      <c r="Y13" s="44"/>
      <c r="Z13" s="44"/>
      <c r="AA13" s="44"/>
      <c r="AB13" s="44"/>
      <c r="AC13" s="44"/>
      <c r="AD13" s="44"/>
      <c r="AE13" s="44"/>
      <c r="AF13" s="44"/>
      <c r="AG13" s="44"/>
      <c r="AH13" s="44"/>
      <c r="AI13" s="44"/>
      <c r="AJ13" s="44"/>
      <c r="AK13" s="44"/>
      <c r="AL13" s="44"/>
      <c r="AM13" s="44"/>
      <c r="AN13" s="44"/>
      <c r="AO13" s="44"/>
      <c r="AP13" s="44"/>
      <c r="AQ13" s="44"/>
      <c r="AR13" s="44">
        <v>0</v>
      </c>
      <c r="AS13" s="44">
        <v>0</v>
      </c>
      <c r="AT13" s="82"/>
      <c r="AU13" s="34"/>
      <c r="AV13" s="51"/>
      <c r="AX13" s="37"/>
      <c r="AY13" s="46">
        <f t="shared" si="0"/>
        <v>0</v>
      </c>
      <c r="AZ13" s="46"/>
      <c r="BA13" s="46"/>
      <c r="BB13" s="46">
        <f t="shared" si="1"/>
        <v>0</v>
      </c>
      <c r="BC13" s="46"/>
      <c r="BD13" s="46"/>
      <c r="BE13" s="46"/>
      <c r="BF13" s="46"/>
      <c r="BG13" s="46">
        <f t="shared" si="2"/>
        <v>0</v>
      </c>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34" t="e">
        <f>VLOOKUP(Tableau317[[#This Row],[NumSym]],Tableau_Lancer_la_requête_à_partir_de_Excel_Files316[[ID_Synergie]:[Avis Prog]],44)</f>
        <v>#N/A</v>
      </c>
      <c r="CM13" s="34"/>
      <c r="CN13" s="34"/>
      <c r="CO13" s="34"/>
      <c r="CP13" s="34"/>
      <c r="CQ13" s="34"/>
      <c r="CR13" s="34"/>
      <c r="CS13" s="34"/>
      <c r="CT13" s="34"/>
      <c r="CU13" s="34"/>
      <c r="CV13" s="34"/>
      <c r="CW13" s="34"/>
      <c r="CX13" s="34"/>
      <c r="CY13" s="34"/>
      <c r="CZ13" s="34"/>
      <c r="DA13" s="34"/>
      <c r="DB13" s="34"/>
      <c r="DC13" s="34"/>
      <c r="DD13" s="34"/>
      <c r="DE13" s="34"/>
      <c r="DF13" s="34"/>
      <c r="DG13" s="34"/>
      <c r="DH13" s="34"/>
    </row>
    <row r="14" spans="1:112" ht="45.75" thickBot="1" x14ac:dyDescent="0.3">
      <c r="A14" s="40" t="s">
        <v>253</v>
      </c>
      <c r="B14" s="42" t="s">
        <v>300</v>
      </c>
      <c r="C14" s="42" t="s">
        <v>299</v>
      </c>
      <c r="D14" s="43" t="s">
        <v>218</v>
      </c>
      <c r="E14" s="43" t="s">
        <v>219</v>
      </c>
      <c r="F14" s="44">
        <v>17613</v>
      </c>
      <c r="G14" s="44"/>
      <c r="H14" s="44">
        <f>IF(Tableau_Lancer_la_requête_à_partir_de_Excel_Files316[[#This Row],[Coût total Eligible FEDER]]="",Tableau_Lancer_la_requête_à_partir_de_Excel_Files316[[#This Row],[Coût total déposé]],Tableau_Lancer_la_requête_à_partir_de_Excel_Files316[[#This Row],[Coût total Eligible FEDER]])</f>
        <v>17613</v>
      </c>
      <c r="I14" s="44">
        <f>Tableau_Lancer_la_requête_à_partir_de_Excel_Files316[[#This Row],[Aide Massif Obtenu]]+Tableau_Lancer_la_requête_à_partir_de_Excel_Files316[[#This Row],[''Autre Public'']]</f>
        <v>0</v>
      </c>
      <c r="J14" s="45">
        <f>Tableau_Lancer_la_requête_à_partir_de_Excel_Files316[[#This Row],[Aide Publique Obtenue]]/Tableau_Lancer_la_requête_à_partir_de_Excel_Files316[[#This Row],[Coût total]]</f>
        <v>0</v>
      </c>
      <c r="K14" s="44">
        <f>Tableau_Lancer_la_requête_à_partir_de_Excel_Files316[[#This Row],[Etat]]+Tableau_Lancer_la_requête_à_partir_de_Excel_Files316[[#This Row],[Régions]]+Tableau_Lancer_la_requête_à_partir_de_Excel_Files316[[#This Row],[Départements]]+Tableau_Lancer_la_requête_à_partir_de_Excel_Files316[[#This Row],[''FEDER'']]</f>
        <v>0</v>
      </c>
      <c r="L14" s="45">
        <f>Tableau_Lancer_la_requête_à_partir_de_Excel_Files316[[#This Row],[Aide Massif Obtenu]]/Tableau_Lancer_la_requête_à_partir_de_Excel_Files316[[#This Row],[Coût total]]</f>
        <v>0</v>
      </c>
      <c r="M14" s="46">
        <f>Tableau_Lancer_la_requête_à_partir_de_Excel_Files316[[#This Row],[''FNADT'']]+Tableau_Lancer_la_requête_à_partir_de_Excel_Files316[[#This Row],[''Agriculture'']]</f>
        <v>0</v>
      </c>
      <c r="N14" s="44"/>
      <c r="O14" s="44"/>
      <c r="P14" s="46">
        <f>Tableau_Lancer_la_requête_à_partir_de_Excel_Files316[[#This Row],[''ALPC'']]+Tableau_Lancer_la_requête_à_partir_de_Excel_Files316[[#This Row],[''AURA'']]+Tableau_Lancer_la_requête_à_partir_de_Excel_Files316[[#This Row],[''BFC'']]+Tableau_Lancer_la_requête_à_partir_de_Excel_Files316[[#This Row],[''LRMP'']]</f>
        <v>0</v>
      </c>
      <c r="Q14" s="44"/>
      <c r="R14" s="44"/>
      <c r="S14" s="44"/>
      <c r="T14" s="44"/>
      <c r="U14" s="46">
        <f>Tableau_Lancer_la_requête_à_partir_de_Excel_Files316[[#This Row],[''03'']]+Tableau_Lancer_la_requête_à_partir_de_Excel_Files316[[#This Row],[''07'']]+Tableau_Lancer_la_requête_à_partir_de_Excel_Files316[[#This Row],[''11'']]+Tableau_Lancer_la_requête_à_partir_de_Excel_Files316[[#This Row],[''12'']]+Tableau_Lancer_la_requête_à_partir_de_Excel_Files316[[#This Row],[''15'']]+Tableau_Lancer_la_requête_à_partir_de_Excel_Files316[[#This Row],[''21'']]+Tableau_Lancer_la_requête_à_partir_de_Excel_Files316[[#This Row],[''19'']]+Tableau_Lancer_la_requête_à_partir_de_Excel_Files316[[#This Row],[''23'']]+Tableau_Lancer_la_requête_à_partir_de_Excel_Files316[[#This Row],[''30'']]+Tableau_Lancer_la_requête_à_partir_de_Excel_Files316[[#This Row],[''34'']]+Tableau_Lancer_la_requête_à_partir_de_Excel_Files316[[#This Row],[''42'']]+Tableau_Lancer_la_requête_à_partir_de_Excel_Files316[[#This Row],[''43'']]+Tableau_Lancer_la_requête_à_partir_de_Excel_Files316[[#This Row],[''46'']]+Tableau_Lancer_la_requête_à_partir_de_Excel_Files316[[#This Row],[''48'']]+Tableau_Lancer_la_requête_à_partir_de_Excel_Files316[[#This Row],[''58'']]+Tableau_Lancer_la_requête_à_partir_de_Excel_Files316[[#This Row],[''63'']]+Tableau_Lancer_la_requête_à_partir_de_Excel_Files316[[#This Row],[''69'']]+Tableau_Lancer_la_requête_à_partir_de_Excel_Files316[[#This Row],[''71'']]+Tableau_Lancer_la_requête_à_partir_de_Excel_Files316[[#This Row],[''81'']]+Tableau_Lancer_la_requête_à_partir_de_Excel_Files316[[#This Row],[''82'']]+Tableau_Lancer_la_requête_à_partir_de_Excel_Files316[[#This Row],[''87'']]+Tableau_Lancer_la_requête_à_partir_de_Excel_Files316[[#This Row],[''89'']]</f>
        <v>0</v>
      </c>
      <c r="V14" s="44"/>
      <c r="W14" s="44"/>
      <c r="X14" s="44"/>
      <c r="Y14" s="44"/>
      <c r="Z14" s="44"/>
      <c r="AA14" s="44"/>
      <c r="AB14" s="44"/>
      <c r="AC14" s="44"/>
      <c r="AD14" s="44"/>
      <c r="AE14" s="44"/>
      <c r="AF14" s="44"/>
      <c r="AG14" s="44"/>
      <c r="AH14" s="44"/>
      <c r="AI14" s="44"/>
      <c r="AJ14" s="44"/>
      <c r="AK14" s="44"/>
      <c r="AL14" s="44"/>
      <c r="AM14" s="44"/>
      <c r="AN14" s="44"/>
      <c r="AO14" s="44"/>
      <c r="AP14" s="44"/>
      <c r="AQ14" s="44"/>
      <c r="AR14" s="44">
        <v>0</v>
      </c>
      <c r="AS14" s="44">
        <v>0</v>
      </c>
      <c r="AT14" s="82"/>
      <c r="AU14" s="34"/>
      <c r="AV14" s="52" t="s">
        <v>301</v>
      </c>
      <c r="AX14" s="37"/>
      <c r="AY14" s="46">
        <f t="shared" si="0"/>
        <v>0</v>
      </c>
      <c r="AZ14" s="44"/>
      <c r="BA14" s="44"/>
      <c r="BB14" s="46">
        <f t="shared" si="1"/>
        <v>0</v>
      </c>
      <c r="BC14" s="44"/>
      <c r="BD14" s="44"/>
      <c r="BE14" s="44"/>
      <c r="BF14" s="44"/>
      <c r="BG14" s="46">
        <f t="shared" si="2"/>
        <v>0</v>
      </c>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34" t="e">
        <f>VLOOKUP(Tableau317[[#This Row],[NumSym]],Tableau_Lancer_la_requête_à_partir_de_Excel_Files316[[ID_Synergie]:[Avis Prog]],44)</f>
        <v>#N/A</v>
      </c>
      <c r="CG14" s="34" t="s">
        <v>299</v>
      </c>
      <c r="CM14" s="34"/>
      <c r="CN14" s="34"/>
      <c r="CO14" s="34"/>
      <c r="CP14" s="34"/>
      <c r="CQ14" s="34"/>
      <c r="CR14" s="34"/>
      <c r="CS14" s="34"/>
      <c r="CT14" s="34"/>
      <c r="CU14" s="34"/>
      <c r="CV14" s="34"/>
      <c r="CW14" s="34"/>
      <c r="CX14" s="34"/>
      <c r="CY14" s="34"/>
      <c r="CZ14" s="34"/>
      <c r="DA14" s="34"/>
      <c r="DB14" s="34"/>
      <c r="DC14" s="34"/>
      <c r="DD14" s="34"/>
      <c r="DE14" s="34"/>
      <c r="DF14" s="34"/>
      <c r="DG14" s="34"/>
      <c r="DH14" s="34"/>
    </row>
    <row r="15" spans="1:112" ht="15.75" thickTop="1" x14ac:dyDescent="0.25">
      <c r="A15" s="43" t="s">
        <v>8</v>
      </c>
      <c r="B15" s="43"/>
      <c r="C15" s="43">
        <f>SUBTOTAL(103,Tableau_Lancer_la_requête_à_partir_de_Excel_Files316[ID_Synergie])</f>
        <v>8</v>
      </c>
      <c r="D15" s="43"/>
      <c r="E15" s="43"/>
      <c r="F15" s="44">
        <f>SUBTOTAL(109,Tableau_Lancer_la_requête_à_partir_de_Excel_Files316[Coût total déposé])</f>
        <v>3200608.1475096829</v>
      </c>
      <c r="G15" s="44"/>
      <c r="H15" s="44">
        <f>SUBTOTAL(109,Tableau_Lancer_la_requête_à_partir_de_Excel_Files316[Coût total])</f>
        <v>1215782.1475096829</v>
      </c>
      <c r="I15" s="44">
        <f>SUBTOTAL(109,Tableau_Lancer_la_requête_à_partir_de_Excel_Files316[Aide Publique Obtenue])</f>
        <v>0</v>
      </c>
      <c r="J15" s="44"/>
      <c r="K15" s="44">
        <f>SUBTOTAL(109,Tableau_Lancer_la_requête_à_partir_de_Excel_Files316[Aide Massif Obtenu])</f>
        <v>0</v>
      </c>
      <c r="L15" s="43"/>
      <c r="M15" s="44">
        <f>SUBTOTAL(109,Tableau_Lancer_la_requête_à_partir_de_Excel_Files316[Etat])</f>
        <v>0</v>
      </c>
      <c r="N15" s="44"/>
      <c r="O15" s="44"/>
      <c r="P15" s="44">
        <f>SUBTOTAL(109,Tableau_Lancer_la_requête_à_partir_de_Excel_Files316[Régions])</f>
        <v>0</v>
      </c>
      <c r="Q15" s="44"/>
      <c r="R15" s="44"/>
      <c r="S15" s="44"/>
      <c r="T15" s="44"/>
      <c r="U15" s="44">
        <f>SUBTOTAL(109,Tableau_Lancer_la_requête_à_partir_de_Excel_Files316[Départements])</f>
        <v>0</v>
      </c>
      <c r="V15" s="44"/>
      <c r="W15" s="44"/>
      <c r="X15" s="44"/>
      <c r="Y15" s="44"/>
      <c r="Z15" s="44"/>
      <c r="AA15" s="44"/>
      <c r="AB15" s="44"/>
      <c r="AC15" s="44"/>
      <c r="AD15" s="44"/>
      <c r="AE15" s="44"/>
      <c r="AF15" s="44"/>
      <c r="AG15" s="44"/>
      <c r="AH15" s="44"/>
      <c r="AI15" s="44"/>
      <c r="AJ15" s="44"/>
      <c r="AK15" s="44"/>
      <c r="AL15" s="44"/>
      <c r="AM15" s="44"/>
      <c r="AN15" s="44"/>
      <c r="AO15" s="44"/>
      <c r="AP15" s="44"/>
      <c r="AQ15" s="44"/>
      <c r="AR15" s="44">
        <f>SUBTOTAL(109,Tableau_Lancer_la_requête_à_partir_de_Excel_Files316[''FEDER''])</f>
        <v>0</v>
      </c>
      <c r="AS15" s="44"/>
      <c r="AT15" s="43"/>
      <c r="AV15" s="81"/>
      <c r="AX15" s="46"/>
      <c r="AY15" s="46">
        <f t="shared" si="0"/>
        <v>0</v>
      </c>
      <c r="BA15" s="46"/>
      <c r="BB15" s="46">
        <f t="shared" si="1"/>
        <v>0</v>
      </c>
      <c r="BF15" s="46"/>
      <c r="BG15" s="46">
        <f t="shared" si="2"/>
        <v>0</v>
      </c>
      <c r="CE15" s="34" t="e">
        <f>VLOOKUP(Tableau317[[#This Row],[NumSym]],Tableau_Lancer_la_requête_à_partir_de_Excel_Files316[[ID_Synergie]:[Avis Prog]],44)</f>
        <v>#N/A</v>
      </c>
      <c r="CM15" s="34"/>
      <c r="CN15" s="34"/>
      <c r="CO15" s="34"/>
      <c r="CP15" s="34"/>
      <c r="CQ15" s="34"/>
      <c r="CR15" s="34"/>
      <c r="CS15" s="34"/>
      <c r="CT15" s="34"/>
      <c r="CU15" s="34"/>
      <c r="CV15" s="34"/>
      <c r="CW15" s="34"/>
      <c r="CX15" s="34"/>
      <c r="CY15" s="34"/>
      <c r="CZ15" s="34"/>
      <c r="DA15" s="34"/>
      <c r="DB15" s="34"/>
      <c r="DC15" s="34"/>
      <c r="DD15" s="34"/>
      <c r="DE15" s="34"/>
      <c r="DF15" s="34"/>
      <c r="DG15" s="34"/>
      <c r="DH15" s="34"/>
    </row>
    <row r="16" spans="1:112" x14ac:dyDescent="0.25">
      <c r="AX16" s="46"/>
      <c r="AY16" s="46">
        <f t="shared" si="0"/>
        <v>0</v>
      </c>
      <c r="BA16" s="46"/>
      <c r="BB16" s="46">
        <f t="shared" si="1"/>
        <v>0</v>
      </c>
      <c r="BF16" s="46"/>
      <c r="BG16" s="46">
        <f t="shared" si="2"/>
        <v>0</v>
      </c>
      <c r="CE16" s="34" t="e">
        <f>VLOOKUP(Tableau317[[#This Row],[NumSym]],Tableau_Lancer_la_requête_à_partir_de_Excel_Files316[[ID_Synergie]:[Avis Prog]],44)</f>
        <v>#N/A</v>
      </c>
      <c r="CM16" s="34"/>
      <c r="CN16" s="34"/>
      <c r="CO16" s="34"/>
      <c r="CP16" s="34"/>
      <c r="CQ16" s="34"/>
      <c r="CR16" s="34"/>
      <c r="CS16" s="34"/>
      <c r="CT16" s="34"/>
      <c r="CU16" s="34"/>
      <c r="CV16" s="34"/>
      <c r="CW16" s="34"/>
      <c r="CX16" s="34"/>
      <c r="CY16" s="34"/>
      <c r="CZ16" s="34"/>
      <c r="DA16" s="34"/>
      <c r="DB16" s="34"/>
      <c r="DC16" s="34"/>
      <c r="DD16" s="34"/>
      <c r="DE16" s="34"/>
      <c r="DF16" s="34"/>
      <c r="DG16" s="34"/>
      <c r="DH16" s="34"/>
    </row>
    <row r="17" spans="50:112" x14ac:dyDescent="0.25">
      <c r="AX17" s="46"/>
      <c r="AY17" s="46">
        <f t="shared" si="0"/>
        <v>0</v>
      </c>
      <c r="BA17" s="46"/>
      <c r="BB17" s="46">
        <f t="shared" si="1"/>
        <v>0</v>
      </c>
      <c r="BF17" s="46"/>
      <c r="BG17" s="46">
        <f t="shared" si="2"/>
        <v>0</v>
      </c>
      <c r="CE17" s="34" t="e">
        <f>VLOOKUP(Tableau317[[#This Row],[NumSym]],Tableau_Lancer_la_requête_à_partir_de_Excel_Files316[[ID_Synergie]:[Avis Prog]],44)</f>
        <v>#N/A</v>
      </c>
      <c r="CM17" s="34"/>
      <c r="CN17" s="34"/>
      <c r="CO17" s="34"/>
      <c r="CP17" s="34"/>
      <c r="CQ17" s="34"/>
      <c r="CR17" s="34"/>
      <c r="CS17" s="34"/>
      <c r="CT17" s="34"/>
      <c r="CU17" s="34"/>
      <c r="CV17" s="34"/>
      <c r="CW17" s="34"/>
      <c r="CX17" s="34"/>
      <c r="CY17" s="34"/>
      <c r="CZ17" s="34"/>
      <c r="DA17" s="34"/>
      <c r="DB17" s="34"/>
      <c r="DC17" s="34"/>
      <c r="DD17" s="34"/>
      <c r="DE17" s="34"/>
      <c r="DF17" s="34"/>
      <c r="DG17" s="34"/>
      <c r="DH17" s="34"/>
    </row>
    <row r="18" spans="50:112" x14ac:dyDescent="0.25">
      <c r="AX18" s="46"/>
      <c r="AY18" s="46">
        <f t="shared" si="0"/>
        <v>0</v>
      </c>
      <c r="BA18" s="46"/>
      <c r="BB18" s="46">
        <f t="shared" si="1"/>
        <v>0</v>
      </c>
      <c r="BF18" s="46"/>
      <c r="BG18" s="46">
        <f t="shared" si="2"/>
        <v>0</v>
      </c>
      <c r="CE18" s="34" t="e">
        <f>VLOOKUP(Tableau317[[#This Row],[NumSym]],Tableau_Lancer_la_requête_à_partir_de_Excel_Files316[[ID_Synergie]:[Avis Prog]],44)</f>
        <v>#N/A</v>
      </c>
      <c r="CM18" s="34"/>
      <c r="CN18" s="34"/>
      <c r="CO18" s="34"/>
      <c r="CP18" s="34"/>
      <c r="CQ18" s="34"/>
      <c r="CR18" s="34"/>
      <c r="CS18" s="34"/>
      <c r="CT18" s="34"/>
      <c r="CU18" s="34"/>
      <c r="CV18" s="34"/>
      <c r="CW18" s="34"/>
      <c r="CX18" s="34"/>
      <c r="CY18" s="34"/>
      <c r="CZ18" s="34"/>
      <c r="DA18" s="34"/>
      <c r="DB18" s="34"/>
      <c r="DC18" s="34"/>
      <c r="DD18" s="34"/>
      <c r="DE18" s="34"/>
      <c r="DF18" s="34"/>
      <c r="DG18" s="34"/>
      <c r="DH18" s="34"/>
    </row>
    <row r="19" spans="50:112" x14ac:dyDescent="0.25">
      <c r="AX19" s="46"/>
      <c r="AY19" s="46">
        <f t="shared" si="0"/>
        <v>0</v>
      </c>
      <c r="BA19" s="46"/>
      <c r="BB19" s="46">
        <f t="shared" si="1"/>
        <v>0</v>
      </c>
      <c r="BF19" s="46"/>
      <c r="BG19" s="46">
        <f t="shared" si="2"/>
        <v>0</v>
      </c>
      <c r="CE19" s="34" t="e">
        <f>VLOOKUP(Tableau317[[#This Row],[NumSym]],Tableau_Lancer_la_requête_à_partir_de_Excel_Files316[[ID_Synergie]:[Avis Prog]],44)</f>
        <v>#N/A</v>
      </c>
      <c r="CM19" s="34"/>
      <c r="CN19" s="34"/>
      <c r="CO19" s="34"/>
      <c r="CP19" s="34"/>
      <c r="CQ19" s="34"/>
      <c r="CR19" s="34"/>
      <c r="CS19" s="34"/>
      <c r="CT19" s="34"/>
      <c r="CU19" s="34"/>
      <c r="CV19" s="34"/>
      <c r="CW19" s="34"/>
      <c r="CX19" s="34"/>
      <c r="CY19" s="34"/>
      <c r="CZ19" s="34"/>
      <c r="DA19" s="34"/>
      <c r="DB19" s="34"/>
      <c r="DC19" s="34"/>
      <c r="DD19" s="34"/>
      <c r="DE19" s="34"/>
      <c r="DF19" s="34"/>
      <c r="DG19" s="34"/>
      <c r="DH19" s="34"/>
    </row>
    <row r="20" spans="50:112" x14ac:dyDescent="0.25">
      <c r="AX20" s="46"/>
      <c r="AY20" s="46">
        <f t="shared" si="0"/>
        <v>0</v>
      </c>
      <c r="BA20" s="46"/>
      <c r="BB20" s="46">
        <f t="shared" si="1"/>
        <v>0</v>
      </c>
      <c r="BF20" s="46"/>
      <c r="BG20" s="46">
        <f t="shared" si="2"/>
        <v>0</v>
      </c>
      <c r="CE20" s="34" t="e">
        <f>VLOOKUP(Tableau317[[#This Row],[NumSym]],Tableau_Lancer_la_requête_à_partir_de_Excel_Files316[[ID_Synergie]:[Avis Prog]],44)</f>
        <v>#N/A</v>
      </c>
      <c r="CM20" s="34"/>
      <c r="CN20" s="34"/>
      <c r="CO20" s="34"/>
      <c r="CP20" s="34"/>
      <c r="CQ20" s="34"/>
      <c r="CR20" s="34"/>
      <c r="CS20" s="34"/>
      <c r="CT20" s="34"/>
      <c r="CU20" s="34"/>
      <c r="CV20" s="34"/>
      <c r="CW20" s="34"/>
      <c r="CX20" s="34"/>
      <c r="CY20" s="34"/>
      <c r="CZ20" s="34"/>
      <c r="DA20" s="34"/>
      <c r="DB20" s="34"/>
      <c r="DC20" s="34"/>
      <c r="DD20" s="34"/>
      <c r="DE20" s="34"/>
      <c r="DF20" s="34"/>
      <c r="DG20" s="34"/>
      <c r="DH20" s="34"/>
    </row>
    <row r="21" spans="50:112" x14ac:dyDescent="0.25">
      <c r="AX21" s="46"/>
      <c r="AY21" s="46">
        <f t="shared" si="0"/>
        <v>0</v>
      </c>
      <c r="BA21" s="46"/>
      <c r="BB21" s="46">
        <f t="shared" si="1"/>
        <v>0</v>
      </c>
      <c r="BF21" s="46"/>
      <c r="BG21" s="46">
        <f t="shared" si="2"/>
        <v>0</v>
      </c>
      <c r="CE21" s="34" t="e">
        <f>VLOOKUP(Tableau317[[#This Row],[NumSym]],Tableau_Lancer_la_requête_à_partir_de_Excel_Files316[[ID_Synergie]:[Avis Prog]],44)</f>
        <v>#N/A</v>
      </c>
      <c r="CM21" s="34"/>
      <c r="CN21" s="34"/>
      <c r="CO21" s="34"/>
      <c r="CP21" s="34"/>
      <c r="CQ21" s="34"/>
      <c r="CR21" s="34"/>
      <c r="CS21" s="34"/>
      <c r="CT21" s="34"/>
      <c r="CU21" s="34"/>
      <c r="CV21" s="34"/>
      <c r="CW21" s="34"/>
      <c r="CX21" s="34"/>
      <c r="CY21" s="34"/>
      <c r="CZ21" s="34"/>
      <c r="DA21" s="34"/>
      <c r="DB21" s="34"/>
      <c r="DC21" s="34"/>
      <c r="DD21" s="34"/>
      <c r="DE21" s="34"/>
      <c r="DF21" s="34"/>
      <c r="DG21" s="34"/>
      <c r="DH21" s="34"/>
    </row>
    <row r="22" spans="50:112" x14ac:dyDescent="0.25">
      <c r="AX22" s="46"/>
      <c r="AY22" s="46">
        <f t="shared" si="0"/>
        <v>0</v>
      </c>
      <c r="BA22" s="46"/>
      <c r="BB22" s="46">
        <f t="shared" si="1"/>
        <v>0</v>
      </c>
      <c r="BF22" s="46"/>
      <c r="BG22" s="46">
        <f t="shared" si="2"/>
        <v>0</v>
      </c>
      <c r="CE22" s="34" t="e">
        <f>VLOOKUP(Tableau317[[#This Row],[NumSym]],Tableau_Lancer_la_requête_à_partir_de_Excel_Files316[[ID_Synergie]:[Avis Prog]],44)</f>
        <v>#N/A</v>
      </c>
      <c r="CM22" s="34"/>
      <c r="CN22" s="34"/>
      <c r="CO22" s="34"/>
      <c r="CP22" s="34"/>
      <c r="CQ22" s="34"/>
      <c r="CR22" s="34"/>
      <c r="CS22" s="34"/>
      <c r="CT22" s="34"/>
      <c r="CU22" s="34"/>
      <c r="CV22" s="34"/>
      <c r="CW22" s="34"/>
      <c r="CX22" s="34"/>
      <c r="CY22" s="34"/>
      <c r="CZ22" s="34"/>
      <c r="DA22" s="34"/>
      <c r="DB22" s="34"/>
      <c r="DC22" s="34"/>
      <c r="DD22" s="34"/>
      <c r="DE22" s="34"/>
      <c r="DF22" s="34"/>
      <c r="DG22" s="34"/>
      <c r="DH22" s="34"/>
    </row>
    <row r="23" spans="50:112" x14ac:dyDescent="0.25">
      <c r="AX23" s="46"/>
      <c r="AY23" s="46">
        <f t="shared" si="0"/>
        <v>0</v>
      </c>
      <c r="BA23" s="46"/>
      <c r="BB23" s="46">
        <f t="shared" si="1"/>
        <v>0</v>
      </c>
      <c r="BF23" s="46"/>
      <c r="BG23" s="46">
        <f t="shared" si="2"/>
        <v>0</v>
      </c>
      <c r="CE23" s="34" t="e">
        <f>VLOOKUP(Tableau317[[#This Row],[NumSym]],Tableau_Lancer_la_requête_à_partir_de_Excel_Files316[[ID_Synergie]:[Avis Prog]],44)</f>
        <v>#N/A</v>
      </c>
      <c r="CM23" s="34"/>
      <c r="CN23" s="34"/>
      <c r="CO23" s="34"/>
      <c r="CP23" s="34"/>
      <c r="CQ23" s="34"/>
      <c r="CR23" s="34"/>
      <c r="CS23" s="34"/>
      <c r="CT23" s="34"/>
      <c r="CU23" s="34"/>
      <c r="CV23" s="34"/>
      <c r="CW23" s="34"/>
      <c r="CX23" s="34"/>
      <c r="CY23" s="34"/>
      <c r="CZ23" s="34"/>
      <c r="DA23" s="34"/>
      <c r="DB23" s="34"/>
      <c r="DC23" s="34"/>
      <c r="DD23" s="34"/>
      <c r="DE23" s="34"/>
      <c r="DF23" s="34"/>
      <c r="DG23" s="34"/>
      <c r="DH23" s="34"/>
    </row>
    <row r="24" spans="50:112" x14ac:dyDescent="0.25">
      <c r="AX24" s="48" t="s">
        <v>8</v>
      </c>
      <c r="AY24" s="46">
        <f>SUBTOTAL(109,Tableau317[Etat])</f>
        <v>0</v>
      </c>
      <c r="AZ24" s="46">
        <f>SUBTOTAL(109,Tableau317[''FNADT''])</f>
        <v>0</v>
      </c>
      <c r="BA24" s="46">
        <f>SUBTOTAL(109,Tableau317[''Agriculture''])</f>
        <v>0</v>
      </c>
      <c r="BB24" s="46">
        <f>SUBTOTAL(109,Tableau317[Régions])</f>
        <v>0</v>
      </c>
      <c r="BC24" s="46">
        <f>SUBTOTAL(109,Tableau317[''ALPC''])</f>
        <v>0</v>
      </c>
      <c r="BD24" s="46">
        <f>SUBTOTAL(109,Tableau317[''AURA''])</f>
        <v>0</v>
      </c>
      <c r="BE24" s="46">
        <f>SUBTOTAL(109,Tableau317[''BFC''])</f>
        <v>0</v>
      </c>
      <c r="BF24" s="46">
        <f>SUBTOTAL(109,Tableau317[''LRMP''])</f>
        <v>0</v>
      </c>
      <c r="BG24" s="46">
        <f>SUBTOTAL(109,Tableau317[Départements])</f>
        <v>0</v>
      </c>
      <c r="BH24" s="46">
        <f>SUBTOTAL(109,Tableau317[''03''])</f>
        <v>0</v>
      </c>
      <c r="BI24" s="46">
        <f>SUBTOTAL(109,Tableau317[''07''])</f>
        <v>0</v>
      </c>
      <c r="BJ24" s="46">
        <f>SUBTOTAL(109,Tableau317[''11''])</f>
        <v>0</v>
      </c>
      <c r="BK24" s="46">
        <f>SUBTOTAL(109,Tableau317[''12''])</f>
        <v>0</v>
      </c>
      <c r="BL24" s="46">
        <f>SUBTOTAL(109,Tableau317[''15''])</f>
        <v>0</v>
      </c>
      <c r="BM24" s="46">
        <f>SUBTOTAL(109,Tableau317[''19''])</f>
        <v>0</v>
      </c>
      <c r="BN24" s="46">
        <f>SUBTOTAL(109,Tableau317[''21''])</f>
        <v>0</v>
      </c>
      <c r="BO24" s="46">
        <f>SUBTOTAL(109,Tableau317[''23''])</f>
        <v>0</v>
      </c>
      <c r="BP24" s="46">
        <f>SUBTOTAL(109,Tableau317[''30''])</f>
        <v>0</v>
      </c>
      <c r="BQ24" s="46">
        <f>SUBTOTAL(109,Tableau317[''34''])</f>
        <v>0</v>
      </c>
      <c r="BR24" s="46">
        <f>SUBTOTAL(109,Tableau317[''42''])</f>
        <v>0</v>
      </c>
      <c r="BS24" s="46">
        <f>SUBTOTAL(109,Tableau317[''43''])</f>
        <v>0</v>
      </c>
      <c r="BT24" s="46">
        <f>SUBTOTAL(109,Tableau317[''46''])</f>
        <v>0</v>
      </c>
      <c r="BU24" s="46">
        <f>SUBTOTAL(109,Tableau317[''48''])</f>
        <v>0</v>
      </c>
      <c r="BV24" s="46">
        <f>SUBTOTAL(109,Tableau317[''58''])</f>
        <v>0</v>
      </c>
      <c r="BW24" s="46">
        <f>SUBTOTAL(109,Tableau317[''63''])</f>
        <v>0</v>
      </c>
      <c r="BX24" s="46">
        <f>SUBTOTAL(109,Tableau317[''69''])</f>
        <v>0</v>
      </c>
      <c r="BY24" s="46">
        <f>SUBTOTAL(109,Tableau317[''71''])</f>
        <v>0</v>
      </c>
      <c r="BZ24" s="46">
        <f>SUBTOTAL(109,Tableau317[''81''])</f>
        <v>0</v>
      </c>
      <c r="CA24" s="46">
        <f>SUBTOTAL(109,Tableau317[''82''])</f>
        <v>0</v>
      </c>
      <c r="CB24" s="46">
        <f>SUBTOTAL(109,Tableau317[''87''])</f>
        <v>0</v>
      </c>
      <c r="CC24" s="46">
        <f>SUBTOTAL(109,Tableau317[''89''])</f>
        <v>0</v>
      </c>
      <c r="CD24" s="46">
        <f>SUBTOTAL(109,Tableau317[''FEDER''])</f>
        <v>0</v>
      </c>
      <c r="CE24" s="34">
        <f>SUBTOTAL(103,Tableau317[Avis])</f>
        <v>17</v>
      </c>
      <c r="CM24" s="34"/>
      <c r="CN24" s="34"/>
      <c r="CO24" s="34"/>
      <c r="CP24" s="34"/>
      <c r="CQ24" s="34"/>
      <c r="CR24" s="34"/>
      <c r="CS24" s="34"/>
      <c r="CT24" s="34"/>
      <c r="CU24" s="34"/>
      <c r="CV24" s="34"/>
      <c r="CW24" s="34"/>
      <c r="CX24" s="34"/>
      <c r="CY24" s="34"/>
      <c r="CZ24" s="34"/>
      <c r="DA24" s="34"/>
      <c r="DB24" s="34"/>
      <c r="DC24" s="34"/>
      <c r="DD24" s="34"/>
      <c r="DE24" s="34"/>
      <c r="DF24" s="34"/>
      <c r="DG24" s="34"/>
      <c r="DH24" s="34"/>
    </row>
    <row r="25" spans="50:112" x14ac:dyDescent="0.25">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M25" s="34"/>
      <c r="CN25" s="34"/>
      <c r="CO25" s="34"/>
      <c r="CP25" s="34"/>
      <c r="CQ25" s="34"/>
      <c r="CR25" s="34"/>
      <c r="CS25" s="34"/>
      <c r="CT25" s="34"/>
      <c r="CU25" s="34"/>
      <c r="CV25" s="34"/>
      <c r="CW25" s="34"/>
      <c r="CX25" s="34"/>
      <c r="CY25" s="34"/>
      <c r="CZ25" s="34"/>
      <c r="DA25" s="34"/>
      <c r="DB25" s="34"/>
      <c r="DC25" s="34"/>
      <c r="DD25" s="34"/>
      <c r="DE25" s="34"/>
      <c r="DF25" s="34"/>
      <c r="DG25" s="34"/>
      <c r="DH25" s="34"/>
    </row>
    <row r="26" spans="50:112" x14ac:dyDescent="0.25">
      <c r="CM26" s="34"/>
      <c r="CN26" s="34"/>
      <c r="CO26" s="34"/>
      <c r="CP26" s="34"/>
      <c r="CQ26" s="34"/>
      <c r="CR26" s="34"/>
      <c r="CS26" s="34"/>
      <c r="CT26" s="34"/>
      <c r="CU26" s="34"/>
      <c r="CV26" s="34"/>
      <c r="CW26" s="34"/>
      <c r="CX26" s="34"/>
      <c r="CY26" s="34"/>
      <c r="CZ26" s="34"/>
      <c r="DA26" s="34"/>
      <c r="DB26" s="34"/>
      <c r="DC26" s="34"/>
      <c r="DD26" s="34"/>
      <c r="DE26" s="34"/>
      <c r="DF26" s="34"/>
      <c r="DG26" s="34"/>
      <c r="DH26" s="34"/>
    </row>
    <row r="27" spans="50:112" x14ac:dyDescent="0.25">
      <c r="CM27" s="34"/>
      <c r="CN27" s="34"/>
      <c r="CO27" s="34"/>
      <c r="CP27" s="34"/>
      <c r="CQ27" s="34"/>
      <c r="CR27" s="34"/>
      <c r="CS27" s="34"/>
      <c r="CT27" s="34"/>
      <c r="CU27" s="34"/>
      <c r="CV27" s="34"/>
      <c r="CW27" s="34"/>
      <c r="CX27" s="34"/>
      <c r="CY27" s="34"/>
      <c r="CZ27" s="34"/>
      <c r="DA27" s="34"/>
      <c r="DB27" s="34"/>
      <c r="DC27" s="34"/>
      <c r="DD27" s="34"/>
      <c r="DE27" s="34"/>
      <c r="DF27" s="34"/>
      <c r="DG27" s="34"/>
      <c r="DH27" s="34"/>
    </row>
    <row r="28" spans="50:112" x14ac:dyDescent="0.25">
      <c r="CM28" s="34"/>
      <c r="CN28" s="34"/>
      <c r="CO28" s="34"/>
      <c r="CP28" s="34"/>
      <c r="CQ28" s="34"/>
      <c r="CR28" s="34"/>
      <c r="CS28" s="34"/>
      <c r="CT28" s="34"/>
      <c r="CU28" s="34"/>
      <c r="CV28" s="34"/>
      <c r="CW28" s="34"/>
      <c r="CX28" s="34"/>
      <c r="CY28" s="34"/>
      <c r="CZ28" s="34"/>
      <c r="DA28" s="34"/>
      <c r="DB28" s="34"/>
      <c r="DC28" s="34"/>
      <c r="DD28" s="34"/>
      <c r="DE28" s="34"/>
      <c r="DF28" s="34"/>
      <c r="DG28" s="34"/>
      <c r="DH28" s="34"/>
    </row>
    <row r="29" spans="50:112" x14ac:dyDescent="0.25">
      <c r="CM29" s="34"/>
      <c r="CN29" s="34"/>
      <c r="CO29" s="34"/>
      <c r="CP29" s="34"/>
      <c r="CQ29" s="34"/>
      <c r="CR29" s="34"/>
      <c r="CS29" s="34"/>
      <c r="CT29" s="34"/>
      <c r="CU29" s="34"/>
      <c r="CV29" s="34"/>
      <c r="CW29" s="34"/>
      <c r="CX29" s="34"/>
      <c r="CY29" s="34"/>
      <c r="CZ29" s="34"/>
      <c r="DA29" s="34"/>
      <c r="DB29" s="34"/>
      <c r="DC29" s="34"/>
      <c r="DD29" s="34"/>
      <c r="DE29" s="34"/>
      <c r="DF29" s="34"/>
      <c r="DG29" s="34"/>
      <c r="DH29" s="34"/>
    </row>
    <row r="30" spans="50:112" x14ac:dyDescent="0.25">
      <c r="BB30" s="34" t="s">
        <v>85</v>
      </c>
      <c r="BG30" s="34" t="s">
        <v>84</v>
      </c>
      <c r="CM30" s="34"/>
      <c r="CN30" s="34"/>
      <c r="CO30" s="34"/>
      <c r="CP30" s="34"/>
      <c r="CQ30" s="34"/>
      <c r="CR30" s="34"/>
      <c r="CS30" s="34"/>
      <c r="CT30" s="34"/>
      <c r="CU30" s="34"/>
      <c r="CV30" s="34"/>
      <c r="CW30" s="34"/>
      <c r="CX30" s="34"/>
      <c r="CY30" s="34"/>
      <c r="CZ30" s="34"/>
      <c r="DA30" s="34"/>
      <c r="DB30" s="34"/>
      <c r="DC30" s="34"/>
      <c r="DD30" s="34"/>
      <c r="DE30" s="34"/>
      <c r="DF30" s="34"/>
      <c r="DG30" s="34"/>
      <c r="DH30" s="34"/>
    </row>
    <row r="31" spans="50:112" x14ac:dyDescent="0.25">
      <c r="AY31" s="37" t="s">
        <v>58</v>
      </c>
      <c r="AZ31" s="49">
        <f>SUMIF(Tableau_Lancer_la_requête_à_partir_de_Excel_Files316[Avis Prog],"1-Favorable",Tableau317[''FEDER''])</f>
        <v>0</v>
      </c>
      <c r="BB31" s="34">
        <f>SUMIF(Tableau317[Avis],"1-Favorable",Tableau317[''FEDER''])</f>
        <v>0</v>
      </c>
      <c r="BG31" s="34">
        <f>SUMIF(Tableau317[Avis],"0",Tableau317[''FEDER''])</f>
        <v>0</v>
      </c>
      <c r="CM31" s="34"/>
      <c r="CN31" s="34"/>
      <c r="CO31" s="34"/>
      <c r="CP31" s="34"/>
      <c r="CQ31" s="34"/>
      <c r="CR31" s="34"/>
      <c r="CS31" s="34"/>
      <c r="CT31" s="34"/>
      <c r="CU31" s="34"/>
      <c r="CV31" s="34"/>
      <c r="CW31" s="34"/>
      <c r="CX31" s="34"/>
      <c r="CY31" s="34"/>
      <c r="CZ31" s="34"/>
      <c r="DA31" s="34"/>
      <c r="DB31" s="34"/>
      <c r="DC31" s="34"/>
      <c r="DD31" s="34"/>
      <c r="DE31" s="34"/>
      <c r="DF31" s="34"/>
      <c r="DG31" s="34"/>
      <c r="DH31" s="34"/>
    </row>
    <row r="32" spans="50:112" x14ac:dyDescent="0.25">
      <c r="AY32" s="37" t="s">
        <v>46</v>
      </c>
      <c r="AZ32" s="49">
        <f>SUMIF(Tableau_Lancer_la_requête_à_partir_de_Excel_Files316[Avis Prog],"1-Favorable",Tableau317[Etat])</f>
        <v>0</v>
      </c>
      <c r="BB32" s="34">
        <f>SUMIF(Tableau317[Avis],"1-Favorable",Tableau317[Etat])</f>
        <v>0</v>
      </c>
      <c r="BG32" s="34">
        <f>SUMIF(Tableau317[Avis],"0",Tableau317[Etat])</f>
        <v>0</v>
      </c>
      <c r="CM32" s="34"/>
      <c r="CN32" s="34"/>
      <c r="CO32" s="34"/>
      <c r="CP32" s="34"/>
      <c r="CQ32" s="34"/>
      <c r="CR32" s="34"/>
      <c r="CS32" s="34"/>
      <c r="CT32" s="34"/>
      <c r="CU32" s="34"/>
      <c r="CV32" s="34"/>
      <c r="CW32" s="34"/>
      <c r="CX32" s="34"/>
      <c r="CY32" s="34"/>
      <c r="CZ32" s="34"/>
      <c r="DA32" s="34"/>
      <c r="DB32" s="34"/>
      <c r="DC32" s="34"/>
      <c r="DD32" s="34"/>
      <c r="DE32" s="34"/>
      <c r="DF32" s="34"/>
      <c r="DG32" s="34"/>
      <c r="DH32" s="34"/>
    </row>
    <row r="33" spans="51:112" x14ac:dyDescent="0.25">
      <c r="AY33" s="37" t="s">
        <v>47</v>
      </c>
      <c r="AZ33" s="49">
        <f>SUMIF(Tableau_Lancer_la_requête_à_partir_de_Excel_Files316[Avis Prog],"1-Favorable",Tableau317[Régions])</f>
        <v>0</v>
      </c>
      <c r="BB33" s="34">
        <f>SUMIF(Tableau317[Avis],"1-Favorable",Tableau317[Régions])</f>
        <v>0</v>
      </c>
      <c r="BG33" s="34">
        <f>SUMIF(Tableau317[Avis],"0",Tableau317[Régions])</f>
        <v>0</v>
      </c>
      <c r="CM33" s="34"/>
      <c r="CN33" s="34"/>
      <c r="CO33" s="34"/>
      <c r="CP33" s="34"/>
      <c r="CQ33" s="34"/>
      <c r="CR33" s="34"/>
      <c r="CS33" s="34"/>
      <c r="CT33" s="34"/>
      <c r="CU33" s="34"/>
      <c r="CV33" s="34"/>
      <c r="CW33" s="34"/>
      <c r="CX33" s="34"/>
      <c r="CY33" s="34"/>
      <c r="CZ33" s="34"/>
      <c r="DA33" s="34"/>
      <c r="DB33" s="34"/>
      <c r="DC33" s="34"/>
      <c r="DD33" s="34"/>
      <c r="DE33" s="34"/>
      <c r="DF33" s="34"/>
      <c r="DG33" s="34"/>
      <c r="DH33" s="34"/>
    </row>
    <row r="34" spans="51:112" x14ac:dyDescent="0.25">
      <c r="AY34" s="49" t="s">
        <v>59</v>
      </c>
      <c r="AZ34" s="49">
        <f>SUMIF(Tableau_Lancer_la_requête_à_partir_de_Excel_Files316[Avis Prog],"1-Favorable",Tableau317[''ALPC''])</f>
        <v>0</v>
      </c>
      <c r="BB34" s="34">
        <f>SUMIF(Tableau317[Avis],"1-Favorable",Tableau317[''ALPC''])</f>
        <v>0</v>
      </c>
      <c r="BG34" s="34">
        <f>SUMIF(Tableau317[Avis],"0",Tableau317[''ALPC''])</f>
        <v>0</v>
      </c>
      <c r="CM34" s="34"/>
      <c r="CN34" s="34"/>
      <c r="CO34" s="34"/>
      <c r="CP34" s="34"/>
      <c r="CQ34" s="34"/>
      <c r="CR34" s="34"/>
      <c r="CS34" s="34"/>
      <c r="CT34" s="34"/>
      <c r="CU34" s="34"/>
      <c r="CV34" s="34"/>
      <c r="CW34" s="34"/>
      <c r="CX34" s="34"/>
      <c r="CY34" s="34"/>
      <c r="CZ34" s="34"/>
      <c r="DA34" s="34"/>
      <c r="DB34" s="34"/>
      <c r="DC34" s="34"/>
      <c r="DD34" s="34"/>
      <c r="DE34" s="34"/>
      <c r="DF34" s="34"/>
      <c r="DG34" s="34"/>
      <c r="DH34" s="34"/>
    </row>
    <row r="35" spans="51:112" x14ac:dyDescent="0.25">
      <c r="AY35" s="49" t="s">
        <v>60</v>
      </c>
      <c r="AZ35" s="49">
        <f>SUMIF(Tableau_Lancer_la_requête_à_partir_de_Excel_Files316[Avis Prog],"1-Favorable",Tableau317[''AURA''])</f>
        <v>0</v>
      </c>
      <c r="BB35" s="34">
        <f>SUMIF(Tableau317[Avis],"1-Favorable",Tableau317[''AURA''])</f>
        <v>0</v>
      </c>
      <c r="BG35" s="34">
        <f>SUMIF(Tableau317[Avis],"0",Tableau317[''AURA''])</f>
        <v>0</v>
      </c>
      <c r="CM35" s="34"/>
      <c r="CN35" s="34"/>
      <c r="CO35" s="34"/>
      <c r="CP35" s="34"/>
      <c r="CQ35" s="34"/>
      <c r="CR35" s="34"/>
      <c r="CS35" s="34"/>
      <c r="CT35" s="34"/>
      <c r="CU35" s="34"/>
      <c r="CV35" s="34"/>
      <c r="CW35" s="34"/>
      <c r="CX35" s="34"/>
      <c r="CY35" s="34"/>
      <c r="CZ35" s="34"/>
      <c r="DA35" s="34"/>
      <c r="DB35" s="34"/>
      <c r="DC35" s="34"/>
      <c r="DD35" s="34"/>
      <c r="DE35" s="34"/>
      <c r="DF35" s="34"/>
      <c r="DG35" s="34"/>
      <c r="DH35" s="34"/>
    </row>
    <row r="36" spans="51:112" x14ac:dyDescent="0.25">
      <c r="AY36" s="49" t="s">
        <v>61</v>
      </c>
      <c r="AZ36" s="49">
        <f>SUMIF(Tableau_Lancer_la_requête_à_partir_de_Excel_Files316[Avis Prog],"1-Favorable",Tableau317[''BFC''])</f>
        <v>0</v>
      </c>
      <c r="BB36" s="34">
        <f>SUMIF(Tableau317[Avis],"1-Favorable",Tableau317[''BFC''])</f>
        <v>0</v>
      </c>
      <c r="BG36" s="34">
        <f>SUMIF(Tableau317[Avis],"0",Tableau317[''BFC''])</f>
        <v>0</v>
      </c>
      <c r="CM36" s="34"/>
      <c r="CN36" s="34"/>
      <c r="CO36" s="34"/>
      <c r="CP36" s="34"/>
      <c r="CQ36" s="34"/>
      <c r="CR36" s="34"/>
      <c r="CS36" s="34"/>
      <c r="CT36" s="34"/>
      <c r="CU36" s="34"/>
      <c r="CV36" s="34"/>
      <c r="CW36" s="34"/>
      <c r="CX36" s="34"/>
      <c r="CY36" s="34"/>
      <c r="CZ36" s="34"/>
      <c r="DA36" s="34"/>
      <c r="DB36" s="34"/>
      <c r="DC36" s="34"/>
      <c r="DD36" s="34"/>
      <c r="DE36" s="34"/>
      <c r="DF36" s="34"/>
      <c r="DG36" s="34"/>
      <c r="DH36" s="34"/>
    </row>
    <row r="37" spans="51:112" x14ac:dyDescent="0.25">
      <c r="AY37" s="49" t="s">
        <v>62</v>
      </c>
      <c r="AZ37" s="49">
        <f>SUMIF(Tableau_Lancer_la_requête_à_partir_de_Excel_Files316[Avis Prog],"1-Favorable",Tableau317[''LRMP''])</f>
        <v>0</v>
      </c>
      <c r="BB37" s="34">
        <f>SUMIF(Tableau317[Avis],"1-Favorable",Tableau317[''LRMP''])</f>
        <v>0</v>
      </c>
      <c r="BG37" s="34">
        <f>SUMIF(Tableau317[Avis],"0",Tableau317[''LRMP''])</f>
        <v>0</v>
      </c>
      <c r="CM37" s="34"/>
      <c r="CN37" s="34"/>
      <c r="CO37" s="34"/>
      <c r="CP37" s="34"/>
      <c r="CQ37" s="34"/>
      <c r="CR37" s="34"/>
      <c r="CS37" s="34"/>
      <c r="CT37" s="34"/>
      <c r="CU37" s="34"/>
      <c r="CV37" s="34"/>
      <c r="CW37" s="34"/>
      <c r="CX37" s="34"/>
      <c r="CY37" s="34"/>
      <c r="CZ37" s="34"/>
      <c r="DA37" s="34"/>
      <c r="DB37" s="34"/>
      <c r="DC37" s="34"/>
      <c r="DD37" s="34"/>
      <c r="DE37" s="34"/>
      <c r="DF37" s="34"/>
      <c r="DG37" s="34"/>
      <c r="DH37" s="34"/>
    </row>
    <row r="38" spans="51:112" x14ac:dyDescent="0.25">
      <c r="AY38" s="37" t="s">
        <v>48</v>
      </c>
      <c r="AZ38" s="49">
        <f>SUMIF(Tableau_Lancer_la_requête_à_partir_de_Excel_Files316[Avis Prog],"1-Favorable",Tableau317[Départements])</f>
        <v>0</v>
      </c>
      <c r="BB38" s="34">
        <f>SUMIF(Tableau317[Avis],"1-Favorable",Tableau317[Départements])</f>
        <v>0</v>
      </c>
      <c r="BG38" s="34">
        <f>SUMIF(Tableau317[Avis],"0",Tableau317[Départements])</f>
        <v>0</v>
      </c>
      <c r="CM38" s="34"/>
      <c r="CN38" s="34"/>
      <c r="CO38" s="34"/>
      <c r="CP38" s="34"/>
      <c r="CQ38" s="34"/>
      <c r="CR38" s="34"/>
      <c r="CS38" s="34"/>
      <c r="CT38" s="34"/>
      <c r="CU38" s="34"/>
      <c r="CV38" s="34"/>
      <c r="CW38" s="34"/>
      <c r="CX38" s="34"/>
      <c r="CY38" s="34"/>
      <c r="CZ38" s="34"/>
      <c r="DA38" s="34"/>
      <c r="DB38" s="34"/>
      <c r="DC38" s="34"/>
      <c r="DD38" s="34"/>
      <c r="DE38" s="34"/>
      <c r="DF38" s="34"/>
      <c r="DG38" s="34"/>
      <c r="DH38" s="34"/>
    </row>
    <row r="39" spans="51:112" x14ac:dyDescent="0.25">
      <c r="AY39" s="37" t="s">
        <v>22</v>
      </c>
      <c r="AZ39" s="49">
        <f>SUMIF(Tableau_Lancer_la_requête_à_partir_de_Excel_Files316[Avis Prog],"1-Favorable",Tableau317[''03''])</f>
        <v>0</v>
      </c>
      <c r="BB39" s="34">
        <f>SUMIF(Tableau317[Avis],"1-Favorable",Tableau317[''03''])</f>
        <v>0</v>
      </c>
      <c r="BG39" s="34">
        <f>SUMIF(Tableau317[Avis],"0",Tableau317[''03''])</f>
        <v>0</v>
      </c>
      <c r="CM39" s="34"/>
      <c r="CN39" s="34"/>
      <c r="CO39" s="34"/>
      <c r="CP39" s="34"/>
      <c r="CQ39" s="34"/>
      <c r="CR39" s="34"/>
      <c r="CS39" s="34"/>
      <c r="CT39" s="34"/>
      <c r="CU39" s="34"/>
      <c r="CV39" s="34"/>
      <c r="CW39" s="34"/>
      <c r="CX39" s="34"/>
      <c r="CY39" s="34"/>
      <c r="CZ39" s="34"/>
      <c r="DA39" s="34"/>
      <c r="DB39" s="34"/>
      <c r="DC39" s="34"/>
      <c r="DD39" s="34"/>
      <c r="DE39" s="34"/>
      <c r="DF39" s="34"/>
      <c r="DG39" s="34"/>
      <c r="DH39" s="34"/>
    </row>
    <row r="40" spans="51:112" x14ac:dyDescent="0.25">
      <c r="AY40" s="37" t="s">
        <v>24</v>
      </c>
      <c r="AZ40" s="49">
        <f>SUMIF(Tableau_Lancer_la_requête_à_partir_de_Excel_Files316[Avis Prog],"1-Favorable",Tableau317[''11''])</f>
        <v>0</v>
      </c>
      <c r="BB40" s="34">
        <f>SUMIF(Tableau317[Avis],"1-Favorable",Tableau317[''11''])</f>
        <v>0</v>
      </c>
      <c r="BG40" s="34">
        <f>SUMIF(Tableau317[Avis],"0",Tableau317[''11''])</f>
        <v>0</v>
      </c>
      <c r="CM40" s="34"/>
      <c r="CN40" s="34"/>
      <c r="CO40" s="34"/>
      <c r="CP40" s="34"/>
      <c r="CQ40" s="34"/>
      <c r="CR40" s="34"/>
      <c r="CS40" s="34"/>
      <c r="CT40" s="34"/>
      <c r="CU40" s="34"/>
      <c r="CV40" s="34"/>
      <c r="CW40" s="34"/>
      <c r="CX40" s="34"/>
      <c r="CY40" s="34"/>
      <c r="CZ40" s="34"/>
      <c r="DA40" s="34"/>
      <c r="DB40" s="34"/>
      <c r="DC40" s="34"/>
      <c r="DD40" s="34"/>
      <c r="DE40" s="34"/>
      <c r="DF40" s="34"/>
      <c r="DG40" s="34"/>
      <c r="DH40" s="34"/>
    </row>
    <row r="41" spans="51:112" x14ac:dyDescent="0.25">
      <c r="AY41" s="37" t="s">
        <v>25</v>
      </c>
      <c r="AZ41" s="49">
        <f>SUMIF(Tableau_Lancer_la_requête_à_partir_de_Excel_Files316[Avis Prog],"1-Favorable",Tableau317[''12''])</f>
        <v>0</v>
      </c>
      <c r="BB41" s="34">
        <f>SUMIF(Tableau317[Avis],"1-Favorable",Tableau317[''12''])</f>
        <v>0</v>
      </c>
      <c r="BG41" s="34">
        <f>SUMIF(Tableau317[Avis],"0",Tableau317[''12''])</f>
        <v>0</v>
      </c>
      <c r="CM41" s="34"/>
      <c r="CN41" s="34"/>
      <c r="CO41" s="34"/>
      <c r="CP41" s="34"/>
      <c r="CQ41" s="34"/>
      <c r="CR41" s="34"/>
      <c r="CS41" s="34"/>
      <c r="CT41" s="34"/>
      <c r="CU41" s="34"/>
      <c r="CV41" s="34"/>
      <c r="CW41" s="34"/>
      <c r="CX41" s="34"/>
      <c r="CY41" s="34"/>
      <c r="CZ41" s="34"/>
      <c r="DA41" s="34"/>
      <c r="DB41" s="34"/>
      <c r="DC41" s="34"/>
      <c r="DD41" s="34"/>
      <c r="DE41" s="34"/>
      <c r="DF41" s="34"/>
      <c r="DG41" s="34"/>
      <c r="DH41" s="34"/>
    </row>
    <row r="42" spans="51:112" x14ac:dyDescent="0.25">
      <c r="AY42" s="37" t="s">
        <v>26</v>
      </c>
      <c r="AZ42" s="49">
        <f>SUMIF(Tableau_Lancer_la_requête_à_partir_de_Excel_Files316[Avis Prog],"1-Favorable",Tableau317[''15''])</f>
        <v>0</v>
      </c>
      <c r="BB42" s="34">
        <f>SUMIF(Tableau317[Avis],"1-Favorable",Tableau317[''15''])</f>
        <v>0</v>
      </c>
      <c r="BG42" s="34">
        <f>SUMIF(Tableau317[Avis],"0",Tableau317[''15''])</f>
        <v>0</v>
      </c>
      <c r="CM42" s="34"/>
      <c r="CN42" s="34"/>
      <c r="CO42" s="34"/>
      <c r="CP42" s="34"/>
      <c r="CQ42" s="34"/>
      <c r="CR42" s="34"/>
      <c r="CS42" s="34"/>
      <c r="CT42" s="34"/>
      <c r="CU42" s="34"/>
      <c r="CV42" s="34"/>
      <c r="CW42" s="34"/>
      <c r="CX42" s="34"/>
      <c r="CY42" s="34"/>
      <c r="CZ42" s="34"/>
      <c r="DA42" s="34"/>
      <c r="DB42" s="34"/>
      <c r="DC42" s="34"/>
      <c r="DD42" s="34"/>
      <c r="DE42" s="34"/>
      <c r="DF42" s="34"/>
      <c r="DG42" s="34"/>
      <c r="DH42" s="34"/>
    </row>
    <row r="43" spans="51:112" x14ac:dyDescent="0.25">
      <c r="AY43" s="37" t="s">
        <v>27</v>
      </c>
      <c r="AZ43" s="49">
        <f>SUMIF(Tableau_Lancer_la_requête_à_partir_de_Excel_Files316[Avis Prog],"1-Favorable",Tableau317[''19''])</f>
        <v>0</v>
      </c>
      <c r="BB43" s="34">
        <f>SUMIF(Tableau317[Avis],"1-Favorable",Tableau317[''19''])</f>
        <v>0</v>
      </c>
      <c r="BG43" s="34">
        <f>SUMIF(Tableau317[Avis],"0",Tableau317[''19''])</f>
        <v>0</v>
      </c>
      <c r="CM43" s="34"/>
      <c r="CN43" s="34"/>
      <c r="CO43" s="34"/>
      <c r="CP43" s="34"/>
      <c r="CQ43" s="34"/>
      <c r="CR43" s="34"/>
      <c r="CS43" s="34"/>
      <c r="CT43" s="34"/>
      <c r="CU43" s="34"/>
      <c r="CV43" s="34"/>
      <c r="CW43" s="34"/>
      <c r="CX43" s="34"/>
      <c r="CY43" s="34"/>
      <c r="CZ43" s="34"/>
      <c r="DA43" s="34"/>
      <c r="DB43" s="34"/>
      <c r="DC43" s="34"/>
      <c r="DD43" s="34"/>
      <c r="DE43" s="34"/>
      <c r="DF43" s="34"/>
      <c r="DG43" s="34"/>
      <c r="DH43" s="34"/>
    </row>
    <row r="44" spans="51:112" x14ac:dyDescent="0.25">
      <c r="AY44" s="37" t="s">
        <v>28</v>
      </c>
      <c r="AZ44" s="49">
        <f>SUMIF(Tableau_Lancer_la_requête_à_partir_de_Excel_Files316[Avis Prog],"1-Favorable",Tableau317[''21''])</f>
        <v>0</v>
      </c>
      <c r="BB44" s="34">
        <f>SUMIF(Tableau317[Avis],"1-Favorable",Tableau317[''21''])</f>
        <v>0</v>
      </c>
      <c r="BG44" s="34">
        <f>SUMIF(Tableau317[Avis],"0",Tableau317[''21''])</f>
        <v>0</v>
      </c>
      <c r="CM44" s="34"/>
      <c r="CN44" s="34"/>
      <c r="CO44" s="34"/>
      <c r="CP44" s="34"/>
      <c r="CQ44" s="34"/>
      <c r="CR44" s="34"/>
      <c r="CS44" s="34"/>
      <c r="CT44" s="34"/>
      <c r="CU44" s="34"/>
      <c r="CV44" s="34"/>
      <c r="CW44" s="34"/>
      <c r="CX44" s="34"/>
      <c r="CY44" s="34"/>
      <c r="CZ44" s="34"/>
      <c r="DA44" s="34"/>
      <c r="DB44" s="34"/>
      <c r="DC44" s="34"/>
      <c r="DD44" s="34"/>
      <c r="DE44" s="34"/>
      <c r="DF44" s="34"/>
      <c r="DG44" s="34"/>
      <c r="DH44" s="34"/>
    </row>
    <row r="45" spans="51:112" x14ac:dyDescent="0.25">
      <c r="AY45" s="37" t="s">
        <v>29</v>
      </c>
      <c r="AZ45" s="49">
        <f>SUMIF(Tableau_Lancer_la_requête_à_partir_de_Excel_Files316[Avis Prog],"1-Favorable",Tableau317[''23''])</f>
        <v>0</v>
      </c>
      <c r="BB45" s="34">
        <f>SUMIF(Tableau317[Avis],"1-Favorable",Tableau317[''23''])</f>
        <v>0</v>
      </c>
      <c r="BG45" s="34">
        <f>SUMIF(Tableau317[Avis],"0",Tableau317[''23''])</f>
        <v>0</v>
      </c>
      <c r="CM45" s="34"/>
      <c r="CN45" s="34"/>
      <c r="CO45" s="34"/>
      <c r="CP45" s="34"/>
      <c r="CQ45" s="34"/>
      <c r="CR45" s="34"/>
      <c r="CS45" s="34"/>
      <c r="CT45" s="34"/>
      <c r="CU45" s="34"/>
      <c r="CV45" s="34"/>
      <c r="CW45" s="34"/>
      <c r="CX45" s="34"/>
      <c r="CY45" s="34"/>
      <c r="CZ45" s="34"/>
      <c r="DA45" s="34"/>
      <c r="DB45" s="34"/>
      <c r="DC45" s="34"/>
      <c r="DD45" s="34"/>
      <c r="DE45" s="34"/>
      <c r="DF45" s="34"/>
      <c r="DG45" s="34"/>
      <c r="DH45" s="34"/>
    </row>
    <row r="46" spans="51:112" x14ac:dyDescent="0.25">
      <c r="AY46" s="37" t="s">
        <v>30</v>
      </c>
      <c r="AZ46" s="49">
        <f>SUMIF(Tableau_Lancer_la_requête_à_partir_de_Excel_Files316[Avis Prog],"1-Favorable",Tableau317[''30''])</f>
        <v>0</v>
      </c>
      <c r="BB46" s="34">
        <f>SUMIF(Tableau317[Avis],"1-Favorable",Tableau317[''30''])</f>
        <v>0</v>
      </c>
      <c r="BG46" s="34">
        <f>SUMIF(Tableau317[Avis],"0",Tableau317[''30''])</f>
        <v>0</v>
      </c>
      <c r="CM46" s="34"/>
      <c r="CN46" s="34"/>
      <c r="CO46" s="34"/>
      <c r="CP46" s="34"/>
      <c r="CQ46" s="34"/>
      <c r="CR46" s="34"/>
      <c r="CS46" s="34"/>
      <c r="CT46" s="34"/>
      <c r="CU46" s="34"/>
      <c r="CV46" s="34"/>
      <c r="CW46" s="34"/>
      <c r="CX46" s="34"/>
      <c r="CY46" s="34"/>
      <c r="CZ46" s="34"/>
      <c r="DA46" s="34"/>
      <c r="DB46" s="34"/>
      <c r="DC46" s="34"/>
      <c r="DD46" s="34"/>
      <c r="DE46" s="34"/>
      <c r="DF46" s="34"/>
      <c r="DG46" s="34"/>
      <c r="DH46" s="34"/>
    </row>
    <row r="47" spans="51:112" x14ac:dyDescent="0.25">
      <c r="AY47" s="37" t="s">
        <v>31</v>
      </c>
      <c r="AZ47" s="49">
        <f>SUMIF(Tableau_Lancer_la_requête_à_partir_de_Excel_Files316[Avis Prog],"1-Favorable",Tableau317[''34''])</f>
        <v>0</v>
      </c>
      <c r="BB47" s="34">
        <f>SUMIF(Tableau317[Avis],"1-Favorable",Tableau317[''34''])</f>
        <v>0</v>
      </c>
      <c r="BG47" s="34">
        <f>SUMIF(Tableau317[Avis],"0",Tableau317[''34''])</f>
        <v>0</v>
      </c>
      <c r="CM47" s="34"/>
      <c r="CN47" s="34"/>
      <c r="CO47" s="34"/>
      <c r="CP47" s="34"/>
      <c r="CQ47" s="34"/>
      <c r="CR47" s="34"/>
      <c r="CS47" s="34"/>
      <c r="CT47" s="34"/>
      <c r="CU47" s="34"/>
      <c r="CV47" s="34"/>
      <c r="CW47" s="34"/>
      <c r="CX47" s="34"/>
      <c r="CY47" s="34"/>
      <c r="CZ47" s="34"/>
      <c r="DA47" s="34"/>
      <c r="DB47" s="34"/>
      <c r="DC47" s="34"/>
      <c r="DD47" s="34"/>
      <c r="DE47" s="34"/>
      <c r="DF47" s="34"/>
      <c r="DG47" s="34"/>
      <c r="DH47" s="34"/>
    </row>
    <row r="48" spans="51:112" x14ac:dyDescent="0.25">
      <c r="AY48" s="37" t="s">
        <v>32</v>
      </c>
      <c r="AZ48" s="49">
        <f>SUMIF(Tableau_Lancer_la_requête_à_partir_de_Excel_Files316[Avis Prog],"1-Favorable",Tableau317[''42''])</f>
        <v>0</v>
      </c>
      <c r="BB48" s="34">
        <f>SUMIF(Tableau317[Avis],"1-Favorable",Tableau317[''42''])</f>
        <v>0</v>
      </c>
      <c r="BG48" s="34">
        <f>SUMIF(Tableau317[Avis],"0",Tableau317[''42''])</f>
        <v>0</v>
      </c>
      <c r="CM48" s="34"/>
      <c r="CN48" s="34"/>
      <c r="CO48" s="34"/>
      <c r="CP48" s="34"/>
      <c r="CQ48" s="34"/>
      <c r="CR48" s="34"/>
      <c r="CS48" s="34"/>
      <c r="CT48" s="34"/>
      <c r="CU48" s="34"/>
      <c r="CV48" s="34"/>
      <c r="CW48" s="34"/>
      <c r="CX48" s="34"/>
      <c r="CY48" s="34"/>
      <c r="CZ48" s="34"/>
      <c r="DA48" s="34"/>
      <c r="DB48" s="34"/>
      <c r="DC48" s="34"/>
      <c r="DD48" s="34"/>
      <c r="DE48" s="34"/>
      <c r="DF48" s="34"/>
      <c r="DG48" s="34"/>
      <c r="DH48" s="34"/>
    </row>
    <row r="49" spans="51:112" x14ac:dyDescent="0.25">
      <c r="AY49" s="37" t="s">
        <v>33</v>
      </c>
      <c r="AZ49" s="49">
        <f>SUMIF(Tableau_Lancer_la_requête_à_partir_de_Excel_Files316[Avis Prog],"1-Favorable",Tableau317[''43''])</f>
        <v>0</v>
      </c>
      <c r="BB49" s="34">
        <f>SUMIF(Tableau317[Avis],"1-Favorable",Tableau317[''43''])</f>
        <v>0</v>
      </c>
      <c r="BG49" s="34">
        <f>SUMIF(Tableau317[Avis],"0",Tableau317[''43''])</f>
        <v>0</v>
      </c>
      <c r="CM49" s="34"/>
      <c r="CN49" s="34"/>
      <c r="CO49" s="34"/>
      <c r="CP49" s="34"/>
      <c r="CQ49" s="34"/>
      <c r="CR49" s="34"/>
      <c r="CS49" s="34"/>
      <c r="CT49" s="34"/>
      <c r="CU49" s="34"/>
      <c r="CV49" s="34"/>
      <c r="CW49" s="34"/>
      <c r="CX49" s="34"/>
      <c r="CY49" s="34"/>
      <c r="CZ49" s="34"/>
      <c r="DA49" s="34"/>
      <c r="DB49" s="34"/>
      <c r="DC49" s="34"/>
      <c r="DD49" s="34"/>
      <c r="DE49" s="34"/>
      <c r="DF49" s="34"/>
      <c r="DG49" s="34"/>
      <c r="DH49" s="34"/>
    </row>
    <row r="50" spans="51:112" x14ac:dyDescent="0.25">
      <c r="AY50" s="37" t="s">
        <v>34</v>
      </c>
      <c r="AZ50" s="49">
        <f>SUMIF(Tableau_Lancer_la_requête_à_partir_de_Excel_Files316[Avis Prog],"1-Favorable",Tableau317[''46''])</f>
        <v>0</v>
      </c>
      <c r="BB50" s="34">
        <f>SUMIF(Tableau317[Avis],"1-Favorable",Tableau317[''46''])</f>
        <v>0</v>
      </c>
      <c r="BG50" s="34">
        <f>SUMIF(Tableau317[Avis],"0",Tableau317[''46''])</f>
        <v>0</v>
      </c>
      <c r="CM50" s="34"/>
      <c r="CN50" s="34"/>
      <c r="CO50" s="34"/>
      <c r="CP50" s="34"/>
      <c r="CQ50" s="34"/>
      <c r="CR50" s="34"/>
      <c r="CS50" s="34"/>
      <c r="CT50" s="34"/>
      <c r="CU50" s="34"/>
      <c r="CV50" s="34"/>
      <c r="CW50" s="34"/>
      <c r="CX50" s="34"/>
      <c r="CY50" s="34"/>
      <c r="CZ50" s="34"/>
      <c r="DA50" s="34"/>
      <c r="DB50" s="34"/>
      <c r="DC50" s="34"/>
      <c r="DD50" s="34"/>
      <c r="DE50" s="34"/>
      <c r="DF50" s="34"/>
      <c r="DG50" s="34"/>
      <c r="DH50" s="34"/>
    </row>
    <row r="51" spans="51:112" x14ac:dyDescent="0.25">
      <c r="AY51" s="37" t="s">
        <v>35</v>
      </c>
      <c r="AZ51" s="49">
        <f>SUMIF(Tableau_Lancer_la_requête_à_partir_de_Excel_Files316[Avis Prog],"1-Favorable",Tableau317[''48''])</f>
        <v>0</v>
      </c>
      <c r="BB51" s="34">
        <f>SUMIF(Tableau317[Avis],"1-Favorable",Tableau317[''48''])</f>
        <v>0</v>
      </c>
      <c r="BG51" s="34">
        <f>SUMIF(Tableau317[Avis],"0",Tableau317[''48''])</f>
        <v>0</v>
      </c>
      <c r="CM51" s="34"/>
      <c r="CN51" s="34"/>
      <c r="CO51" s="34"/>
      <c r="CP51" s="34"/>
      <c r="CQ51" s="34"/>
      <c r="CR51" s="34"/>
      <c r="CS51" s="34"/>
      <c r="CT51" s="34"/>
      <c r="CU51" s="34"/>
      <c r="CV51" s="34"/>
      <c r="CW51" s="34"/>
      <c r="CX51" s="34"/>
      <c r="CY51" s="34"/>
      <c r="CZ51" s="34"/>
      <c r="DA51" s="34"/>
      <c r="DB51" s="34"/>
      <c r="DC51" s="34"/>
      <c r="DD51" s="34"/>
      <c r="DE51" s="34"/>
      <c r="DF51" s="34"/>
      <c r="DG51" s="34"/>
      <c r="DH51" s="34"/>
    </row>
    <row r="52" spans="51:112" x14ac:dyDescent="0.25">
      <c r="AY52" s="37" t="s">
        <v>36</v>
      </c>
      <c r="AZ52" s="49">
        <f>SUMIF(Tableau_Lancer_la_requête_à_partir_de_Excel_Files316[Avis Prog],"1-Favorable",Tableau317[''58''])</f>
        <v>0</v>
      </c>
      <c r="BB52" s="34">
        <f>SUMIF(Tableau317[Avis],"1-Favorable",Tableau317[''58''])</f>
        <v>0</v>
      </c>
      <c r="BG52" s="34">
        <f>SUMIF(Tableau317[Avis],"0",Tableau317[''58''])</f>
        <v>0</v>
      </c>
      <c r="CM52" s="34"/>
      <c r="CN52" s="34"/>
      <c r="CO52" s="34"/>
      <c r="CP52" s="34"/>
      <c r="CQ52" s="34"/>
      <c r="CR52" s="34"/>
      <c r="CS52" s="34"/>
      <c r="CT52" s="34"/>
      <c r="CU52" s="34"/>
      <c r="CV52" s="34"/>
      <c r="CW52" s="34"/>
      <c r="CX52" s="34"/>
      <c r="CY52" s="34"/>
      <c r="CZ52" s="34"/>
      <c r="DA52" s="34"/>
      <c r="DB52" s="34"/>
      <c r="DC52" s="34"/>
      <c r="DD52" s="34"/>
      <c r="DE52" s="34"/>
      <c r="DF52" s="34"/>
      <c r="DG52" s="34"/>
      <c r="DH52" s="34"/>
    </row>
    <row r="53" spans="51:112" x14ac:dyDescent="0.25">
      <c r="AY53" s="37" t="s">
        <v>37</v>
      </c>
      <c r="AZ53" s="49">
        <f>SUMIF(Tableau_Lancer_la_requête_à_partir_de_Excel_Files316[Avis Prog],"1-Favorable",Tableau317[''63''])</f>
        <v>0</v>
      </c>
      <c r="BB53" s="34">
        <f>SUMIF(Tableau317[Avis],"1-Favorable",Tableau317[''63''])</f>
        <v>0</v>
      </c>
      <c r="BG53" s="34">
        <f>SUMIF(Tableau317[Avis],"0",Tableau317[''63''])</f>
        <v>0</v>
      </c>
      <c r="CM53" s="34"/>
      <c r="CN53" s="34"/>
      <c r="CO53" s="34"/>
      <c r="CP53" s="34"/>
      <c r="CQ53" s="34"/>
      <c r="CR53" s="34"/>
      <c r="CS53" s="34"/>
      <c r="CT53" s="34"/>
      <c r="CU53" s="34"/>
      <c r="CV53" s="34"/>
      <c r="CW53" s="34"/>
      <c r="CX53" s="34"/>
      <c r="CY53" s="34"/>
      <c r="CZ53" s="34"/>
      <c r="DA53" s="34"/>
      <c r="DB53" s="34"/>
      <c r="DC53" s="34"/>
      <c r="DD53" s="34"/>
      <c r="DE53" s="34"/>
      <c r="DF53" s="34"/>
      <c r="DG53" s="34"/>
      <c r="DH53" s="34"/>
    </row>
    <row r="54" spans="51:112" x14ac:dyDescent="0.25">
      <c r="AY54" s="37" t="s">
        <v>38</v>
      </c>
      <c r="AZ54" s="49">
        <f>SUMIF(Tableau_Lancer_la_requête_à_partir_de_Excel_Files316[Avis Prog],"1-Favorable",Tableau317[''69''])</f>
        <v>0</v>
      </c>
      <c r="BB54" s="34">
        <f>SUMIF(Tableau317[Avis],"1-Favorable",Tableau317[''69''])</f>
        <v>0</v>
      </c>
      <c r="BG54" s="34">
        <f>SUMIF(Tableau317[Avis],"0",Tableau317[''69''])</f>
        <v>0</v>
      </c>
      <c r="CM54" s="34"/>
      <c r="CN54" s="34"/>
      <c r="CO54" s="34"/>
      <c r="CP54" s="34"/>
      <c r="CQ54" s="34"/>
      <c r="CR54" s="34"/>
      <c r="CS54" s="34"/>
      <c r="CT54" s="34"/>
      <c r="CU54" s="34"/>
      <c r="CV54" s="34"/>
      <c r="CW54" s="34"/>
      <c r="CX54" s="34"/>
      <c r="CY54" s="34"/>
      <c r="CZ54" s="34"/>
      <c r="DA54" s="34"/>
      <c r="DB54" s="34"/>
      <c r="DC54" s="34"/>
      <c r="DD54" s="34"/>
      <c r="DE54" s="34"/>
      <c r="DF54" s="34"/>
      <c r="DG54" s="34"/>
      <c r="DH54" s="34"/>
    </row>
    <row r="55" spans="51:112" x14ac:dyDescent="0.25">
      <c r="AY55" s="37" t="s">
        <v>39</v>
      </c>
      <c r="AZ55" s="49">
        <f>SUMIF(Tableau_Lancer_la_requête_à_partir_de_Excel_Files316[Avis Prog],"1-Favorable",Tableau317[''71''])</f>
        <v>0</v>
      </c>
      <c r="BB55" s="34">
        <f>SUMIF(Tableau317[Avis],"1-Favorable",Tableau317[''71''])</f>
        <v>0</v>
      </c>
      <c r="BG55" s="34">
        <f>SUMIF(Tableau317[Avis],"0",Tableau317[''71''])</f>
        <v>0</v>
      </c>
      <c r="CM55" s="34"/>
      <c r="CN55" s="34"/>
      <c r="CO55" s="34"/>
      <c r="CP55" s="34"/>
      <c r="CQ55" s="34"/>
      <c r="CR55" s="34"/>
      <c r="CS55" s="34"/>
      <c r="CT55" s="34"/>
      <c r="CU55" s="34"/>
      <c r="CV55" s="34"/>
      <c r="CW55" s="34"/>
      <c r="CX55" s="34"/>
      <c r="CY55" s="34"/>
      <c r="CZ55" s="34"/>
      <c r="DA55" s="34"/>
      <c r="DB55" s="34"/>
      <c r="DC55" s="34"/>
      <c r="DD55" s="34"/>
      <c r="DE55" s="34"/>
      <c r="DF55" s="34"/>
      <c r="DG55" s="34"/>
      <c r="DH55" s="34"/>
    </row>
    <row r="56" spans="51:112" x14ac:dyDescent="0.25">
      <c r="AY56" s="37" t="s">
        <v>40</v>
      </c>
      <c r="AZ56" s="49">
        <f>SUMIF(Tableau_Lancer_la_requête_à_partir_de_Excel_Files316[Avis Prog],"1-Favorable",Tableau317[''81''])</f>
        <v>0</v>
      </c>
      <c r="BB56" s="34">
        <f>SUMIF(Tableau317[Avis],"1-Favorable",Tableau317[''81''])</f>
        <v>0</v>
      </c>
      <c r="BG56" s="34">
        <f>SUMIF(Tableau317[Avis],"0",Tableau317[''81''])</f>
        <v>0</v>
      </c>
      <c r="CM56" s="34"/>
      <c r="CN56" s="34"/>
      <c r="CO56" s="34"/>
      <c r="CP56" s="34"/>
      <c r="CQ56" s="34"/>
      <c r="CR56" s="34"/>
      <c r="CS56" s="34"/>
      <c r="CT56" s="34"/>
      <c r="CU56" s="34"/>
      <c r="CV56" s="34"/>
      <c r="CW56" s="34"/>
      <c r="CX56" s="34"/>
      <c r="CY56" s="34"/>
      <c r="CZ56" s="34"/>
      <c r="DA56" s="34"/>
      <c r="DB56" s="34"/>
      <c r="DC56" s="34"/>
      <c r="DD56" s="34"/>
      <c r="DE56" s="34"/>
      <c r="DF56" s="34"/>
      <c r="DG56" s="34"/>
      <c r="DH56" s="34"/>
    </row>
    <row r="57" spans="51:112" x14ac:dyDescent="0.25">
      <c r="AY57" s="37" t="s">
        <v>41</v>
      </c>
      <c r="AZ57" s="49">
        <f>SUMIF(Tableau_Lancer_la_requête_à_partir_de_Excel_Files316[Avis Prog],"1-Favorable",Tableau317[''82''])</f>
        <v>0</v>
      </c>
      <c r="BB57" s="34">
        <f>SUMIF(Tableau317[Avis],"1-Favorable",Tableau317[''82''])</f>
        <v>0</v>
      </c>
      <c r="BG57" s="34">
        <f>SUMIF(Tableau317[Avis],"0",Tableau317[''82''])</f>
        <v>0</v>
      </c>
      <c r="CM57" s="34"/>
      <c r="CN57" s="34"/>
      <c r="CO57" s="34"/>
      <c r="CP57" s="34"/>
      <c r="CQ57" s="34"/>
      <c r="CR57" s="34"/>
      <c r="CS57" s="34"/>
      <c r="CT57" s="34"/>
      <c r="CU57" s="34"/>
      <c r="CV57" s="34"/>
      <c r="CW57" s="34"/>
      <c r="CX57" s="34"/>
      <c r="CY57" s="34"/>
      <c r="CZ57" s="34"/>
      <c r="DA57" s="34"/>
      <c r="DB57" s="34"/>
      <c r="DC57" s="34"/>
      <c r="DD57" s="34"/>
      <c r="DE57" s="34"/>
      <c r="DF57" s="34"/>
      <c r="DG57" s="34"/>
      <c r="DH57" s="34"/>
    </row>
    <row r="58" spans="51:112" x14ac:dyDescent="0.25">
      <c r="AY58" s="37" t="s">
        <v>42</v>
      </c>
      <c r="AZ58" s="49">
        <f>SUMIF(Tableau_Lancer_la_requête_à_partir_de_Excel_Files316[Avis Prog],"1-Favorable",Tableau317[''87''])</f>
        <v>0</v>
      </c>
      <c r="BB58" s="34">
        <f>SUMIF(Tableau317[Avis],"1-Favorable",Tableau317[''87''])</f>
        <v>0</v>
      </c>
      <c r="BG58" s="34">
        <f>SUMIF(Tableau317[Avis],"0",Tableau317[''87''])</f>
        <v>0</v>
      </c>
      <c r="CM58" s="34"/>
      <c r="CN58" s="34"/>
      <c r="CO58" s="34"/>
      <c r="CP58" s="34"/>
      <c r="CQ58" s="34"/>
      <c r="CR58" s="34"/>
      <c r="CS58" s="34"/>
      <c r="CT58" s="34"/>
      <c r="CU58" s="34"/>
      <c r="CV58" s="34"/>
      <c r="CW58" s="34"/>
      <c r="CX58" s="34"/>
      <c r="CY58" s="34"/>
      <c r="CZ58" s="34"/>
      <c r="DA58" s="34"/>
      <c r="DB58" s="34"/>
      <c r="DC58" s="34"/>
      <c r="DD58" s="34"/>
      <c r="DE58" s="34"/>
      <c r="DF58" s="34"/>
      <c r="DG58" s="34"/>
      <c r="DH58" s="34"/>
    </row>
    <row r="59" spans="51:112" x14ac:dyDescent="0.25">
      <c r="AY59" s="37" t="s">
        <v>43</v>
      </c>
      <c r="AZ59" s="49">
        <f>SUMIF(Tableau_Lancer_la_requête_à_partir_de_Excel_Files316[Avis Prog],"1-Favorable",Tableau317[''89''])</f>
        <v>0</v>
      </c>
      <c r="BB59" s="34">
        <f>SUMIF(Tableau317[Avis],"1-Favorable",Tableau317[''89''])</f>
        <v>0</v>
      </c>
      <c r="BG59" s="34">
        <f>SUMIF(Tableau317[Avis],"0",Tableau317[''89''])</f>
        <v>0</v>
      </c>
      <c r="CM59" s="34"/>
      <c r="CN59" s="34"/>
      <c r="CO59" s="34"/>
      <c r="CP59" s="34"/>
      <c r="CQ59" s="34"/>
      <c r="CR59" s="34"/>
      <c r="CS59" s="34"/>
      <c r="CT59" s="34"/>
      <c r="CU59" s="34"/>
      <c r="CV59" s="34"/>
      <c r="CW59" s="34"/>
      <c r="CX59" s="34"/>
      <c r="CY59" s="34"/>
      <c r="CZ59" s="34"/>
      <c r="DA59" s="34"/>
      <c r="DB59" s="34"/>
      <c r="DC59" s="34"/>
      <c r="DD59" s="34"/>
      <c r="DE59" s="34"/>
      <c r="DF59" s="34"/>
      <c r="DG59" s="34"/>
      <c r="DH59" s="34"/>
    </row>
    <row r="60" spans="51:112" x14ac:dyDescent="0.25">
      <c r="CM60" s="34"/>
      <c r="CN60" s="34"/>
      <c r="CO60" s="34"/>
      <c r="CP60" s="34"/>
      <c r="CQ60" s="34"/>
      <c r="CR60" s="34"/>
      <c r="CS60" s="34"/>
      <c r="CT60" s="34"/>
      <c r="CU60" s="34"/>
      <c r="CV60" s="34"/>
      <c r="CW60" s="34"/>
      <c r="CX60" s="34"/>
      <c r="CY60" s="34"/>
      <c r="CZ60" s="34"/>
      <c r="DA60" s="34"/>
      <c r="DB60" s="34"/>
      <c r="DC60" s="34"/>
      <c r="DD60" s="34"/>
      <c r="DE60" s="34"/>
      <c r="DF60" s="34"/>
      <c r="DG60" s="34"/>
      <c r="DH60" s="34"/>
    </row>
    <row r="61" spans="51:112" x14ac:dyDescent="0.25">
      <c r="CM61" s="34"/>
      <c r="CN61" s="34"/>
      <c r="CO61" s="34"/>
      <c r="CP61" s="34"/>
      <c r="CQ61" s="34"/>
      <c r="CR61" s="34"/>
      <c r="CS61" s="34"/>
      <c r="CT61" s="34"/>
      <c r="CU61" s="34"/>
      <c r="CV61" s="34"/>
      <c r="CW61" s="34"/>
      <c r="CX61" s="34"/>
      <c r="CY61" s="34"/>
      <c r="CZ61" s="34"/>
      <c r="DA61" s="34"/>
      <c r="DB61" s="34"/>
      <c r="DC61" s="34"/>
      <c r="DD61" s="34"/>
      <c r="DE61" s="34"/>
      <c r="DF61" s="34"/>
      <c r="DG61" s="34"/>
      <c r="DH61" s="34"/>
    </row>
    <row r="62" spans="51:112" x14ac:dyDescent="0.25">
      <c r="CM62" s="34"/>
      <c r="CN62" s="34"/>
      <c r="CO62" s="34"/>
      <c r="CP62" s="34"/>
      <c r="CQ62" s="34"/>
      <c r="CR62" s="34"/>
      <c r="CS62" s="34"/>
      <c r="CT62" s="34"/>
      <c r="CU62" s="34"/>
      <c r="CV62" s="34"/>
      <c r="CW62" s="34"/>
      <c r="CX62" s="34"/>
      <c r="CY62" s="34"/>
      <c r="CZ62" s="34"/>
      <c r="DA62" s="34"/>
      <c r="DB62" s="34"/>
      <c r="DC62" s="34"/>
      <c r="DD62" s="34"/>
      <c r="DE62" s="34"/>
      <c r="DF62" s="34"/>
      <c r="DG62" s="34"/>
      <c r="DH62" s="34"/>
    </row>
    <row r="63" spans="51:112" x14ac:dyDescent="0.25">
      <c r="CM63" s="34"/>
      <c r="CN63" s="34"/>
      <c r="CO63" s="34"/>
      <c r="CP63" s="34"/>
      <c r="CQ63" s="34"/>
      <c r="CR63" s="34"/>
      <c r="CS63" s="34"/>
      <c r="CT63" s="34"/>
      <c r="CU63" s="34"/>
      <c r="CV63" s="34"/>
      <c r="CW63" s="34"/>
      <c r="CX63" s="34"/>
      <c r="CY63" s="34"/>
      <c r="CZ63" s="34"/>
      <c r="DA63" s="34"/>
      <c r="DB63" s="34"/>
      <c r="DC63" s="34"/>
      <c r="DD63" s="34"/>
      <c r="DE63" s="34"/>
      <c r="DF63" s="34"/>
      <c r="DG63" s="34"/>
      <c r="DH63" s="34"/>
    </row>
    <row r="64" spans="51:112" x14ac:dyDescent="0.25">
      <c r="CM64" s="34"/>
      <c r="CN64" s="34"/>
      <c r="CO64" s="34"/>
      <c r="CP64" s="34"/>
      <c r="CQ64" s="34"/>
      <c r="CR64" s="34"/>
      <c r="CS64" s="34"/>
      <c r="CT64" s="34"/>
      <c r="CU64" s="34"/>
      <c r="CV64" s="34"/>
      <c r="CW64" s="34"/>
      <c r="CX64" s="34"/>
      <c r="CY64" s="34"/>
      <c r="CZ64" s="34"/>
      <c r="DA64" s="34"/>
      <c r="DB64" s="34"/>
      <c r="DC64" s="34"/>
      <c r="DD64" s="34"/>
      <c r="DE64" s="34"/>
      <c r="DF64" s="34"/>
      <c r="DG64" s="34"/>
      <c r="DH64" s="34"/>
    </row>
    <row r="65" spans="84:112" x14ac:dyDescent="0.25">
      <c r="CM65" s="34"/>
      <c r="CN65" s="34"/>
      <c r="CO65" s="34"/>
      <c r="CP65" s="34"/>
      <c r="CQ65" s="34"/>
      <c r="CR65" s="34"/>
      <c r="CS65" s="34"/>
      <c r="CT65" s="34"/>
      <c r="CU65" s="34"/>
      <c r="CV65" s="34"/>
      <c r="CW65" s="34"/>
      <c r="CX65" s="34"/>
      <c r="CY65" s="34"/>
      <c r="CZ65" s="34"/>
      <c r="DA65" s="34"/>
      <c r="DB65" s="34"/>
      <c r="DC65" s="34"/>
      <c r="DD65" s="34"/>
      <c r="DE65" s="34"/>
      <c r="DF65" s="34"/>
      <c r="DG65" s="34"/>
      <c r="DH65" s="34"/>
    </row>
    <row r="66" spans="84:112" x14ac:dyDescent="0.25">
      <c r="CM66" s="34"/>
      <c r="CN66" s="34"/>
      <c r="CO66" s="34"/>
      <c r="CP66" s="34"/>
      <c r="CQ66" s="34"/>
      <c r="CR66" s="34"/>
      <c r="CS66" s="34"/>
      <c r="CT66" s="34"/>
      <c r="CU66" s="34"/>
      <c r="CV66" s="34"/>
      <c r="CW66" s="34"/>
      <c r="CX66" s="34"/>
      <c r="CY66" s="34"/>
      <c r="CZ66" s="34"/>
      <c r="DA66" s="34"/>
      <c r="DB66" s="34"/>
      <c r="DC66" s="34"/>
      <c r="DD66" s="34"/>
      <c r="DE66" s="34"/>
      <c r="DF66" s="34"/>
      <c r="DG66" s="34"/>
      <c r="DH66" s="34"/>
    </row>
    <row r="67" spans="84:112" x14ac:dyDescent="0.25">
      <c r="CM67" s="34"/>
      <c r="CN67" s="34"/>
      <c r="CO67" s="34"/>
      <c r="CP67" s="34"/>
      <c r="CQ67" s="34"/>
      <c r="CR67" s="34"/>
      <c r="CS67" s="34"/>
      <c r="CT67" s="34"/>
      <c r="CU67" s="34"/>
      <c r="CV67" s="34"/>
      <c r="CW67" s="34"/>
      <c r="CX67" s="34"/>
      <c r="CY67" s="34"/>
      <c r="CZ67" s="34"/>
      <c r="DA67" s="34"/>
      <c r="DB67" s="34"/>
      <c r="DC67" s="34"/>
      <c r="DD67" s="34"/>
      <c r="DE67" s="34"/>
      <c r="DF67" s="34"/>
      <c r="DG67" s="34"/>
      <c r="DH67" s="34"/>
    </row>
    <row r="68" spans="84:112" x14ac:dyDescent="0.25">
      <c r="CM68" s="34"/>
      <c r="CN68" s="34"/>
      <c r="CO68" s="34"/>
      <c r="CP68" s="34"/>
      <c r="CQ68" s="34"/>
      <c r="CR68" s="34"/>
      <c r="CS68" s="34"/>
      <c r="CT68" s="34"/>
      <c r="CU68" s="34"/>
      <c r="CV68" s="34"/>
      <c r="CW68" s="34"/>
      <c r="CX68" s="34"/>
      <c r="CY68" s="34"/>
      <c r="CZ68" s="34"/>
      <c r="DA68" s="34"/>
      <c r="DB68" s="34"/>
      <c r="DC68" s="34"/>
      <c r="DD68" s="34"/>
      <c r="DE68" s="34"/>
      <c r="DF68" s="34"/>
      <c r="DG68" s="34"/>
      <c r="DH68" s="34"/>
    </row>
    <row r="69" spans="84:112" x14ac:dyDescent="0.25">
      <c r="CM69" s="34"/>
      <c r="CN69" s="34"/>
      <c r="CO69" s="34"/>
      <c r="CP69" s="34"/>
      <c r="CQ69" s="34"/>
      <c r="CR69" s="34"/>
      <c r="CS69" s="34"/>
      <c r="CT69" s="34"/>
      <c r="CU69" s="34"/>
      <c r="CV69" s="34"/>
      <c r="CW69" s="34"/>
      <c r="CX69" s="34"/>
      <c r="CY69" s="34"/>
      <c r="CZ69" s="34"/>
      <c r="DA69" s="34"/>
      <c r="DB69" s="34"/>
      <c r="DC69" s="34"/>
      <c r="DD69" s="34"/>
      <c r="DE69" s="34"/>
      <c r="DF69" s="34"/>
      <c r="DG69" s="34"/>
      <c r="DH69" s="34"/>
    </row>
    <row r="70" spans="84:112" x14ac:dyDescent="0.25">
      <c r="CM70" s="34"/>
      <c r="CN70" s="34"/>
      <c r="CO70" s="34"/>
      <c r="CP70" s="34"/>
      <c r="CQ70" s="34"/>
      <c r="CR70" s="34"/>
      <c r="CS70" s="34"/>
      <c r="CT70" s="34"/>
      <c r="CU70" s="34"/>
      <c r="CV70" s="34"/>
      <c r="CW70" s="34"/>
      <c r="CX70" s="34"/>
      <c r="CY70" s="34"/>
      <c r="CZ70" s="34"/>
      <c r="DA70" s="34"/>
      <c r="DB70" s="34"/>
      <c r="DC70" s="34"/>
      <c r="DD70" s="34"/>
      <c r="DE70" s="34"/>
      <c r="DF70" s="34"/>
      <c r="DG70" s="34"/>
      <c r="DH70" s="34"/>
    </row>
    <row r="71" spans="84:112" x14ac:dyDescent="0.25">
      <c r="CM71" s="34"/>
      <c r="CN71" s="34"/>
      <c r="CO71" s="34"/>
      <c r="CP71" s="34"/>
      <c r="CQ71" s="34"/>
      <c r="CR71" s="34"/>
      <c r="CS71" s="34"/>
      <c r="CT71" s="34"/>
      <c r="CU71" s="34"/>
      <c r="CV71" s="34"/>
      <c r="CW71" s="34"/>
      <c r="CX71" s="34"/>
      <c r="CY71" s="34"/>
      <c r="CZ71" s="34"/>
      <c r="DA71" s="34"/>
      <c r="DB71" s="34"/>
      <c r="DC71" s="34"/>
      <c r="DD71" s="34"/>
      <c r="DE71" s="34"/>
      <c r="DF71" s="34"/>
      <c r="DG71" s="34"/>
      <c r="DH71" s="34"/>
    </row>
    <row r="72" spans="84:112" x14ac:dyDescent="0.25">
      <c r="CF72" s="38"/>
      <c r="CG72" s="38"/>
      <c r="CH72" s="38"/>
      <c r="CI72" s="38"/>
      <c r="CJ72" s="38"/>
      <c r="CK72" s="38"/>
      <c r="CL72" s="38"/>
      <c r="DB72" s="34"/>
      <c r="DC72" s="34"/>
      <c r="DD72" s="34"/>
      <c r="DE72" s="34"/>
      <c r="DF72" s="34"/>
      <c r="DG72" s="34"/>
      <c r="DH72" s="34"/>
    </row>
    <row r="73" spans="84:112" x14ac:dyDescent="0.25">
      <c r="CF73" s="38"/>
      <c r="CG73" s="38"/>
      <c r="CH73" s="38"/>
      <c r="CI73" s="38"/>
      <c r="CJ73" s="38"/>
      <c r="CK73" s="38"/>
      <c r="CL73" s="38"/>
      <c r="DB73" s="34"/>
      <c r="DC73" s="34"/>
      <c r="DD73" s="34"/>
      <c r="DE73" s="34"/>
      <c r="DF73" s="34"/>
      <c r="DG73" s="34"/>
      <c r="DH73" s="34"/>
    </row>
    <row r="74" spans="84:112" x14ac:dyDescent="0.25">
      <c r="CF74" s="38"/>
      <c r="CG74" s="38"/>
      <c r="CH74" s="38"/>
      <c r="CI74" s="38"/>
      <c r="CJ74" s="38"/>
      <c r="CK74" s="38"/>
      <c r="CL74" s="38"/>
      <c r="DB74" s="34"/>
      <c r="DC74" s="34"/>
      <c r="DD74" s="34"/>
      <c r="DE74" s="34"/>
      <c r="DF74" s="34"/>
      <c r="DG74" s="34"/>
      <c r="DH74" s="34"/>
    </row>
    <row r="75" spans="84:112" x14ac:dyDescent="0.25">
      <c r="CF75" s="38"/>
      <c r="CG75" s="38"/>
      <c r="CH75" s="38"/>
      <c r="CI75" s="38"/>
      <c r="CJ75" s="38"/>
      <c r="CK75" s="38"/>
      <c r="CL75" s="38"/>
      <c r="DB75" s="34"/>
      <c r="DC75" s="34"/>
      <c r="DD75" s="34"/>
      <c r="DE75" s="34"/>
      <c r="DF75" s="34"/>
      <c r="DG75" s="34"/>
      <c r="DH75" s="34"/>
    </row>
    <row r="76" spans="84:112" x14ac:dyDescent="0.25">
      <c r="CF76" s="38"/>
      <c r="CG76" s="38"/>
      <c r="CH76" s="38"/>
      <c r="CI76" s="38"/>
      <c r="CJ76" s="38"/>
      <c r="CK76" s="38"/>
      <c r="CL76" s="38"/>
      <c r="DB76" s="34"/>
      <c r="DC76" s="34"/>
      <c r="DD76" s="34"/>
      <c r="DE76" s="34"/>
      <c r="DF76" s="34"/>
      <c r="DG76" s="34"/>
      <c r="DH76" s="34"/>
    </row>
    <row r="77" spans="84:112" x14ac:dyDescent="0.25">
      <c r="CF77" s="38"/>
      <c r="CG77" s="38"/>
      <c r="CH77" s="38"/>
      <c r="CI77" s="38"/>
      <c r="CJ77" s="38"/>
      <c r="CK77" s="38"/>
      <c r="CL77" s="38"/>
      <c r="DB77" s="34"/>
      <c r="DC77" s="34"/>
      <c r="DD77" s="34"/>
      <c r="DE77" s="34"/>
      <c r="DF77" s="34"/>
      <c r="DG77" s="34"/>
      <c r="DH77" s="34"/>
    </row>
    <row r="78" spans="84:112" x14ac:dyDescent="0.25">
      <c r="CF78" s="38"/>
      <c r="CG78" s="38"/>
      <c r="CH78" s="38"/>
      <c r="CI78" s="38"/>
      <c r="CJ78" s="38"/>
      <c r="CK78" s="38"/>
      <c r="CL78" s="38"/>
      <c r="DB78" s="34"/>
      <c r="DC78" s="34"/>
      <c r="DD78" s="34"/>
      <c r="DE78" s="34"/>
      <c r="DF78" s="34"/>
      <c r="DG78" s="34"/>
      <c r="DH78" s="34"/>
    </row>
    <row r="79" spans="84:112" x14ac:dyDescent="0.25">
      <c r="CF79" s="38"/>
      <c r="CG79" s="38"/>
      <c r="CH79" s="38"/>
      <c r="CI79" s="38"/>
      <c r="CJ79" s="38"/>
      <c r="CK79" s="38"/>
      <c r="CL79" s="38"/>
      <c r="DB79" s="34"/>
      <c r="DC79" s="34"/>
      <c r="DD79" s="34"/>
      <c r="DE79" s="34"/>
      <c r="DF79" s="34"/>
      <c r="DG79" s="34"/>
      <c r="DH79" s="34"/>
    </row>
    <row r="80" spans="84:112" x14ac:dyDescent="0.25">
      <c r="CF80" s="38"/>
      <c r="CG80" s="38"/>
      <c r="CH80" s="38"/>
      <c r="CI80" s="38"/>
      <c r="CJ80" s="38"/>
      <c r="CK80" s="38"/>
      <c r="CL80" s="38"/>
      <c r="DB80" s="34"/>
      <c r="DC80" s="34"/>
      <c r="DD80" s="34"/>
      <c r="DE80" s="34"/>
      <c r="DF80" s="34"/>
      <c r="DG80" s="34"/>
      <c r="DH80" s="34"/>
    </row>
    <row r="81" spans="84:112" x14ac:dyDescent="0.25">
      <c r="CF81" s="38"/>
      <c r="CG81" s="38"/>
      <c r="CH81" s="38"/>
      <c r="CI81" s="38"/>
      <c r="CJ81" s="38"/>
      <c r="CK81" s="38"/>
      <c r="CL81" s="38"/>
      <c r="DB81" s="34"/>
      <c r="DC81" s="34"/>
      <c r="DD81" s="34"/>
      <c r="DE81" s="34"/>
      <c r="DF81" s="34"/>
      <c r="DG81" s="34"/>
      <c r="DH81" s="34"/>
    </row>
    <row r="82" spans="84:112" x14ac:dyDescent="0.25">
      <c r="CF82" s="38"/>
      <c r="CG82" s="38"/>
      <c r="CH82" s="38"/>
      <c r="CI82" s="38"/>
      <c r="CJ82" s="38"/>
      <c r="CK82" s="38"/>
      <c r="CL82" s="38"/>
      <c r="DB82" s="34"/>
      <c r="DC82" s="34"/>
      <c r="DD82" s="34"/>
      <c r="DE82" s="34"/>
      <c r="DF82" s="34"/>
      <c r="DG82" s="34"/>
      <c r="DH82" s="34"/>
    </row>
    <row r="83" spans="84:112" x14ac:dyDescent="0.25">
      <c r="CF83" s="38"/>
      <c r="CG83" s="38"/>
      <c r="CH83" s="38"/>
      <c r="CI83" s="38"/>
      <c r="CJ83" s="38"/>
      <c r="CK83" s="38"/>
      <c r="CL83" s="38"/>
      <c r="DB83" s="34"/>
      <c r="DC83" s="34"/>
      <c r="DD83" s="34"/>
      <c r="DE83" s="34"/>
      <c r="DF83" s="34"/>
      <c r="DG83" s="34"/>
      <c r="DH83" s="34"/>
    </row>
    <row r="84" spans="84:112" x14ac:dyDescent="0.25">
      <c r="CF84" s="38"/>
      <c r="CG84" s="38"/>
      <c r="CH84" s="38"/>
      <c r="CI84" s="38"/>
      <c r="CJ84" s="38"/>
      <c r="CK84" s="38"/>
      <c r="CL84" s="38"/>
      <c r="DB84" s="34"/>
      <c r="DC84" s="34"/>
      <c r="DD84" s="34"/>
      <c r="DE84" s="34"/>
      <c r="DF84" s="34"/>
      <c r="DG84" s="34"/>
      <c r="DH84" s="34"/>
    </row>
    <row r="85" spans="84:112" x14ac:dyDescent="0.25">
      <c r="CF85" s="38"/>
      <c r="CG85" s="38"/>
      <c r="CH85" s="38"/>
      <c r="CI85" s="38"/>
      <c r="CJ85" s="38"/>
      <c r="CK85" s="38"/>
      <c r="CL85" s="38"/>
      <c r="DB85" s="34"/>
      <c r="DC85" s="34"/>
      <c r="DD85" s="34"/>
      <c r="DE85" s="34"/>
      <c r="DF85" s="34"/>
      <c r="DG85" s="34"/>
      <c r="DH85" s="34"/>
    </row>
    <row r="86" spans="84:112" x14ac:dyDescent="0.25">
      <c r="CF86" s="38"/>
      <c r="CG86" s="38"/>
      <c r="CH86" s="38"/>
      <c r="CI86" s="38"/>
      <c r="CJ86" s="38"/>
      <c r="CK86" s="38"/>
      <c r="CL86" s="38"/>
      <c r="DB86" s="34"/>
      <c r="DC86" s="34"/>
      <c r="DD86" s="34"/>
      <c r="DE86" s="34"/>
      <c r="DF86" s="34"/>
      <c r="DG86" s="34"/>
      <c r="DH86" s="34"/>
    </row>
    <row r="87" spans="84:112" x14ac:dyDescent="0.25">
      <c r="CF87" s="38"/>
      <c r="CG87" s="38"/>
      <c r="CH87" s="38"/>
      <c r="CI87" s="38"/>
      <c r="CJ87" s="38"/>
      <c r="CK87" s="38"/>
      <c r="CL87" s="38"/>
      <c r="DB87" s="34"/>
      <c r="DC87" s="34"/>
      <c r="DD87" s="34"/>
      <c r="DE87" s="34"/>
      <c r="DF87" s="34"/>
      <c r="DG87" s="34"/>
      <c r="DH87" s="34"/>
    </row>
    <row r="88" spans="84:112" x14ac:dyDescent="0.25">
      <c r="CF88" s="38"/>
      <c r="CG88" s="38"/>
      <c r="CH88" s="38"/>
      <c r="CI88" s="38"/>
      <c r="CJ88" s="38"/>
      <c r="CK88" s="38"/>
      <c r="CL88" s="38"/>
      <c r="DB88" s="34"/>
      <c r="DC88" s="34"/>
      <c r="DD88" s="34"/>
      <c r="DE88" s="34"/>
      <c r="DF88" s="34"/>
      <c r="DG88" s="34"/>
      <c r="DH88" s="34"/>
    </row>
    <row r="89" spans="84:112" x14ac:dyDescent="0.25">
      <c r="CF89" s="38"/>
      <c r="CG89" s="38"/>
      <c r="CH89" s="38"/>
      <c r="CI89" s="38"/>
      <c r="CJ89" s="38"/>
      <c r="CK89" s="38"/>
      <c r="CL89" s="38"/>
      <c r="DB89" s="34"/>
      <c r="DC89" s="34"/>
      <c r="DD89" s="34"/>
      <c r="DE89" s="34"/>
      <c r="DF89" s="34"/>
      <c r="DG89" s="34"/>
      <c r="DH89" s="34"/>
    </row>
    <row r="90" spans="84:112" x14ac:dyDescent="0.25">
      <c r="CF90" s="38"/>
      <c r="CG90" s="38"/>
      <c r="CH90" s="38"/>
      <c r="CI90" s="38"/>
      <c r="CJ90" s="38"/>
      <c r="CK90" s="38"/>
      <c r="CL90" s="38"/>
      <c r="DB90" s="34"/>
      <c r="DC90" s="34"/>
      <c r="DD90" s="34"/>
      <c r="DE90" s="34"/>
      <c r="DF90" s="34"/>
      <c r="DG90" s="34"/>
      <c r="DH90" s="34"/>
    </row>
    <row r="91" spans="84:112" x14ac:dyDescent="0.25">
      <c r="CF91" s="38"/>
      <c r="CG91" s="38"/>
      <c r="CH91" s="38"/>
      <c r="CI91" s="38"/>
      <c r="CJ91" s="38"/>
      <c r="CK91" s="38"/>
      <c r="CL91" s="38"/>
      <c r="DB91" s="34"/>
      <c r="DC91" s="34"/>
      <c r="DD91" s="34"/>
      <c r="DE91" s="34"/>
      <c r="DF91" s="34"/>
      <c r="DG91" s="34"/>
      <c r="DH91" s="34"/>
    </row>
    <row r="92" spans="84:112" x14ac:dyDescent="0.25">
      <c r="CF92" s="38"/>
      <c r="CG92" s="38"/>
      <c r="CH92" s="38"/>
      <c r="CI92" s="38"/>
      <c r="CJ92" s="38"/>
      <c r="CK92" s="38"/>
      <c r="CL92" s="38"/>
      <c r="DB92" s="34"/>
      <c r="DC92" s="34"/>
      <c r="DD92" s="34"/>
      <c r="DE92" s="34"/>
      <c r="DF92" s="34"/>
      <c r="DG92" s="34"/>
      <c r="DH92" s="34"/>
    </row>
  </sheetData>
  <conditionalFormatting sqref="I16:I1048576">
    <cfRule type="cellIs" dxfId="220" priority="9" operator="greaterThan">
      <formula>0</formula>
    </cfRule>
    <cfRule type="cellIs" dxfId="219" priority="10" operator="lessThan">
      <formula>0</formula>
    </cfRule>
  </conditionalFormatting>
  <conditionalFormatting sqref="AT7:AT14">
    <cfRule type="cellIs" dxfId="218" priority="5" operator="equal">
      <formula>"6-Retiré/Abandon"</formula>
    </cfRule>
    <cfRule type="cellIs" dxfId="217" priority="6" operator="equal">
      <formula>"5-Défavorable"</formula>
    </cfRule>
    <cfRule type="cellIs" dxfId="216" priority="7" operator="equal">
      <formula>"4-Ajournement"</formula>
    </cfRule>
    <cfRule type="cellIs" dxfId="215" priority="8" operator="equal">
      <formula>"1-Favorable"</formula>
    </cfRule>
  </conditionalFormatting>
  <conditionalFormatting sqref="AV7:AV14">
    <cfRule type="cellIs" dxfId="214" priority="1" operator="equal">
      <formula>"6-Retiré/Abandon"</formula>
    </cfRule>
    <cfRule type="cellIs" dxfId="213" priority="2" operator="equal">
      <formula>"5-Défavorable"</formula>
    </cfRule>
    <cfRule type="cellIs" dxfId="212" priority="3" operator="equal">
      <formula>"4-Ajournement"</formula>
    </cfRule>
    <cfRule type="cellIs" dxfId="211" priority="4" operator="equal">
      <formula>"1-Favorable"</formula>
    </cfRule>
  </conditionalFormatting>
  <dataValidations count="1">
    <dataValidation type="list" allowBlank="1" showInputMessage="1" showErrorMessage="1" sqref="AT7:AT14">
      <formula1>"1-Favorable,4-Ajournement,5-Défavorable,6-Retiré/Abandon"</formula1>
    </dataValidation>
  </dataValidations>
  <printOptions horizontalCentered="1" verticalCentered="1"/>
  <pageMargins left="0.25" right="0.25" top="0.75" bottom="0.75" header="0.3" footer="0.3"/>
  <pageSetup paperSize="8" scale="59" fitToHeight="0" orientation="landscape"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37"/>
  <sheetViews>
    <sheetView tabSelected="1" workbookViewId="0">
      <selection activeCell="M37" sqref="M37"/>
    </sheetView>
  </sheetViews>
  <sheetFormatPr baseColWidth="10" defaultRowHeight="15" outlineLevelRow="1" x14ac:dyDescent="0.25"/>
  <cols>
    <col min="3" max="3" width="13.7109375" bestFit="1" customWidth="1"/>
    <col min="4" max="4" width="12.140625" bestFit="1" customWidth="1"/>
    <col min="11" max="17" width="11.42578125" customWidth="1"/>
  </cols>
  <sheetData>
    <row r="5" spans="1:12" x14ac:dyDescent="0.25">
      <c r="A5" s="129" t="s">
        <v>78</v>
      </c>
      <c r="B5" s="129"/>
      <c r="C5" s="129"/>
      <c r="D5" s="1" t="s">
        <v>83</v>
      </c>
      <c r="L5" s="23">
        <v>42663</v>
      </c>
    </row>
    <row r="6" spans="1:12" x14ac:dyDescent="0.25">
      <c r="C6" t="s">
        <v>8</v>
      </c>
      <c r="D6" s="14">
        <f>SUM(D14,D9,D8,D7)</f>
        <v>5462341.6749859154</v>
      </c>
      <c r="L6" s="14">
        <f>SUM(L14,L9,L8,L7)</f>
        <v>4939316.2849859158</v>
      </c>
    </row>
    <row r="7" spans="1:12" x14ac:dyDescent="0.25">
      <c r="C7" t="s">
        <v>58</v>
      </c>
      <c r="D7" s="14">
        <f>Bois!F30+'Reprog (en cours)'!BG31+Pierre!F19+Attractivité!F31+Biodiversité!F41+Agriculture!F66+Tourisme!F11+'AT-Ing Terr'!F19+Itinérance!F68</f>
        <v>1782249.4619999998</v>
      </c>
      <c r="K7" t="s">
        <v>58</v>
      </c>
      <c r="L7" s="14">
        <f>Bois!E30+'Reprog (en cours)'!BB31+Pierre!E19+Attractivité!E31+Biodiversité!E41+Agriculture!E66+Tourisme!E11+'AT-Ing Terr'!E19+Itinérance!E68</f>
        <v>1660941.4419999998</v>
      </c>
    </row>
    <row r="8" spans="1:12" x14ac:dyDescent="0.25">
      <c r="C8" t="s">
        <v>46</v>
      </c>
      <c r="D8" s="14">
        <f>Bois!F31+'Reprog (en cours)'!BG32+Pierre!F20+Attractivité!F32+Biodiversité!F42+Agriculture!F67+Tourisme!F12+'AT-Ing Terr'!F20+Itinérance!F69</f>
        <v>2537802.7929859157</v>
      </c>
      <c r="K8" t="s">
        <v>46</v>
      </c>
      <c r="L8" s="14">
        <f>Bois!E31+'Reprog (en cours)'!BB32+Pierre!E20+Attractivité!E32+Biodiversité!E42+Agriculture!E67+Tourisme!E12+'AT-Ing Terr'!E20+Itinérance!E69</f>
        <v>2379145.6029859157</v>
      </c>
    </row>
    <row r="9" spans="1:12" x14ac:dyDescent="0.25">
      <c r="C9" t="s">
        <v>47</v>
      </c>
      <c r="D9" s="14">
        <f>Bois!F32+'Reprog (en cours)'!BG33+Pierre!F21+Attractivité!F33+Biodiversité!F43+Agriculture!F68+Tourisme!F13+'AT-Ing Terr'!F21+Itinérance!F70</f>
        <v>1105809.79</v>
      </c>
      <c r="K9" t="s">
        <v>47</v>
      </c>
      <c r="L9" s="14">
        <f>Bois!E32+'Reprog (en cours)'!BB33+Pierre!E21+Attractivité!E33+Biodiversité!E43+Agriculture!E68+Tourisme!E13+'AT-Ing Terr'!E21+Itinérance!E70</f>
        <v>884464.24000000011</v>
      </c>
    </row>
    <row r="10" spans="1:12" hidden="1" outlineLevel="1" x14ac:dyDescent="0.25">
      <c r="C10" s="18" t="s">
        <v>59</v>
      </c>
      <c r="D10" s="19">
        <f>Bois!F33+'Reprog (en cours)'!BG34+Pierre!F22+Attractivité!F34+Biodiversité!F44+Agriculture!F69+Tourisme!F14+'AT-Ing Terr'!F22</f>
        <v>115988.85</v>
      </c>
      <c r="K10" s="18" t="s">
        <v>59</v>
      </c>
      <c r="L10" s="19">
        <f>Bois!E33+'Reprog (en cours)'!BB34+Pierre!E22+Attractivité!E34+Biodiversité!E44+Agriculture!E69+Tourisme!E14+'AT-Ing Terr'!E22</f>
        <v>115988.85</v>
      </c>
    </row>
    <row r="11" spans="1:12" hidden="1" outlineLevel="1" x14ac:dyDescent="0.25">
      <c r="C11" s="18" t="s">
        <v>60</v>
      </c>
      <c r="D11" s="19">
        <f>Bois!F34+'Reprog (en cours)'!BG35+Pierre!F23+Attractivité!F35+Biodiversité!F45+Agriculture!F70+Tourisme!F15+'AT-Ing Terr'!F23</f>
        <v>298920.06000000006</v>
      </c>
      <c r="K11" s="18" t="s">
        <v>60</v>
      </c>
      <c r="L11" s="19">
        <f>Bois!E34+'Reprog (en cours)'!BB35+Pierre!E23+Attractivité!E35+Biodiversité!E45+Agriculture!E70+Tourisme!E15+'AT-Ing Terr'!E23</f>
        <v>215235.58000000002</v>
      </c>
    </row>
    <row r="12" spans="1:12" hidden="1" outlineLevel="1" x14ac:dyDescent="0.25">
      <c r="C12" s="18" t="s">
        <v>61</v>
      </c>
      <c r="D12" s="19">
        <f>Bois!F35+'Reprog (en cours)'!BG36+Pierre!F24+Attractivité!F36+Biodiversité!F46+Agriculture!F71+Tourisme!F16+'AT-Ing Terr'!F24</f>
        <v>0</v>
      </c>
      <c r="K12" s="18" t="s">
        <v>61</v>
      </c>
      <c r="L12" s="19">
        <f>Bois!E35+'Reprog (en cours)'!BB36+Pierre!E24+Attractivité!E36+Biodiversité!E46+Agriculture!E71+Tourisme!E16+'AT-Ing Terr'!E24</f>
        <v>0</v>
      </c>
    </row>
    <row r="13" spans="1:12" hidden="1" outlineLevel="1" x14ac:dyDescent="0.25">
      <c r="C13" s="18" t="s">
        <v>62</v>
      </c>
      <c r="D13" s="19">
        <f>Bois!F36+'Reprog (en cours)'!BG37+Pierre!F25+Attractivité!F37+Biodiversité!F47+Agriculture!F72+Tourisme!F17+'AT-Ing Terr'!F25</f>
        <v>300497.52</v>
      </c>
      <c r="K13" s="18" t="s">
        <v>62</v>
      </c>
      <c r="L13" s="19">
        <f>Bois!E36+'Reprog (en cours)'!BB37+Pierre!E25+Attractivité!E37+Biodiversité!E47+Agriculture!E72+Tourisme!E17+'AT-Ing Terr'!E25</f>
        <v>222132</v>
      </c>
    </row>
    <row r="14" spans="1:12" collapsed="1" x14ac:dyDescent="0.25">
      <c r="C14" t="s">
        <v>48</v>
      </c>
      <c r="D14" s="14">
        <f>Bois!F37+'Reprog (en cours)'!BG38+Pierre!F26+Attractivité!F38+Biodiversité!F48+Agriculture!F73+Tourisme!F18+'AT-Ing Terr'!F26+Itinérance!F75</f>
        <v>36479.630000000005</v>
      </c>
      <c r="K14" t="s">
        <v>48</v>
      </c>
      <c r="L14" s="14">
        <f>Bois!E37+'Reprog (en cours)'!BB38+Pierre!E26+Attractivité!E38+Biodiversité!E48+Agriculture!E73+Tourisme!E18+'AT-Ing Terr'!E26+Itinérance!E75</f>
        <v>14765</v>
      </c>
    </row>
    <row r="15" spans="1:12" hidden="1" outlineLevel="1" x14ac:dyDescent="0.25">
      <c r="C15" s="18" t="s">
        <v>22</v>
      </c>
      <c r="D15" s="19">
        <f>Bois!E38+'Reprog (en cours)'!BG39+Pierre!E27+Attractivité!E39+Biodiversité!E49+Agriculture!E74+Tourisme!E19+'AT-Ing Terr'!E27</f>
        <v>0</v>
      </c>
      <c r="K15" s="18" t="s">
        <v>22</v>
      </c>
      <c r="L15" s="14">
        <f>Bois!E38+'Reprog (en cours)'!BB39+Pierre!E27+Attractivité!E39+Biodiversité!E49+Agriculture!E74+Tourisme!E19+'AT-Ing Terr'!E27</f>
        <v>0</v>
      </c>
    </row>
    <row r="16" spans="1:12" hidden="1" outlineLevel="1" x14ac:dyDescent="0.25">
      <c r="C16" s="18" t="s">
        <v>23</v>
      </c>
      <c r="D16" s="19" t="e">
        <f>Bois!E39+'Reprog (en cours)'!#REF!+Pierre!E28+Attractivité!E40+Biodiversité!E50+Agriculture!E75+Tourisme!E20+'AT-Ing Terr'!E28</f>
        <v>#REF!</v>
      </c>
      <c r="K16" s="18" t="s">
        <v>23</v>
      </c>
      <c r="L16" s="14" t="e">
        <f>Bois!E39+'Reprog (en cours)'!#REF!+Pierre!E28+Attractivité!E40+Biodiversité!E50+Agriculture!E75+Tourisme!E20+'AT-Ing Terr'!E28</f>
        <v>#REF!</v>
      </c>
    </row>
    <row r="17" spans="3:12" hidden="1" outlineLevel="1" x14ac:dyDescent="0.25">
      <c r="C17" s="18" t="s">
        <v>24</v>
      </c>
      <c r="D17" s="19">
        <f>Bois!E40+'Reprog (en cours)'!BG40+Pierre!E29+Attractivité!E41+Biodiversité!E51+Agriculture!E76+Tourisme!E21+'AT-Ing Terr'!E29</f>
        <v>0</v>
      </c>
      <c r="K17" s="18" t="s">
        <v>24</v>
      </c>
      <c r="L17" s="14">
        <f>Bois!E40+'Reprog (en cours)'!BB40+Pierre!E29+Attractivité!E41+Biodiversité!E51+Agriculture!E76+Tourisme!E21+'AT-Ing Terr'!E29</f>
        <v>0</v>
      </c>
    </row>
    <row r="18" spans="3:12" hidden="1" outlineLevel="1" x14ac:dyDescent="0.25">
      <c r="C18" s="18" t="s">
        <v>25</v>
      </c>
      <c r="D18" s="19">
        <f>Bois!E41+'Reprog (en cours)'!BG41+Pierre!E30+Attractivité!E42+Biodiversité!E52+Agriculture!E77+Tourisme!E22+'AT-Ing Terr'!E30</f>
        <v>5000</v>
      </c>
      <c r="K18" s="18" t="s">
        <v>25</v>
      </c>
      <c r="L18" s="14">
        <f>Bois!E41+'Reprog (en cours)'!BB41+Pierre!E30+Attractivité!E42+Biodiversité!E52+Agriculture!E77+Tourisme!E22+'AT-Ing Terr'!E30</f>
        <v>5000</v>
      </c>
    </row>
    <row r="19" spans="3:12" hidden="1" outlineLevel="1" x14ac:dyDescent="0.25">
      <c r="C19" s="18" t="s">
        <v>26</v>
      </c>
      <c r="D19" s="19">
        <f>Bois!E42+'Reprog (en cours)'!BG42+Pierre!E31+Attractivité!E43+Biodiversité!E53+Agriculture!E78+Tourisme!E23+'AT-Ing Terr'!E31</f>
        <v>0</v>
      </c>
      <c r="K19" s="18" t="s">
        <v>26</v>
      </c>
      <c r="L19" s="14">
        <f>Bois!E42+'Reprog (en cours)'!BB42+Pierre!E31+Attractivité!E43+Biodiversité!E53+Agriculture!E78+Tourisme!E23+'AT-Ing Terr'!E31</f>
        <v>0</v>
      </c>
    </row>
    <row r="20" spans="3:12" hidden="1" outlineLevel="1" x14ac:dyDescent="0.25">
      <c r="C20" s="18" t="s">
        <v>27</v>
      </c>
      <c r="D20" s="19">
        <f>Bois!E43+'Reprog (en cours)'!BG43+Pierre!E32+Attractivité!E44+Biodiversité!E54+Agriculture!E79+Tourisme!E24+'AT-Ing Terr'!E32</f>
        <v>0</v>
      </c>
      <c r="K20" s="18" t="s">
        <v>27</v>
      </c>
      <c r="L20" s="14">
        <f>Bois!E43+'Reprog (en cours)'!BB43+Pierre!E32+Attractivité!E44+Biodiversité!E54+Agriculture!E79+Tourisme!E24+'AT-Ing Terr'!E32</f>
        <v>0</v>
      </c>
    </row>
    <row r="21" spans="3:12" hidden="1" outlineLevel="1" x14ac:dyDescent="0.25">
      <c r="C21" s="18" t="s">
        <v>28</v>
      </c>
      <c r="D21" s="19">
        <f>Bois!E44+'Reprog (en cours)'!BG44+Pierre!E33+Attractivité!E45+Biodiversité!E55+Agriculture!E80+Tourisme!E25+'AT-Ing Terr'!E33</f>
        <v>0</v>
      </c>
      <c r="K21" s="18" t="s">
        <v>28</v>
      </c>
      <c r="L21" s="14">
        <f>Bois!E44+'Reprog (en cours)'!BB44+Pierre!E33+Attractivité!E45+Biodiversité!E55+Agriculture!E80+Tourisme!E25+'AT-Ing Terr'!E33</f>
        <v>0</v>
      </c>
    </row>
    <row r="22" spans="3:12" hidden="1" outlineLevel="1" x14ac:dyDescent="0.25">
      <c r="C22" s="18" t="s">
        <v>29</v>
      </c>
      <c r="D22" s="19">
        <f>Bois!E45+'Reprog (en cours)'!BG45+Pierre!E34+Attractivité!E46+Biodiversité!E56+Agriculture!E81+Tourisme!E26+'AT-Ing Terr'!E34</f>
        <v>0</v>
      </c>
      <c r="K22" s="18" t="s">
        <v>29</v>
      </c>
      <c r="L22" s="14">
        <f>Bois!E45+'Reprog (en cours)'!BB45+Pierre!E34+Attractivité!E46+Biodiversité!E56+Agriculture!E81+Tourisme!E26+'AT-Ing Terr'!E34</f>
        <v>0</v>
      </c>
    </row>
    <row r="23" spans="3:12" hidden="1" outlineLevel="1" x14ac:dyDescent="0.25">
      <c r="C23" s="18" t="s">
        <v>30</v>
      </c>
      <c r="D23" s="19">
        <f>Bois!E46+'Reprog (en cours)'!BG46+Pierre!E35+Attractivité!E47+Biodiversité!E57+Agriculture!E82+Tourisme!E27+'AT-Ing Terr'!E35</f>
        <v>0</v>
      </c>
      <c r="K23" s="18" t="s">
        <v>30</v>
      </c>
      <c r="L23" s="14">
        <f>Bois!E46+'Reprog (en cours)'!BB46+Pierre!E35+Attractivité!E47+Biodiversité!E57+Agriculture!E82+Tourisme!E27+'AT-Ing Terr'!E35</f>
        <v>0</v>
      </c>
    </row>
    <row r="24" spans="3:12" hidden="1" outlineLevel="1" x14ac:dyDescent="0.25">
      <c r="C24" s="18" t="s">
        <v>31</v>
      </c>
      <c r="D24" s="19">
        <f>Bois!E47+'Reprog (en cours)'!BG47+Pierre!E36+Attractivité!E48+Biodiversité!E58+Agriculture!E83+Tourisme!E28+'AT-Ing Terr'!E36</f>
        <v>0</v>
      </c>
      <c r="K24" s="18" t="s">
        <v>31</v>
      </c>
      <c r="L24" s="14">
        <f>Bois!E47+'Reprog (en cours)'!BB47+Pierre!E36+Attractivité!E48+Biodiversité!E58+Agriculture!E83+Tourisme!E28+'AT-Ing Terr'!E36</f>
        <v>0</v>
      </c>
    </row>
    <row r="25" spans="3:12" hidden="1" outlineLevel="1" x14ac:dyDescent="0.25">
      <c r="C25" s="18" t="s">
        <v>32</v>
      </c>
      <c r="D25" s="19">
        <f>Bois!E48+'Reprog (en cours)'!BG48+Pierre!E37+Attractivité!E49+Biodiversité!E59+Agriculture!E84+Tourisme!E29+'AT-Ing Terr'!E37</f>
        <v>0</v>
      </c>
      <c r="K25" s="18" t="s">
        <v>32</v>
      </c>
      <c r="L25" s="14">
        <f>Bois!E48+'Reprog (en cours)'!BB48+Pierre!E37+Attractivité!E49+Biodiversité!E59+Agriculture!E84+Tourisme!E29+'AT-Ing Terr'!E37</f>
        <v>0</v>
      </c>
    </row>
    <row r="26" spans="3:12" hidden="1" outlineLevel="1" x14ac:dyDescent="0.25">
      <c r="C26" s="18" t="s">
        <v>33</v>
      </c>
      <c r="D26" s="19">
        <f>Bois!E49+'Reprog (en cours)'!BG49+Pierre!E38+Attractivité!E50+Biodiversité!E60+Agriculture!E85+Tourisme!E30+'AT-Ing Terr'!E38</f>
        <v>6000</v>
      </c>
      <c r="K26" s="18" t="s">
        <v>33</v>
      </c>
      <c r="L26" s="14">
        <f>Bois!E49+'Reprog (en cours)'!BB49+Pierre!E38+Attractivité!E50+Biodiversité!E60+Agriculture!E85+Tourisme!E30+'AT-Ing Terr'!E38</f>
        <v>6000</v>
      </c>
    </row>
    <row r="27" spans="3:12" hidden="1" outlineLevel="1" x14ac:dyDescent="0.25">
      <c r="C27" s="18" t="s">
        <v>34</v>
      </c>
      <c r="D27" s="19">
        <f>Bois!E50+'Reprog (en cours)'!BG50+Pierre!E39+Attractivité!E51+Biodiversité!E61+Agriculture!E86+Tourisme!E31+'AT-Ing Terr'!E39</f>
        <v>0</v>
      </c>
      <c r="K27" s="18" t="s">
        <v>34</v>
      </c>
      <c r="L27" s="14">
        <f>Bois!E50+'Reprog (en cours)'!BB50+Pierre!E39+Attractivité!E51+Biodiversité!E61+Agriculture!E86+Tourisme!E31+'AT-Ing Terr'!E39</f>
        <v>0</v>
      </c>
    </row>
    <row r="28" spans="3:12" hidden="1" outlineLevel="1" x14ac:dyDescent="0.25">
      <c r="C28" s="18" t="s">
        <v>35</v>
      </c>
      <c r="D28" s="19">
        <f>Bois!E51+'Reprog (en cours)'!BG51+Pierre!E40+Attractivité!E52+Biodiversité!E62+Agriculture!E87+Tourisme!E32+'AT-Ing Terr'!E40</f>
        <v>0</v>
      </c>
      <c r="K28" s="18" t="s">
        <v>35</v>
      </c>
      <c r="L28" s="14">
        <f>Bois!E51+'Reprog (en cours)'!BB51+Pierre!E40+Attractivité!E52+Biodiversité!E62+Agriculture!E87+Tourisme!E32+'AT-Ing Terr'!E40</f>
        <v>0</v>
      </c>
    </row>
    <row r="29" spans="3:12" hidden="1" outlineLevel="1" x14ac:dyDescent="0.25">
      <c r="C29" s="18" t="s">
        <v>36</v>
      </c>
      <c r="D29" s="19">
        <f>Bois!E52+'Reprog (en cours)'!BG52+Pierre!E41+Attractivité!E53+Biodiversité!E63+Agriculture!E88+Tourisme!E33+'AT-Ing Terr'!E41</f>
        <v>0</v>
      </c>
      <c r="K29" s="18" t="s">
        <v>36</v>
      </c>
      <c r="L29" s="14">
        <f>Bois!E52+'Reprog (en cours)'!BB52+Pierre!E41+Attractivité!E53+Biodiversité!E63+Agriculture!E88+Tourisme!E33+'AT-Ing Terr'!E41</f>
        <v>0</v>
      </c>
    </row>
    <row r="30" spans="3:12" hidden="1" outlineLevel="1" x14ac:dyDescent="0.25">
      <c r="C30" s="18" t="s">
        <v>37</v>
      </c>
      <c r="D30" s="19">
        <f>Bois!E53+'Reprog (en cours)'!BG53+Pierre!E42+Attractivité!E54+Biodiversité!E64+Agriculture!E89+Tourisme!E34+'AT-Ing Terr'!E42</f>
        <v>1368.63</v>
      </c>
      <c r="K30" s="18" t="s">
        <v>37</v>
      </c>
      <c r="L30" s="14">
        <f>Bois!E53+'Reprog (en cours)'!BB53+Pierre!E42+Attractivité!E54+Biodiversité!E64+Agriculture!E89+Tourisme!E34+'AT-Ing Terr'!E42</f>
        <v>0</v>
      </c>
    </row>
    <row r="31" spans="3:12" hidden="1" outlineLevel="1" x14ac:dyDescent="0.25">
      <c r="C31" s="18" t="s">
        <v>38</v>
      </c>
      <c r="D31" s="19">
        <f>Bois!E54+'Reprog (en cours)'!BG54+Pierre!E43+Attractivité!E55+Biodiversité!E65+Agriculture!E90+Tourisme!E35+'AT-Ing Terr'!E43</f>
        <v>0</v>
      </c>
      <c r="K31" s="18" t="s">
        <v>38</v>
      </c>
      <c r="L31" s="14">
        <f>Bois!E54+'Reprog (en cours)'!BB54+Pierre!E43+Attractivité!E55+Biodiversité!E65+Agriculture!E90+Tourisme!E35+'AT-Ing Terr'!E43</f>
        <v>0</v>
      </c>
    </row>
    <row r="32" spans="3:12" hidden="1" outlineLevel="1" x14ac:dyDescent="0.25">
      <c r="C32" s="18" t="s">
        <v>39</v>
      </c>
      <c r="D32" s="19">
        <f>Bois!E55+'Reprog (en cours)'!BG55+Pierre!E44+Attractivité!E56+Biodiversité!E66+Agriculture!E91+Tourisme!E36+'AT-Ing Terr'!E44</f>
        <v>0</v>
      </c>
      <c r="K32" s="18" t="s">
        <v>39</v>
      </c>
      <c r="L32" s="14">
        <f>Bois!E55+'Reprog (en cours)'!BB55+Pierre!E44+Attractivité!E56+Biodiversité!E66+Agriculture!E91+Tourisme!E36+'AT-Ing Terr'!E44</f>
        <v>0</v>
      </c>
    </row>
    <row r="33" spans="3:12" hidden="1" outlineLevel="1" x14ac:dyDescent="0.25">
      <c r="C33" s="18" t="s">
        <v>40</v>
      </c>
      <c r="D33" s="19">
        <f>Bois!E56+'Reprog (en cours)'!BG56+Pierre!E45+Attractivité!E57+Biodiversité!E67+Agriculture!E92+Tourisme!E37+'AT-Ing Terr'!E45</f>
        <v>0</v>
      </c>
      <c r="K33" s="18" t="s">
        <v>40</v>
      </c>
      <c r="L33" s="14">
        <f>Bois!E56+'Reprog (en cours)'!BB56+Pierre!E45+Attractivité!E57+Biodiversité!E67+Agriculture!E92+Tourisme!E37+'AT-Ing Terr'!E45</f>
        <v>0</v>
      </c>
    </row>
    <row r="34" spans="3:12" hidden="1" outlineLevel="1" x14ac:dyDescent="0.25">
      <c r="C34" s="18" t="s">
        <v>41</v>
      </c>
      <c r="D34" s="19">
        <f>Bois!E57+'Reprog (en cours)'!BG57+Pierre!E46+Attractivité!E58+Biodiversité!E68+Agriculture!E93+Tourisme!E38+'AT-Ing Terr'!E46</f>
        <v>0</v>
      </c>
      <c r="K34" s="18" t="s">
        <v>41</v>
      </c>
      <c r="L34" s="14">
        <f>Bois!E57+'Reprog (en cours)'!BB57+Pierre!E46+Attractivité!E58+Biodiversité!E68+Agriculture!E93+Tourisme!E38+'AT-Ing Terr'!E46</f>
        <v>0</v>
      </c>
    </row>
    <row r="35" spans="3:12" hidden="1" outlineLevel="1" x14ac:dyDescent="0.25">
      <c r="C35" s="18" t="s">
        <v>42</v>
      </c>
      <c r="D35" s="19">
        <f>Bois!E58+'Reprog (en cours)'!BG58+Pierre!E47+Attractivité!E59+Biodiversité!E69+Agriculture!E94+Tourisme!E39+'AT-Ing Terr'!E47</f>
        <v>0</v>
      </c>
      <c r="K35" s="18" t="s">
        <v>42</v>
      </c>
      <c r="L35" s="14">
        <f>Bois!E58+'Reprog (en cours)'!BB58+Pierre!E47+Attractivité!E59+Biodiversité!E69+Agriculture!E94+Tourisme!E39+'AT-Ing Terr'!E47</f>
        <v>0</v>
      </c>
    </row>
    <row r="36" spans="3:12" hidden="1" outlineLevel="1" x14ac:dyDescent="0.25">
      <c r="C36" s="18" t="s">
        <v>43</v>
      </c>
      <c r="D36" s="19">
        <f>Bois!E59+'Reprog (en cours)'!BG59+Pierre!E48+Attractivité!E60+Biodiversité!E70+Agriculture!E95+Tourisme!E40+'AT-Ing Terr'!E48</f>
        <v>0</v>
      </c>
      <c r="K36" s="18" t="s">
        <v>43</v>
      </c>
      <c r="L36" s="14">
        <f>Bois!E59+'Reprog (en cours)'!BB59+Pierre!E48+Attractivité!E60+Biodiversité!E70+Agriculture!E95+Tourisme!E40+'AT-Ing Terr'!E48</f>
        <v>0</v>
      </c>
    </row>
    <row r="37" spans="3:12" collapsed="1" x14ac:dyDescent="0.25"/>
  </sheetData>
  <mergeCells count="1">
    <mergeCell ref="A5:C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 sqref="B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42"/>
  <sheetViews>
    <sheetView view="pageBreakPreview" topLeftCell="D1" zoomScale="80" zoomScaleNormal="60" zoomScaleSheetLayoutView="80" workbookViewId="0">
      <selection activeCell="AT7" sqref="AT7"/>
    </sheetView>
  </sheetViews>
  <sheetFormatPr baseColWidth="10" defaultRowHeight="15" outlineLevelCol="1" x14ac:dyDescent="0.25"/>
  <cols>
    <col min="1" max="1" width="13.85546875" style="3" customWidth="1"/>
    <col min="2" max="2" width="35" style="4" customWidth="1"/>
    <col min="3" max="3" width="48" style="5" customWidth="1"/>
    <col min="4" max="4" width="14.85546875" style="3" bestFit="1" customWidth="1"/>
    <col min="5" max="5" width="14" style="3"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2.28515625" style="3" customWidth="1" collapsed="1"/>
    <col min="42" max="43" width="11.5703125" style="3" customWidth="1"/>
    <col min="44" max="44" width="15.42578125" style="3" bestFit="1" customWidth="1"/>
    <col min="45" max="45" width="15.42578125" style="3" hidden="1" customWidth="1"/>
    <col min="46" max="46" width="69" style="3" customWidth="1"/>
    <col min="47" max="47" width="15.42578125" style="3" bestFit="1" customWidth="1"/>
    <col min="48" max="48" width="17.28515625" style="3" bestFit="1" customWidth="1"/>
    <col min="49" max="49" width="9.42578125" style="3" customWidth="1"/>
    <col min="50" max="64" width="9.7109375" style="3" customWidth="1"/>
    <col min="65" max="65" width="15.140625" style="3" customWidth="1"/>
    <col min="66" max="66" width="14.5703125" style="3" customWidth="1"/>
    <col min="67" max="67" width="18.5703125" style="3" customWidth="1"/>
    <col min="68" max="68" width="12.5703125" style="3" customWidth="1"/>
    <col min="69" max="69" width="20.42578125" style="3" customWidth="1"/>
    <col min="70" max="70" width="12.7109375" style="3" customWidth="1"/>
    <col min="71" max="71" width="9.28515625" style="3" customWidth="1"/>
    <col min="72" max="72" width="14.28515625" style="3" customWidth="1"/>
    <col min="73" max="73" width="11.42578125" style="3" customWidth="1"/>
    <col min="74" max="74" width="9" style="3" customWidth="1"/>
    <col min="75" max="75" width="9.5703125" style="3" customWidth="1"/>
    <col min="76" max="76" width="11" style="3" customWidth="1"/>
    <col min="77" max="77" width="12.7109375" style="3" customWidth="1"/>
    <col min="78" max="80" width="9.7109375" style="3" customWidth="1"/>
    <col min="81" max="81" width="15.140625" style="3" customWidth="1"/>
    <col min="82" max="82" width="17.28515625" style="3" customWidth="1"/>
    <col min="83" max="83" width="49.28515625" style="4" customWidth="1"/>
    <col min="84" max="84" width="17.28515625" style="3" customWidth="1"/>
    <col min="85" max="16384" width="11.42578125" style="3"/>
  </cols>
  <sheetData>
    <row r="1" spans="1:83" ht="18.75" x14ac:dyDescent="0.3">
      <c r="B1" s="21" t="s">
        <v>78</v>
      </c>
      <c r="C1" s="22">
        <v>42663</v>
      </c>
    </row>
    <row r="5" spans="1:83" x14ac:dyDescent="0.25">
      <c r="A5" s="1" t="s">
        <v>75</v>
      </c>
      <c r="B5" s="2" t="s">
        <v>259</v>
      </c>
    </row>
    <row r="6" spans="1:83" s="7" customFormat="1" ht="30"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7" t="s">
        <v>249</v>
      </c>
      <c r="AR6" s="17" t="s">
        <v>57</v>
      </c>
      <c r="AT6" s="31" t="s">
        <v>65</v>
      </c>
    </row>
    <row r="7" spans="1:83" s="10" customFormat="1" ht="30.75" thickBot="1" x14ac:dyDescent="0.3">
      <c r="A7" s="13" t="s">
        <v>431</v>
      </c>
      <c r="B7" s="12" t="s">
        <v>174</v>
      </c>
      <c r="C7" s="12" t="s">
        <v>175</v>
      </c>
      <c r="D7" s="15">
        <v>189227</v>
      </c>
      <c r="E7" s="15">
        <f>Tableau_Lancer_la_requête_à_partir_de_Excel_Files10256789[[#This Row],[Aide Massif]]+Tableau_Lancer_la_requête_à_partir_de_Excel_Files10256789[[#This Row],[''Autre Public'']]</f>
        <v>129905</v>
      </c>
      <c r="F7" s="16">
        <f>Tableau_Lancer_la_requête_à_partir_de_Excel_Files10256789[[#This Row],[Aide 
publique]]/Tableau_Lancer_la_requête_à_partir_de_Excel_Files10256789[[#This Row],[''Coût total éligible'']]</f>
        <v>0.68650351165531343</v>
      </c>
      <c r="G7" s="15">
        <f>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f>
        <v>73137</v>
      </c>
      <c r="H7" s="16">
        <f>Tableau_Lancer_la_requête_à_partir_de_Excel_Files10256789[[#This Row],[Aide Massif]]/Tableau_Lancer_la_requête_à_partir_de_Excel_Files10256789[[#This Row],[''Coût total éligible'']]</f>
        <v>0.38650404012112438</v>
      </c>
      <c r="I7" s="15">
        <v>64337</v>
      </c>
      <c r="J7" s="15">
        <f>Tableau_Lancer_la_requête_à_partir_de_Excel_Files10256789[[#This Row],[''FNADT '']]+Tableau_Lancer_la_requête_à_partir_de_Excel_Files10256789[[#This Row],[''Agriculture'']]</f>
        <v>0</v>
      </c>
      <c r="K7" s="15">
        <v>0</v>
      </c>
      <c r="L7" s="15"/>
      <c r="M7" s="15">
        <f>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f>
        <v>8800</v>
      </c>
      <c r="N7" s="15"/>
      <c r="O7" s="15">
        <v>8800</v>
      </c>
      <c r="P7" s="15"/>
      <c r="Q7" s="15"/>
      <c r="R7" s="15">
        <f>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f>
        <v>0</v>
      </c>
      <c r="S7" s="15"/>
      <c r="T7" s="15"/>
      <c r="U7" s="15"/>
      <c r="V7" s="15"/>
      <c r="W7" s="15"/>
      <c r="X7" s="15"/>
      <c r="Y7" s="15"/>
      <c r="Z7" s="15"/>
      <c r="AA7" s="15"/>
      <c r="AB7" s="15"/>
      <c r="AC7" s="15"/>
      <c r="AD7" s="15"/>
      <c r="AE7" s="15"/>
      <c r="AF7" s="15"/>
      <c r="AG7" s="15"/>
      <c r="AH7" s="15"/>
      <c r="AI7" s="15"/>
      <c r="AJ7" s="15"/>
      <c r="AK7" s="15"/>
      <c r="AL7" s="15"/>
      <c r="AM7" s="15"/>
      <c r="AN7" s="15"/>
      <c r="AO7" s="15">
        <v>56768</v>
      </c>
      <c r="AP7" s="11" t="s">
        <v>337</v>
      </c>
      <c r="AQ7" s="69"/>
      <c r="AR7" s="11" t="s">
        <v>337</v>
      </c>
      <c r="AT7" s="53"/>
    </row>
    <row r="8" spans="1:83" s="10" customFormat="1" ht="15.75" thickTop="1" x14ac:dyDescent="0.25">
      <c r="A8" s="111" t="s">
        <v>8</v>
      </c>
      <c r="B8" s="112">
        <f>SUBTOTAL(103,Tableau_Lancer_la_requête_à_partir_de_Excel_Files10256789[Nom_MO])</f>
        <v>1</v>
      </c>
      <c r="C8" s="112"/>
      <c r="D8" s="113">
        <f>SUBTOTAL(109,Tableau_Lancer_la_requête_à_partir_de_Excel_Files10256789[''Coût total éligible''])</f>
        <v>189227</v>
      </c>
      <c r="E8" s="113">
        <f>SUBTOTAL(109,Tableau_Lancer_la_requête_à_partir_de_Excel_Files10256789[Aide 
publique])</f>
        <v>129905</v>
      </c>
      <c r="F8" s="114"/>
      <c r="G8" s="113">
        <f>SUBTOTAL(109,Tableau_Lancer_la_requête_à_partir_de_Excel_Files10256789[Aide Massif])</f>
        <v>73137</v>
      </c>
      <c r="H8" s="114"/>
      <c r="I8" s="113">
        <f>SUBTOTAL(109,Tableau_Lancer_la_requête_à_partir_de_Excel_Files10256789[''FEDER''])</f>
        <v>64337</v>
      </c>
      <c r="J8" s="113">
        <f>SUBTOTAL(109,Tableau_Lancer_la_requête_à_partir_de_Excel_Files10256789[Total Etat])</f>
        <v>0</v>
      </c>
      <c r="K8" s="111"/>
      <c r="L8" s="113">
        <f>SUBTOTAL(109,Tableau_Lancer_la_requête_à_partir_de_Excel_Files10256789[''Agriculture''])</f>
        <v>0</v>
      </c>
      <c r="M8" s="113">
        <f>SUBTOTAL(109,Tableau_Lancer_la_requête_à_partir_de_Excel_Files10256789[Total Régions])</f>
        <v>8800</v>
      </c>
      <c r="N8" s="113">
        <f>SUBTOTAL(109,Tableau_Lancer_la_requête_à_partir_de_Excel_Files10256789[''ALPC''])</f>
        <v>0</v>
      </c>
      <c r="O8" s="113">
        <f>SUBTOTAL(109,Tableau_Lancer_la_requête_à_partir_de_Excel_Files10256789[''AURA''])</f>
        <v>8800</v>
      </c>
      <c r="P8" s="113">
        <f>SUBTOTAL(109,Tableau_Lancer_la_requête_à_partir_de_Excel_Files10256789[''BFC''])</f>
        <v>0</v>
      </c>
      <c r="Q8" s="113">
        <f>SUBTOTAL(109,Tableau_Lancer_la_requête_à_partir_de_Excel_Files10256789[''LRMP''])</f>
        <v>0</v>
      </c>
      <c r="R8" s="113">
        <f>SUBTOTAL(109,Tableau_Lancer_la_requête_à_partir_de_Excel_Files10256789[Total Dpts])</f>
        <v>0</v>
      </c>
      <c r="S8" s="113">
        <f>SUBTOTAL(109,Tableau_Lancer_la_requête_à_partir_de_Excel_Files10256789[''03''])</f>
        <v>0</v>
      </c>
      <c r="T8" s="113">
        <f>SUBTOTAL(109,Tableau_Lancer_la_requête_à_partir_de_Excel_Files10256789[''07''])</f>
        <v>0</v>
      </c>
      <c r="U8" s="113">
        <f>SUBTOTAL(109,Tableau_Lancer_la_requête_à_partir_de_Excel_Files10256789[''11''])</f>
        <v>0</v>
      </c>
      <c r="V8" s="113">
        <f>SUBTOTAL(109,Tableau_Lancer_la_requête_à_partir_de_Excel_Files10256789[''12''])</f>
        <v>0</v>
      </c>
      <c r="W8" s="113">
        <f>SUBTOTAL(109,Tableau_Lancer_la_requête_à_partir_de_Excel_Files10256789[''15''])</f>
        <v>0</v>
      </c>
      <c r="X8" s="113">
        <f>SUBTOTAL(109,Tableau_Lancer_la_requête_à_partir_de_Excel_Files10256789[''19''])</f>
        <v>0</v>
      </c>
      <c r="Y8" s="113">
        <f>SUBTOTAL(109,Tableau_Lancer_la_requête_à_partir_de_Excel_Files10256789[''21''])</f>
        <v>0</v>
      </c>
      <c r="Z8" s="113">
        <f>SUBTOTAL(109,Tableau_Lancer_la_requête_à_partir_de_Excel_Files10256789[''23''])</f>
        <v>0</v>
      </c>
      <c r="AA8" s="113">
        <f>SUBTOTAL(109,Tableau_Lancer_la_requête_à_partir_de_Excel_Files10256789[''30''])</f>
        <v>0</v>
      </c>
      <c r="AB8" s="113">
        <f>SUBTOTAL(109,Tableau_Lancer_la_requête_à_partir_de_Excel_Files10256789[''34''])</f>
        <v>0</v>
      </c>
      <c r="AC8" s="113">
        <f>SUBTOTAL(109,Tableau_Lancer_la_requête_à_partir_de_Excel_Files10256789[''42''])</f>
        <v>0</v>
      </c>
      <c r="AD8" s="113">
        <f>SUBTOTAL(109,Tableau_Lancer_la_requête_à_partir_de_Excel_Files10256789[''43''])</f>
        <v>0</v>
      </c>
      <c r="AE8" s="113">
        <f>SUBTOTAL(109,Tableau_Lancer_la_requête_à_partir_de_Excel_Files10256789[''46''])</f>
        <v>0</v>
      </c>
      <c r="AF8" s="113">
        <f>SUBTOTAL(109,Tableau_Lancer_la_requête_à_partir_de_Excel_Files10256789[''48''])</f>
        <v>0</v>
      </c>
      <c r="AG8" s="113">
        <f>SUBTOTAL(109,Tableau_Lancer_la_requête_à_partir_de_Excel_Files10256789[''58''])</f>
        <v>0</v>
      </c>
      <c r="AH8" s="113">
        <f>SUBTOTAL(109,Tableau_Lancer_la_requête_à_partir_de_Excel_Files10256789[''63''])</f>
        <v>0</v>
      </c>
      <c r="AI8" s="113">
        <f>SUBTOTAL(109,Tableau_Lancer_la_requête_à_partir_de_Excel_Files10256789[''69''])</f>
        <v>0</v>
      </c>
      <c r="AJ8" s="113">
        <f>SUBTOTAL(109,Tableau_Lancer_la_requête_à_partir_de_Excel_Files10256789[''71''])</f>
        <v>0</v>
      </c>
      <c r="AK8" s="113">
        <f>SUBTOTAL(109,Tableau_Lancer_la_requête_à_partir_de_Excel_Files10256789[''81''])</f>
        <v>0</v>
      </c>
      <c r="AL8" s="113">
        <f>SUBTOTAL(109,Tableau_Lancer_la_requête_à_partir_de_Excel_Files10256789[''82''])</f>
        <v>0</v>
      </c>
      <c r="AM8" s="113">
        <f>SUBTOTAL(109,Tableau_Lancer_la_requête_à_partir_de_Excel_Files10256789[''87''])</f>
        <v>0</v>
      </c>
      <c r="AN8" s="113">
        <f>SUBTOTAL(109,Tableau_Lancer_la_requête_à_partir_de_Excel_Files10256789[''89''])</f>
        <v>0</v>
      </c>
      <c r="AO8" s="113">
        <f>SUBTOTAL(109,Tableau_Lancer_la_requête_à_partir_de_Excel_Files10256789[''Autre Public''])</f>
        <v>56768</v>
      </c>
      <c r="AP8" s="111"/>
      <c r="AQ8" s="111"/>
      <c r="AR8" s="116"/>
      <c r="AT8" s="30"/>
    </row>
    <row r="9" spans="1:83" s="10" customFormat="1" x14ac:dyDescent="0.25">
      <c r="B9" s="5"/>
      <c r="C9" s="5"/>
      <c r="D9" s="58"/>
      <c r="E9" s="58"/>
      <c r="F9" s="59"/>
      <c r="G9" s="58"/>
      <c r="H9" s="59"/>
      <c r="I9" s="58"/>
      <c r="J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R9" s="3"/>
      <c r="AT9" s="3"/>
    </row>
    <row r="10" spans="1:83" s="10" customFormat="1" hidden="1" x14ac:dyDescent="0.25">
      <c r="A10" s="3"/>
      <c r="B10" s="4"/>
      <c r="C10" s="5"/>
      <c r="D10" s="3"/>
      <c r="E10" s="3" t="s">
        <v>85</v>
      </c>
      <c r="F10" s="6" t="s">
        <v>84</v>
      </c>
      <c r="G10" s="3"/>
      <c r="H10" s="6"/>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T10" s="3"/>
    </row>
    <row r="11" spans="1:83" hidden="1" x14ac:dyDescent="0.25">
      <c r="D11" t="s">
        <v>58</v>
      </c>
      <c r="E11" s="3">
        <f>H11+I11</f>
        <v>64337</v>
      </c>
      <c r="F11" s="3">
        <f>M11+R11</f>
        <v>64337</v>
      </c>
      <c r="H11" s="3">
        <f>SUMIF(Tableau_Lancer_la_requête_à_partir_de_Excel_Files10256789[Avis Prog],"1-Favorable",Tableau_Lancer_la_requête_à_partir_de_Excel_Files10256789[''FEDER''])</f>
        <v>64337</v>
      </c>
      <c r="I11" s="3">
        <f>SUMIF(Tableau_Lancer_la_requête_à_partir_de_Excel_Files10256789[Avis Prog],"2-Favorable sous réserve",Tableau_Lancer_la_requête_à_partir_de_Excel_Files10256789[''FEDER''])</f>
        <v>0</v>
      </c>
      <c r="M11" s="3">
        <f>SUMIF(Tableau_Lancer_la_requête_à_partir_de_Excel_Files10256789[Avis Cofimac],"1-Favorable",Tableau_Lancer_la_requête_à_partir_de_Excel_Files10256789[''FEDER''])</f>
        <v>64337</v>
      </c>
      <c r="R11" s="3">
        <f>SUMIF(Tableau_Lancer_la_requête_à_partir_de_Excel_Files10256789[Avis Cofimac],"2-Favorable sous réserve",Tableau_Lancer_la_requête_à_partir_de_Excel_Files10256789[''FEDER''])</f>
        <v>0</v>
      </c>
      <c r="CD11" s="4"/>
      <c r="CE11" s="3"/>
    </row>
    <row r="12" spans="1:83" hidden="1" x14ac:dyDescent="0.25">
      <c r="D12" t="s">
        <v>46</v>
      </c>
      <c r="E12" s="3">
        <f t="shared" ref="E12:E40" si="0">H12+I12</f>
        <v>0</v>
      </c>
      <c r="F12" s="3">
        <f t="shared" ref="F12:F40" si="1">M12+R12</f>
        <v>0</v>
      </c>
      <c r="H12" s="3">
        <f>SUMIF(Tableau_Lancer_la_requête_à_partir_de_Excel_Files10256789[Avis Prog],"1-Favorable",Tableau_Lancer_la_requête_à_partir_de_Excel_Files10256789[Total Etat])</f>
        <v>0</v>
      </c>
      <c r="I12" s="3">
        <f>SUMIF(Tableau_Lancer_la_requête_à_partir_de_Excel_Files10256789[Avis Prog],"2-Favorable sous réserve",Tableau_Lancer_la_requête_à_partir_de_Excel_Files10256789[Total Etat])</f>
        <v>0</v>
      </c>
      <c r="M12" s="3">
        <f>SUMIF(Tableau_Lancer_la_requête_à_partir_de_Excel_Files10256789[Avis Cofimac],"1-Favorable",Tableau_Lancer_la_requête_à_partir_de_Excel_Files10256789[Total Etat])</f>
        <v>0</v>
      </c>
      <c r="R12" s="3">
        <f>SUMIF(Tableau_Lancer_la_requête_à_partir_de_Excel_Files10256789[Avis Cofimac],"2-Favorable sous réserve",Tableau_Lancer_la_requête_à_partir_de_Excel_Files10256789[Total Etat])</f>
        <v>0</v>
      </c>
    </row>
    <row r="13" spans="1:83" hidden="1" x14ac:dyDescent="0.25">
      <c r="D13" t="s">
        <v>47</v>
      </c>
      <c r="E13" s="3">
        <f t="shared" si="0"/>
        <v>8800</v>
      </c>
      <c r="F13" s="3">
        <f t="shared" si="1"/>
        <v>8800</v>
      </c>
      <c r="H13" s="3">
        <f>SUMIF(Tableau_Lancer_la_requête_à_partir_de_Excel_Files10256789[Avis Prog],"1-Favorable",Tableau_Lancer_la_requête_à_partir_de_Excel_Files10256789[Total Régions])</f>
        <v>8800</v>
      </c>
      <c r="I13" s="3">
        <f>SUMIF(Tableau_Lancer_la_requête_à_partir_de_Excel_Files10256789[Avis Prog],"2-Favorable sous réserve",Tableau_Lancer_la_requête_à_partir_de_Excel_Files10256789[Total Régions])</f>
        <v>0</v>
      </c>
      <c r="M13" s="3">
        <f>SUMIF(Tableau_Lancer_la_requête_à_partir_de_Excel_Files10256789[Avis Cofimac],"1-Favorable",Tableau_Lancer_la_requête_à_partir_de_Excel_Files10256789[Total Régions])</f>
        <v>8800</v>
      </c>
      <c r="R13" s="3">
        <f>SUMIF(Tableau_Lancer_la_requête_à_partir_de_Excel_Files10256789[Avis Cofimac],"2-Favorable sous réserve",Tableau_Lancer_la_requête_à_partir_de_Excel_Files10256789[Total Régions])</f>
        <v>0</v>
      </c>
    </row>
    <row r="14" spans="1:83" hidden="1" x14ac:dyDescent="0.25">
      <c r="D14" s="3" t="s">
        <v>59</v>
      </c>
      <c r="E14" s="3">
        <f t="shared" si="0"/>
        <v>0</v>
      </c>
      <c r="F14" s="3">
        <f t="shared" si="1"/>
        <v>0</v>
      </c>
      <c r="H14" s="3">
        <f>SUMIF(Tableau_Lancer_la_requête_à_partir_de_Excel_Files10256789[Avis Prog],"1-Favorable",Tableau_Lancer_la_requête_à_partir_de_Excel_Files10256789[''ALPC''])</f>
        <v>0</v>
      </c>
      <c r="I14" s="3">
        <f>SUMIF(Tableau_Lancer_la_requête_à_partir_de_Excel_Files10256789[Avis Prog],"2-Favorable sous réserve",Tableau_Lancer_la_requête_à_partir_de_Excel_Files10256789[''ALPC''])</f>
        <v>0</v>
      </c>
      <c r="M14" s="3">
        <f>SUMIF(Tableau_Lancer_la_requête_à_partir_de_Excel_Files10256789[Avis Cofimac],"1-Favorable",Tableau_Lancer_la_requête_à_partir_de_Excel_Files10256789[''ALPC''])</f>
        <v>0</v>
      </c>
      <c r="R14" s="3">
        <f>SUMIF(Tableau_Lancer_la_requête_à_partir_de_Excel_Files10256789[Avis Cofimac],"2-Favorable sous réserve",Tableau_Lancer_la_requête_à_partir_de_Excel_Files10256789[''ALPC''])</f>
        <v>0</v>
      </c>
    </row>
    <row r="15" spans="1:83" hidden="1" x14ac:dyDescent="0.25">
      <c r="D15" s="3" t="s">
        <v>60</v>
      </c>
      <c r="E15" s="3">
        <f t="shared" si="0"/>
        <v>8800</v>
      </c>
      <c r="F15" s="3">
        <f t="shared" si="1"/>
        <v>8800</v>
      </c>
      <c r="H15" s="3">
        <f>SUMIF(Tableau_Lancer_la_requête_à_partir_de_Excel_Files10256789[Avis Prog],"1-Favorable",Tableau_Lancer_la_requête_à_partir_de_Excel_Files10256789[''AURA''])</f>
        <v>8800</v>
      </c>
      <c r="I15" s="3">
        <f>SUMIF(Tableau_Lancer_la_requête_à_partir_de_Excel_Files10256789[Avis Prog],"2-Favorable sous réserve",Tableau_Lancer_la_requête_à_partir_de_Excel_Files10256789[''AURA''])</f>
        <v>0</v>
      </c>
      <c r="M15" s="3">
        <f>SUMIF(Tableau_Lancer_la_requête_à_partir_de_Excel_Files10256789[Avis Cofimac],"1-Favorable",Tableau_Lancer_la_requête_à_partir_de_Excel_Files10256789[''AURA''])</f>
        <v>8800</v>
      </c>
      <c r="R15" s="3">
        <f>SUMIF(Tableau_Lancer_la_requête_à_partir_de_Excel_Files10256789[Avis Cofimac],"2-Favorable sous réserve",Tableau_Lancer_la_requête_à_partir_de_Excel_Files10256789[''AURA''])</f>
        <v>0</v>
      </c>
    </row>
    <row r="16" spans="1:83" hidden="1" x14ac:dyDescent="0.25">
      <c r="D16" s="3" t="s">
        <v>61</v>
      </c>
      <c r="E16" s="3">
        <f t="shared" si="0"/>
        <v>0</v>
      </c>
      <c r="F16" s="3">
        <f t="shared" si="1"/>
        <v>0</v>
      </c>
      <c r="H16" s="3">
        <f>SUMIF(Tableau_Lancer_la_requête_à_partir_de_Excel_Files10256789[Avis Prog],"1-Favorable",Tableau_Lancer_la_requête_à_partir_de_Excel_Files10256789[''BFC''])</f>
        <v>0</v>
      </c>
      <c r="I16" s="3">
        <f>SUMIF(Tableau_Lancer_la_requête_à_partir_de_Excel_Files10256789[Avis Prog],"2-Favorable sous réserve",Tableau_Lancer_la_requête_à_partir_de_Excel_Files10256789[''BFC''])</f>
        <v>0</v>
      </c>
      <c r="M16" s="3">
        <f>SUMIF(Tableau_Lancer_la_requête_à_partir_de_Excel_Files10256789[Avis Cofimac],"1-Favorable",Tableau_Lancer_la_requête_à_partir_de_Excel_Files10256789[''BFC''])</f>
        <v>0</v>
      </c>
      <c r="R16" s="3">
        <f>SUMIF(Tableau_Lancer_la_requête_à_partir_de_Excel_Files10256789[Avis Cofimac],"2-Favorable sous réserve",Tableau_Lancer_la_requête_à_partir_de_Excel_Files10256789[''BFC''])</f>
        <v>0</v>
      </c>
    </row>
    <row r="17" spans="4:18" hidden="1" x14ac:dyDescent="0.25">
      <c r="D17" s="3" t="s">
        <v>62</v>
      </c>
      <c r="E17" s="3">
        <f t="shared" si="0"/>
        <v>0</v>
      </c>
      <c r="F17" s="3">
        <f t="shared" si="1"/>
        <v>0</v>
      </c>
      <c r="H17" s="3">
        <f>SUMIF(Tableau_Lancer_la_requête_à_partir_de_Excel_Files10256789[Avis Prog],"1-Favorable",Tableau_Lancer_la_requête_à_partir_de_Excel_Files10256789[''LRMP''])</f>
        <v>0</v>
      </c>
      <c r="I17" s="3">
        <f>SUMIF(Tableau_Lancer_la_requête_à_partir_de_Excel_Files10256789[Avis Prog],"2-Favorable sous réserve",Tableau_Lancer_la_requête_à_partir_de_Excel_Files10256789[''LRMP''])</f>
        <v>0</v>
      </c>
      <c r="M17" s="3">
        <f>SUMIF(Tableau_Lancer_la_requête_à_partir_de_Excel_Files10256789[Avis Cofimac],"1-Favorable",Tableau_Lancer_la_requête_à_partir_de_Excel_Files10256789[''LRMP''])</f>
        <v>0</v>
      </c>
      <c r="R17" s="3">
        <f>SUMIF(Tableau_Lancer_la_requête_à_partir_de_Excel_Files10256789[Avis Cofimac],"2-Favorable sous réserve",Tableau_Lancer_la_requête_à_partir_de_Excel_Files10256789[''LRMP''])</f>
        <v>0</v>
      </c>
    </row>
    <row r="18" spans="4:18" hidden="1" x14ac:dyDescent="0.25">
      <c r="D18" t="s">
        <v>48</v>
      </c>
      <c r="E18" s="3">
        <f t="shared" si="0"/>
        <v>0</v>
      </c>
      <c r="F18" s="3">
        <f t="shared" si="1"/>
        <v>0</v>
      </c>
      <c r="H18" s="3">
        <f>SUMIF(Tableau_Lancer_la_requête_à_partir_de_Excel_Files10256789[Avis Prog],"1-Favorable",Tableau_Lancer_la_requête_à_partir_de_Excel_Files10256789[Total Dpts])</f>
        <v>0</v>
      </c>
      <c r="I18" s="3">
        <f>SUMIF(Tableau_Lancer_la_requête_à_partir_de_Excel_Files10256789[Avis Prog],"2-Favorable sous réserve",Tableau_Lancer_la_requête_à_partir_de_Excel_Files10256789[Total Dpts])</f>
        <v>0</v>
      </c>
      <c r="M18" s="3">
        <f>SUMIF(Tableau_Lancer_la_requête_à_partir_de_Excel_Files10256789[Avis Cofimac],"1-Favorable",Tableau_Lancer_la_requête_à_partir_de_Excel_Files10256789[Total Dpts])</f>
        <v>0</v>
      </c>
      <c r="R18" s="3">
        <f>SUMIF(Tableau_Lancer_la_requête_à_partir_de_Excel_Files10256789[Avis Cofimac],"2-Favorable sous réserve",Tableau_Lancer_la_requête_à_partir_de_Excel_Files10256789[Total Dpts])</f>
        <v>0</v>
      </c>
    </row>
    <row r="19" spans="4:18" hidden="1" x14ac:dyDescent="0.25">
      <c r="D19" t="s">
        <v>22</v>
      </c>
      <c r="E19" s="3">
        <f t="shared" si="0"/>
        <v>0</v>
      </c>
      <c r="F19" s="3">
        <f t="shared" si="1"/>
        <v>0</v>
      </c>
      <c r="H19" s="3">
        <f>SUMIF(Tableau_Lancer_la_requête_à_partir_de_Excel_Files10256789[Avis Prog],"1-Favorable",Tableau_Lancer_la_requête_à_partir_de_Excel_Files10256789[''03''])</f>
        <v>0</v>
      </c>
      <c r="I19" s="3">
        <f>SUMIF(Tableau_Lancer_la_requête_à_partir_de_Excel_Files10256789[Avis Prog],"2-Favorable sous réserve",Tableau_Lancer_la_requête_à_partir_de_Excel_Files10256789[''03''])</f>
        <v>0</v>
      </c>
      <c r="M19" s="3">
        <f>SUMIF(Tableau_Lancer_la_requête_à_partir_de_Excel_Files10256789[Avis Cofimac],"1-Favorable",Tableau_Lancer_la_requête_à_partir_de_Excel_Files10256789[''03''])</f>
        <v>0</v>
      </c>
      <c r="R19" s="3">
        <f>SUMIF(Tableau_Lancer_la_requête_à_partir_de_Excel_Files10256789[Avis Cofimac],"2-Favorable sous réserve",Tableau_Lancer_la_requête_à_partir_de_Excel_Files10256789[''03''])</f>
        <v>0</v>
      </c>
    </row>
    <row r="20" spans="4:18" hidden="1" x14ac:dyDescent="0.25">
      <c r="D20" t="s">
        <v>23</v>
      </c>
      <c r="E20" s="3">
        <f t="shared" si="0"/>
        <v>0</v>
      </c>
      <c r="F20" s="3">
        <f t="shared" si="1"/>
        <v>0</v>
      </c>
      <c r="H20" s="3">
        <f>SUMIF(Tableau_Lancer_la_requête_à_partir_de_Excel_Files10256789[Avis Prog],"1-Favorable",Tableau_Lancer_la_requête_à_partir_de_Excel_Files10256789[''07''])</f>
        <v>0</v>
      </c>
      <c r="I20" s="3">
        <f>SUMIF(Tableau_Lancer_la_requête_à_partir_de_Excel_Files10256789[Avis Prog],"2-Favorable sous réserve",Tableau_Lancer_la_requête_à_partir_de_Excel_Files10256789[''07''])</f>
        <v>0</v>
      </c>
      <c r="M20" s="3">
        <f>SUMIF(Tableau_Lancer_la_requête_à_partir_de_Excel_Files10256789[Avis Cofimac],"1-Favorable",Tableau_Lancer_la_requête_à_partir_de_Excel_Files10256789[''07''])</f>
        <v>0</v>
      </c>
      <c r="R20" s="3">
        <f>SUMIF(Tableau_Lancer_la_requête_à_partir_de_Excel_Files10256789[Avis Cofimac],"2-Favorable sous réserve",Tableau_Lancer_la_requête_à_partir_de_Excel_Files10256789[''07''])</f>
        <v>0</v>
      </c>
    </row>
    <row r="21" spans="4:18" hidden="1" x14ac:dyDescent="0.25">
      <c r="D21" t="s">
        <v>24</v>
      </c>
      <c r="E21" s="3">
        <f t="shared" si="0"/>
        <v>0</v>
      </c>
      <c r="F21" s="3">
        <f t="shared" si="1"/>
        <v>0</v>
      </c>
      <c r="H21" s="3">
        <f>SUMIF(Tableau_Lancer_la_requête_à_partir_de_Excel_Files10256789[Avis Prog],"1-Favorable",Tableau_Lancer_la_requête_à_partir_de_Excel_Files10256789[''11''])</f>
        <v>0</v>
      </c>
      <c r="I21" s="3">
        <f>SUMIF(Tableau_Lancer_la_requête_à_partir_de_Excel_Files10256789[Avis Prog],"2-Favorable sous réserve",Tableau_Lancer_la_requête_à_partir_de_Excel_Files10256789[''11''])</f>
        <v>0</v>
      </c>
      <c r="M21" s="3">
        <f>SUMIF(Tableau_Lancer_la_requête_à_partir_de_Excel_Files10256789[Avis Cofimac],"1-Favorable",Tableau_Lancer_la_requête_à_partir_de_Excel_Files10256789[''11''])</f>
        <v>0</v>
      </c>
      <c r="R21" s="3">
        <f>SUMIF(Tableau_Lancer_la_requête_à_partir_de_Excel_Files10256789[Avis Cofimac],"2-Favorable sous réserve",Tableau_Lancer_la_requête_à_partir_de_Excel_Files10256789[''11''])</f>
        <v>0</v>
      </c>
    </row>
    <row r="22" spans="4:18" hidden="1" x14ac:dyDescent="0.25">
      <c r="D22" t="s">
        <v>25</v>
      </c>
      <c r="E22" s="3">
        <f t="shared" si="0"/>
        <v>0</v>
      </c>
      <c r="F22" s="3">
        <f t="shared" si="1"/>
        <v>0</v>
      </c>
      <c r="H22" s="3">
        <f>SUMIF(Tableau_Lancer_la_requête_à_partir_de_Excel_Files10256789[Avis Prog],"1-Favorable",Tableau_Lancer_la_requête_à_partir_de_Excel_Files10256789[''12''])</f>
        <v>0</v>
      </c>
      <c r="I22" s="3">
        <f>SUMIF(Tableau_Lancer_la_requête_à_partir_de_Excel_Files10256789[Avis Prog],"2-Favorable sous réserve",Tableau_Lancer_la_requête_à_partir_de_Excel_Files10256789[''12''])</f>
        <v>0</v>
      </c>
      <c r="M22" s="3">
        <f>SUMIF(Tableau_Lancer_la_requête_à_partir_de_Excel_Files10256789[Avis Cofimac],"1-Favorable",Tableau_Lancer_la_requête_à_partir_de_Excel_Files10256789[''12''])</f>
        <v>0</v>
      </c>
      <c r="R22" s="3">
        <f>SUMIF(Tableau_Lancer_la_requête_à_partir_de_Excel_Files10256789[Avis Cofimac],"2-Favorable sous réserve",Tableau_Lancer_la_requête_à_partir_de_Excel_Files10256789[''12''])</f>
        <v>0</v>
      </c>
    </row>
    <row r="23" spans="4:18" hidden="1" x14ac:dyDescent="0.25">
      <c r="D23" t="s">
        <v>26</v>
      </c>
      <c r="E23" s="3">
        <f t="shared" si="0"/>
        <v>0</v>
      </c>
      <c r="F23" s="3">
        <f t="shared" si="1"/>
        <v>0</v>
      </c>
      <c r="H23" s="3">
        <f>SUMIF(Tableau_Lancer_la_requête_à_partir_de_Excel_Files10256789[Avis Prog],"1-Favorable",Tableau_Lancer_la_requête_à_partir_de_Excel_Files10256789[''15''])</f>
        <v>0</v>
      </c>
      <c r="I23" s="3">
        <f>SUMIF(Tableau_Lancer_la_requête_à_partir_de_Excel_Files10256789[Avis Prog],"2-Favorable sous réserve",Tableau_Lancer_la_requête_à_partir_de_Excel_Files10256789[''15''])</f>
        <v>0</v>
      </c>
      <c r="M23" s="3">
        <f>SUMIF(Tableau_Lancer_la_requête_à_partir_de_Excel_Files10256789[Avis Cofimac],"1-Favorable",Tableau_Lancer_la_requête_à_partir_de_Excel_Files10256789[''15''])</f>
        <v>0</v>
      </c>
      <c r="R23" s="3">
        <f>SUMIF(Tableau_Lancer_la_requête_à_partir_de_Excel_Files10256789[Avis Cofimac],"2-Favorable sous réserve",Tableau_Lancer_la_requête_à_partir_de_Excel_Files10256789[''15''])</f>
        <v>0</v>
      </c>
    </row>
    <row r="24" spans="4:18" hidden="1" x14ac:dyDescent="0.25">
      <c r="D24" t="s">
        <v>27</v>
      </c>
      <c r="E24" s="3">
        <f t="shared" si="0"/>
        <v>0</v>
      </c>
      <c r="F24" s="3">
        <f t="shared" si="1"/>
        <v>0</v>
      </c>
      <c r="H24" s="3">
        <f>SUMIF(Tableau_Lancer_la_requête_à_partir_de_Excel_Files10256789[Avis Prog],"1-Favorable",Tableau_Lancer_la_requête_à_partir_de_Excel_Files10256789[''19''])</f>
        <v>0</v>
      </c>
      <c r="I24" s="3">
        <f>SUMIF(Tableau_Lancer_la_requête_à_partir_de_Excel_Files10256789[Avis Prog],"2-Favorable sous réserve",Tableau_Lancer_la_requête_à_partir_de_Excel_Files10256789[''19''])</f>
        <v>0</v>
      </c>
      <c r="M24" s="3">
        <f>SUMIF(Tableau_Lancer_la_requête_à_partir_de_Excel_Files10256789[Avis Cofimac],"1-Favorable",Tableau_Lancer_la_requête_à_partir_de_Excel_Files10256789[''19''])</f>
        <v>0</v>
      </c>
      <c r="R24" s="3">
        <f>SUMIF(Tableau_Lancer_la_requête_à_partir_de_Excel_Files10256789[Avis Cofimac],"2-Favorable sous réserve",Tableau_Lancer_la_requête_à_partir_de_Excel_Files10256789[''19''])</f>
        <v>0</v>
      </c>
    </row>
    <row r="25" spans="4:18" hidden="1" x14ac:dyDescent="0.25">
      <c r="D25" t="s">
        <v>28</v>
      </c>
      <c r="E25" s="3">
        <f t="shared" si="0"/>
        <v>0</v>
      </c>
      <c r="F25" s="3">
        <f t="shared" si="1"/>
        <v>0</v>
      </c>
      <c r="H25" s="3">
        <f>SUMIF(Tableau_Lancer_la_requête_à_partir_de_Excel_Files10256789[Avis Prog],"1-Favorable",Tableau_Lancer_la_requête_à_partir_de_Excel_Files10256789[''21''])</f>
        <v>0</v>
      </c>
      <c r="I25" s="3">
        <f>SUMIF(Tableau_Lancer_la_requête_à_partir_de_Excel_Files10256789[Avis Prog],"2-Favorable sous réserve",Tableau_Lancer_la_requête_à_partir_de_Excel_Files10256789[''21''])</f>
        <v>0</v>
      </c>
      <c r="M25" s="3">
        <f>SUMIF(Tableau_Lancer_la_requête_à_partir_de_Excel_Files10256789[Avis Cofimac],"1-Favorable",Tableau_Lancer_la_requête_à_partir_de_Excel_Files10256789[''21''])</f>
        <v>0</v>
      </c>
      <c r="R25" s="3">
        <f>SUMIF(Tableau_Lancer_la_requête_à_partir_de_Excel_Files10256789[Avis Cofimac],"2-Favorable sous réserve",Tableau_Lancer_la_requête_à_partir_de_Excel_Files10256789[''21''])</f>
        <v>0</v>
      </c>
    </row>
    <row r="26" spans="4:18" hidden="1" x14ac:dyDescent="0.25">
      <c r="D26" t="s">
        <v>29</v>
      </c>
      <c r="E26" s="3">
        <f t="shared" si="0"/>
        <v>0</v>
      </c>
      <c r="F26" s="3">
        <f t="shared" si="1"/>
        <v>0</v>
      </c>
      <c r="H26" s="3">
        <f>SUMIF(Tableau_Lancer_la_requête_à_partir_de_Excel_Files10256789[Avis Prog],"1-Favorable",Tableau_Lancer_la_requête_à_partir_de_Excel_Files10256789[''23''])</f>
        <v>0</v>
      </c>
      <c r="I26" s="3">
        <f>SUMIF(Tableau_Lancer_la_requête_à_partir_de_Excel_Files10256789[Avis Prog],"2-Favorable sous réserve",Tableau_Lancer_la_requête_à_partir_de_Excel_Files10256789[''23''])</f>
        <v>0</v>
      </c>
      <c r="M26" s="3">
        <f>SUMIF(Tableau_Lancer_la_requête_à_partir_de_Excel_Files10256789[Avis Cofimac],"1-Favorable",Tableau_Lancer_la_requête_à_partir_de_Excel_Files10256789[''23''])</f>
        <v>0</v>
      </c>
      <c r="R26" s="3">
        <f>SUMIF(Tableau_Lancer_la_requête_à_partir_de_Excel_Files10256789[Avis Cofimac],"2-Favorable sous réserve",Tableau_Lancer_la_requête_à_partir_de_Excel_Files10256789[''23''])</f>
        <v>0</v>
      </c>
    </row>
    <row r="27" spans="4:18" hidden="1" x14ac:dyDescent="0.25">
      <c r="D27" t="s">
        <v>30</v>
      </c>
      <c r="E27" s="3">
        <f t="shared" si="0"/>
        <v>0</v>
      </c>
      <c r="F27" s="3">
        <f t="shared" si="1"/>
        <v>0</v>
      </c>
      <c r="H27" s="3">
        <f>SUMIF(Tableau_Lancer_la_requête_à_partir_de_Excel_Files10256789[Avis Prog],"1-Favorable",Tableau_Lancer_la_requête_à_partir_de_Excel_Files10256789[''30''])</f>
        <v>0</v>
      </c>
      <c r="I27" s="3">
        <f>SUMIF(Tableau_Lancer_la_requête_à_partir_de_Excel_Files10256789[Avis Prog],"2-Favorable sous réserve",Tableau_Lancer_la_requête_à_partir_de_Excel_Files10256789[''30''])</f>
        <v>0</v>
      </c>
      <c r="M27" s="3">
        <f>SUMIF(Tableau_Lancer_la_requête_à_partir_de_Excel_Files10256789[Avis Cofimac],"1-Favorable",Tableau_Lancer_la_requête_à_partir_de_Excel_Files10256789[''30''])</f>
        <v>0</v>
      </c>
      <c r="R27" s="3">
        <f>SUMIF(Tableau_Lancer_la_requête_à_partir_de_Excel_Files10256789[Avis Cofimac],"2-Favorable sous réserve",Tableau_Lancer_la_requête_à_partir_de_Excel_Files10256789[''30''])</f>
        <v>0</v>
      </c>
    </row>
    <row r="28" spans="4:18" hidden="1" x14ac:dyDescent="0.25">
      <c r="D28" t="s">
        <v>31</v>
      </c>
      <c r="E28" s="3">
        <f t="shared" si="0"/>
        <v>0</v>
      </c>
      <c r="F28" s="3">
        <f t="shared" si="1"/>
        <v>0</v>
      </c>
      <c r="H28" s="3">
        <f>SUMIF(Tableau_Lancer_la_requête_à_partir_de_Excel_Files10256789[Avis Prog],"1-Favorable",Tableau_Lancer_la_requête_à_partir_de_Excel_Files10256789[''34''])</f>
        <v>0</v>
      </c>
      <c r="I28" s="3">
        <f>SUMIF(Tableau_Lancer_la_requête_à_partir_de_Excel_Files10256789[Avis Prog],"2-Favorable sous réserve",Tableau_Lancer_la_requête_à_partir_de_Excel_Files10256789[''34''])</f>
        <v>0</v>
      </c>
      <c r="M28" s="3">
        <f>SUMIF(Tableau_Lancer_la_requête_à_partir_de_Excel_Files10256789[Avis Cofimac],"1-Favorable",Tableau_Lancer_la_requête_à_partir_de_Excel_Files10256789[''34''])</f>
        <v>0</v>
      </c>
      <c r="R28" s="3">
        <f>SUMIF(Tableau_Lancer_la_requête_à_partir_de_Excel_Files10256789[Avis Cofimac],"2-Favorable sous réserve",Tableau_Lancer_la_requête_à_partir_de_Excel_Files10256789[''34''])</f>
        <v>0</v>
      </c>
    </row>
    <row r="29" spans="4:18" hidden="1" x14ac:dyDescent="0.25">
      <c r="D29" t="s">
        <v>32</v>
      </c>
      <c r="E29" s="3">
        <f t="shared" si="0"/>
        <v>0</v>
      </c>
      <c r="F29" s="3">
        <f t="shared" si="1"/>
        <v>0</v>
      </c>
      <c r="H29" s="3">
        <f>SUMIF(Tableau_Lancer_la_requête_à_partir_de_Excel_Files10256789[Avis Prog],"1-Favorable",Tableau_Lancer_la_requête_à_partir_de_Excel_Files10256789[''42''])</f>
        <v>0</v>
      </c>
      <c r="I29" s="3">
        <f>SUMIF(Tableau_Lancer_la_requête_à_partir_de_Excel_Files10256789[Avis Prog],"2-Favorable sous réserve",Tableau_Lancer_la_requête_à_partir_de_Excel_Files10256789[''42''])</f>
        <v>0</v>
      </c>
      <c r="M29" s="3">
        <f>SUMIF(Tableau_Lancer_la_requête_à_partir_de_Excel_Files10256789[Avis Cofimac],"1-Favorable",Tableau_Lancer_la_requête_à_partir_de_Excel_Files10256789[''42''])</f>
        <v>0</v>
      </c>
      <c r="R29" s="3">
        <f>SUMIF(Tableau_Lancer_la_requête_à_partir_de_Excel_Files10256789[Avis Cofimac],"2-Favorable sous réserve",Tableau_Lancer_la_requête_à_partir_de_Excel_Files10256789[''42''])</f>
        <v>0</v>
      </c>
    </row>
    <row r="30" spans="4:18" hidden="1" x14ac:dyDescent="0.25">
      <c r="D30" t="s">
        <v>33</v>
      </c>
      <c r="E30" s="3">
        <f t="shared" si="0"/>
        <v>0</v>
      </c>
      <c r="F30" s="3">
        <f t="shared" si="1"/>
        <v>0</v>
      </c>
      <c r="H30" s="3">
        <f>SUMIF(Tableau_Lancer_la_requête_à_partir_de_Excel_Files10256789[Avis Prog],"1-Favorable",Tableau_Lancer_la_requête_à_partir_de_Excel_Files10256789[''43''])</f>
        <v>0</v>
      </c>
      <c r="I30" s="3">
        <f>SUMIF(Tableau_Lancer_la_requête_à_partir_de_Excel_Files10256789[Avis Prog],"2-Favorable sous réserve",Tableau_Lancer_la_requête_à_partir_de_Excel_Files10256789[''43''])</f>
        <v>0</v>
      </c>
      <c r="M30" s="3">
        <f>SUMIF(Tableau_Lancer_la_requête_à_partir_de_Excel_Files10256789[Avis Cofimac],"1-Favorable",Tableau_Lancer_la_requête_à_partir_de_Excel_Files10256789[''43''])</f>
        <v>0</v>
      </c>
      <c r="R30" s="3">
        <f>SUMIF(Tableau_Lancer_la_requête_à_partir_de_Excel_Files10256789[Avis Cofimac],"2-Favorable sous réserve",Tableau_Lancer_la_requête_à_partir_de_Excel_Files10256789[''43''])</f>
        <v>0</v>
      </c>
    </row>
    <row r="31" spans="4:18" hidden="1" x14ac:dyDescent="0.25">
      <c r="D31" t="s">
        <v>34</v>
      </c>
      <c r="E31" s="3">
        <f t="shared" si="0"/>
        <v>0</v>
      </c>
      <c r="F31" s="3">
        <f t="shared" si="1"/>
        <v>0</v>
      </c>
      <c r="H31" s="3">
        <f>SUMIF(Tableau_Lancer_la_requête_à_partir_de_Excel_Files10256789[Avis Prog],"1-Favorable",Tableau_Lancer_la_requête_à_partir_de_Excel_Files10256789[''46''])</f>
        <v>0</v>
      </c>
      <c r="I31" s="3">
        <f>SUMIF(Tableau_Lancer_la_requête_à_partir_de_Excel_Files10256789[Avis Prog],"2-Favorable sous réserve",Tableau_Lancer_la_requête_à_partir_de_Excel_Files10256789[''46''])</f>
        <v>0</v>
      </c>
      <c r="M31" s="3">
        <f>SUMIF(Tableau_Lancer_la_requête_à_partir_de_Excel_Files10256789[Avis Cofimac],"1-Favorable",Tableau_Lancer_la_requête_à_partir_de_Excel_Files10256789[''46''])</f>
        <v>0</v>
      </c>
      <c r="R31" s="3">
        <f>SUMIF(Tableau_Lancer_la_requête_à_partir_de_Excel_Files10256789[Avis Cofimac],"2-Favorable sous réserve",Tableau_Lancer_la_requête_à_partir_de_Excel_Files10256789[''46''])</f>
        <v>0</v>
      </c>
    </row>
    <row r="32" spans="4:18" hidden="1" x14ac:dyDescent="0.25">
      <c r="D32" t="s">
        <v>35</v>
      </c>
      <c r="E32" s="3">
        <f t="shared" si="0"/>
        <v>0</v>
      </c>
      <c r="F32" s="3">
        <f t="shared" si="1"/>
        <v>0</v>
      </c>
      <c r="H32" s="3">
        <f>SUMIF(Tableau_Lancer_la_requête_à_partir_de_Excel_Files10256789[Avis Prog],"1-Favorable",Tableau_Lancer_la_requête_à_partir_de_Excel_Files10256789[''48''])</f>
        <v>0</v>
      </c>
      <c r="I32" s="3">
        <f>SUMIF(Tableau_Lancer_la_requête_à_partir_de_Excel_Files10256789[Avis Prog],"2-Favorable sous réserve",Tableau_Lancer_la_requête_à_partir_de_Excel_Files10256789[''48''])</f>
        <v>0</v>
      </c>
      <c r="M32" s="3">
        <f>SUMIF(Tableau_Lancer_la_requête_à_partir_de_Excel_Files10256789[Avis Cofimac],"1-Favorable",Tableau_Lancer_la_requête_à_partir_de_Excel_Files10256789[''48''])</f>
        <v>0</v>
      </c>
      <c r="R32" s="3">
        <f>SUMIF(Tableau_Lancer_la_requête_à_partir_de_Excel_Files10256789[Avis Cofimac],"2-Favorable sous réserve",Tableau_Lancer_la_requête_à_partir_de_Excel_Files10256789[''48''])</f>
        <v>0</v>
      </c>
    </row>
    <row r="33" spans="4:18" hidden="1" x14ac:dyDescent="0.25">
      <c r="D33" t="s">
        <v>36</v>
      </c>
      <c r="E33" s="3">
        <f t="shared" si="0"/>
        <v>0</v>
      </c>
      <c r="F33" s="3">
        <f t="shared" si="1"/>
        <v>0</v>
      </c>
      <c r="H33" s="3">
        <f>SUMIF(Tableau_Lancer_la_requête_à_partir_de_Excel_Files10256789[Avis Prog],"1-Favorable",Tableau_Lancer_la_requête_à_partir_de_Excel_Files10256789[''58''])</f>
        <v>0</v>
      </c>
      <c r="I33" s="3">
        <f>SUMIF(Tableau_Lancer_la_requête_à_partir_de_Excel_Files10256789[Avis Prog],"2-Favorable sous réserve",Tableau_Lancer_la_requête_à_partir_de_Excel_Files10256789[''58''])</f>
        <v>0</v>
      </c>
      <c r="M33" s="3">
        <f>SUMIF(Tableau_Lancer_la_requête_à_partir_de_Excel_Files10256789[Avis Cofimac],"1-Favorable",Tableau_Lancer_la_requête_à_partir_de_Excel_Files10256789[''58''])</f>
        <v>0</v>
      </c>
      <c r="R33" s="3">
        <f>SUMIF(Tableau_Lancer_la_requête_à_partir_de_Excel_Files10256789[Avis Cofimac],"2-Favorable sous réserve",Tableau_Lancer_la_requête_à_partir_de_Excel_Files10256789[''58''])</f>
        <v>0</v>
      </c>
    </row>
    <row r="34" spans="4:18" hidden="1" x14ac:dyDescent="0.25">
      <c r="D34" t="s">
        <v>37</v>
      </c>
      <c r="E34" s="3">
        <f t="shared" si="0"/>
        <v>0</v>
      </c>
      <c r="F34" s="3">
        <f t="shared" si="1"/>
        <v>0</v>
      </c>
      <c r="H34" s="3">
        <f>SUMIF(Tableau_Lancer_la_requête_à_partir_de_Excel_Files10256789[Avis Prog],"1-Favorable",Tableau_Lancer_la_requête_à_partir_de_Excel_Files10256789[''63''])</f>
        <v>0</v>
      </c>
      <c r="I34" s="3">
        <f>SUMIF(Tableau_Lancer_la_requête_à_partir_de_Excel_Files10256789[Avis Prog],"2-Favorable sous réserve",Tableau_Lancer_la_requête_à_partir_de_Excel_Files10256789[''63''])</f>
        <v>0</v>
      </c>
      <c r="M34" s="3">
        <f>SUMIF(Tableau_Lancer_la_requête_à_partir_de_Excel_Files10256789[Avis Cofimac],"1-Favorable",Tableau_Lancer_la_requête_à_partir_de_Excel_Files10256789[''63''])</f>
        <v>0</v>
      </c>
      <c r="R34" s="3">
        <f>SUMIF(Tableau_Lancer_la_requête_à_partir_de_Excel_Files10256789[Avis Cofimac],"2-Favorable sous réserve",Tableau_Lancer_la_requête_à_partir_de_Excel_Files10256789[''63''])</f>
        <v>0</v>
      </c>
    </row>
    <row r="35" spans="4:18" hidden="1" x14ac:dyDescent="0.25">
      <c r="D35" t="s">
        <v>38</v>
      </c>
      <c r="E35" s="3">
        <f t="shared" si="0"/>
        <v>0</v>
      </c>
      <c r="F35" s="3">
        <f t="shared" si="1"/>
        <v>0</v>
      </c>
      <c r="H35" s="3">
        <f>SUMIF(Tableau_Lancer_la_requête_à_partir_de_Excel_Files10256789[Avis Prog],"1-Favorable",Tableau_Lancer_la_requête_à_partir_de_Excel_Files10256789[''69''])</f>
        <v>0</v>
      </c>
      <c r="I35" s="3">
        <f>SUMIF(Tableau_Lancer_la_requête_à_partir_de_Excel_Files10256789[Avis Prog],"2-Favorable sous réserve",Tableau_Lancer_la_requête_à_partir_de_Excel_Files10256789[''69''])</f>
        <v>0</v>
      </c>
      <c r="M35" s="3">
        <f>SUMIF(Tableau_Lancer_la_requête_à_partir_de_Excel_Files10256789[Avis Cofimac],"1-Favorable",Tableau_Lancer_la_requête_à_partir_de_Excel_Files10256789[''69''])</f>
        <v>0</v>
      </c>
      <c r="R35" s="3">
        <f>SUMIF(Tableau_Lancer_la_requête_à_partir_de_Excel_Files10256789[Avis Cofimac],"2-Favorable sous réserve",Tableau_Lancer_la_requête_à_partir_de_Excel_Files10256789[''69''])</f>
        <v>0</v>
      </c>
    </row>
    <row r="36" spans="4:18" hidden="1" x14ac:dyDescent="0.25">
      <c r="D36" t="s">
        <v>39</v>
      </c>
      <c r="E36" s="3">
        <f t="shared" si="0"/>
        <v>0</v>
      </c>
      <c r="F36" s="3">
        <f t="shared" si="1"/>
        <v>0</v>
      </c>
      <c r="H36" s="3">
        <f>SUMIF(Tableau_Lancer_la_requête_à_partir_de_Excel_Files10256789[Avis Prog],"1-Favorable",Tableau_Lancer_la_requête_à_partir_de_Excel_Files10256789[''71''])</f>
        <v>0</v>
      </c>
      <c r="I36" s="3">
        <f>SUMIF(Tableau_Lancer_la_requête_à_partir_de_Excel_Files10256789[Avis Prog],"2-Favorable sous réserve",Tableau_Lancer_la_requête_à_partir_de_Excel_Files10256789[''71''])</f>
        <v>0</v>
      </c>
      <c r="M36" s="3">
        <f>SUMIF(Tableau_Lancer_la_requête_à_partir_de_Excel_Files10256789[Avis Cofimac],"1-Favorable",Tableau_Lancer_la_requête_à_partir_de_Excel_Files10256789[''71''])</f>
        <v>0</v>
      </c>
      <c r="R36" s="3">
        <f>SUMIF(Tableau_Lancer_la_requête_à_partir_de_Excel_Files10256789[Avis Cofimac],"2-Favorable sous réserve",Tableau_Lancer_la_requête_à_partir_de_Excel_Files10256789[''71''])</f>
        <v>0</v>
      </c>
    </row>
    <row r="37" spans="4:18" hidden="1" x14ac:dyDescent="0.25">
      <c r="D37" t="s">
        <v>40</v>
      </c>
      <c r="E37" s="3">
        <f t="shared" si="0"/>
        <v>0</v>
      </c>
      <c r="F37" s="3">
        <f t="shared" si="1"/>
        <v>0</v>
      </c>
      <c r="H37" s="3">
        <f>SUMIF(Tableau_Lancer_la_requête_à_partir_de_Excel_Files10256789[Avis Prog],"1-Favorable",Tableau_Lancer_la_requête_à_partir_de_Excel_Files10256789[''81''])</f>
        <v>0</v>
      </c>
      <c r="I37" s="3">
        <f>SUMIF(Tableau_Lancer_la_requête_à_partir_de_Excel_Files10256789[Avis Prog],"2-Favorable sous réserve",Tableau_Lancer_la_requête_à_partir_de_Excel_Files10256789[''81''])</f>
        <v>0</v>
      </c>
      <c r="M37" s="3">
        <f>SUMIF(Tableau_Lancer_la_requête_à_partir_de_Excel_Files10256789[Avis Cofimac],"1-Favorable",Tableau_Lancer_la_requête_à_partir_de_Excel_Files10256789[''81''])</f>
        <v>0</v>
      </c>
      <c r="R37" s="3">
        <f>SUMIF(Tableau_Lancer_la_requête_à_partir_de_Excel_Files10256789[Avis Cofimac],"2-Favorable sous réserve",Tableau_Lancer_la_requête_à_partir_de_Excel_Files10256789[''81''])</f>
        <v>0</v>
      </c>
    </row>
    <row r="38" spans="4:18" hidden="1" x14ac:dyDescent="0.25">
      <c r="D38" t="s">
        <v>41</v>
      </c>
      <c r="E38" s="3">
        <f t="shared" si="0"/>
        <v>0</v>
      </c>
      <c r="F38" s="3">
        <f t="shared" si="1"/>
        <v>0</v>
      </c>
      <c r="H38" s="3">
        <f>SUMIF(Tableau_Lancer_la_requête_à_partir_de_Excel_Files10256789[Avis Prog],"1-Favorable",Tableau_Lancer_la_requête_à_partir_de_Excel_Files10256789[''82''])</f>
        <v>0</v>
      </c>
      <c r="I38" s="3">
        <f>SUMIF(Tableau_Lancer_la_requête_à_partir_de_Excel_Files10256789[Avis Prog],"2-Favorable sous réserve",Tableau_Lancer_la_requête_à_partir_de_Excel_Files10256789[''82''])</f>
        <v>0</v>
      </c>
      <c r="M38" s="3">
        <f>SUMIF(Tableau_Lancer_la_requête_à_partir_de_Excel_Files10256789[Avis Cofimac],"1-Favorable",Tableau_Lancer_la_requête_à_partir_de_Excel_Files10256789[''82''])</f>
        <v>0</v>
      </c>
      <c r="R38" s="3">
        <f>SUMIF(Tableau_Lancer_la_requête_à_partir_de_Excel_Files10256789[Avis Cofimac],"2-Favorable sous réserve",Tableau_Lancer_la_requête_à_partir_de_Excel_Files10256789[''82''])</f>
        <v>0</v>
      </c>
    </row>
    <row r="39" spans="4:18" hidden="1" x14ac:dyDescent="0.25">
      <c r="D39" t="s">
        <v>42</v>
      </c>
      <c r="E39" s="3">
        <f t="shared" si="0"/>
        <v>0</v>
      </c>
      <c r="F39" s="3">
        <f t="shared" si="1"/>
        <v>0</v>
      </c>
      <c r="H39" s="3">
        <f>SUMIF(Tableau_Lancer_la_requête_à_partir_de_Excel_Files10256789[Avis Prog],"1-Favorable",Tableau_Lancer_la_requête_à_partir_de_Excel_Files10256789[''87''])</f>
        <v>0</v>
      </c>
      <c r="I39" s="3">
        <f>SUMIF(Tableau_Lancer_la_requête_à_partir_de_Excel_Files10256789[Avis Prog],"2-Favorable sous réserve",Tableau_Lancer_la_requête_à_partir_de_Excel_Files10256789[''87''])</f>
        <v>0</v>
      </c>
      <c r="M39" s="3">
        <f>SUMIF(Tableau_Lancer_la_requête_à_partir_de_Excel_Files10256789[Avis Cofimac],"1-Favorable",Tableau_Lancer_la_requête_à_partir_de_Excel_Files10256789[''87''])</f>
        <v>0</v>
      </c>
      <c r="R39" s="3">
        <f>SUMIF(Tableau_Lancer_la_requête_à_partir_de_Excel_Files10256789[Avis Cofimac],"2-Favorable sous réserve",Tableau_Lancer_la_requête_à_partir_de_Excel_Files10256789[''87''])</f>
        <v>0</v>
      </c>
    </row>
    <row r="40" spans="4:18" hidden="1" x14ac:dyDescent="0.25">
      <c r="D40" t="s">
        <v>43</v>
      </c>
      <c r="E40" s="3">
        <f t="shared" si="0"/>
        <v>0</v>
      </c>
      <c r="F40" s="3">
        <f t="shared" si="1"/>
        <v>0</v>
      </c>
      <c r="H40" s="3">
        <f>SUMIF(Tableau_Lancer_la_requête_à_partir_de_Excel_Files10256789[Avis Prog],"1-Favorable",Tableau_Lancer_la_requête_à_partir_de_Excel_Files10256789[''89''])</f>
        <v>0</v>
      </c>
      <c r="I40" s="3">
        <f>SUMIF(Tableau_Lancer_la_requête_à_partir_de_Excel_Files10256789[Avis Prog],"2-Favorable sous réserve",Tableau_Lancer_la_requête_à_partir_de_Excel_Files10256789[''89''])</f>
        <v>0</v>
      </c>
      <c r="M40" s="3">
        <f>SUMIF(Tableau_Lancer_la_requête_à_partir_de_Excel_Files10256789[Avis Cofimac],"1-Favorable",Tableau_Lancer_la_requête_à_partir_de_Excel_Files10256789[''89''])</f>
        <v>0</v>
      </c>
      <c r="R40" s="3">
        <f>SUMIF(Tableau_Lancer_la_requête_à_partir_de_Excel_Files10256789[Avis Cofimac],"2-Favorable sous réserve",Tableau_Lancer_la_requête_à_partir_de_Excel_Files10256789[''89''])</f>
        <v>0</v>
      </c>
    </row>
    <row r="41" spans="4:18" hidden="1" x14ac:dyDescent="0.25"/>
    <row r="42" spans="4:18" hidden="1" x14ac:dyDescent="0.25"/>
  </sheetData>
  <conditionalFormatting sqref="AP6:AP7 AR6:AR7">
    <cfRule type="cellIs" dxfId="1060" priority="1" operator="equal">
      <formula>"2-Favorable sous réserve"</formula>
    </cfRule>
    <cfRule type="cellIs" dxfId="1059" priority="10" operator="equal">
      <formula>"6-Retiré/Abandon"</formula>
    </cfRule>
    <cfRule type="cellIs" dxfId="1058" priority="11" operator="equal">
      <formula>"5-Défavorable"</formula>
    </cfRule>
    <cfRule type="cellIs" dxfId="1057" priority="12" operator="equal">
      <formula>"4-Ajournement"</formula>
    </cfRule>
    <cfRule type="cellIs" dxfId="1056" priority="13" operator="equal">
      <formula>"1-Favorable"</formula>
    </cfRule>
  </conditionalFormatting>
  <conditionalFormatting sqref="AT7">
    <cfRule type="cellIs" dxfId="1055" priority="2" operator="equal">
      <formula>"6-Retiré/Abandon"</formula>
    </cfRule>
    <cfRule type="cellIs" dxfId="1054" priority="3" operator="equal">
      <formula>"5-Défavorable"</formula>
    </cfRule>
    <cfRule type="cellIs" dxfId="1053" priority="4" operator="equal">
      <formula>"4-Ajournement"</formula>
    </cfRule>
    <cfRule type="cellIs" dxfId="1052" priority="5" operator="equal">
      <formula>"1-Favorable"</formula>
    </cfRule>
  </conditionalFormatting>
  <dataValidations count="1">
    <dataValidation type="list" allowBlank="1" showInputMessage="1" showErrorMessage="1" sqref="AR7">
      <formula1>"1-Favorable,2-Favorable sous réserve,4-Ajournement,5-Défavorable,6-Retiré/Abandon"</formula1>
    </dataValidation>
  </dataValidations>
  <printOptions horizontalCentered="1" verticalCentered="1"/>
  <pageMargins left="0.25" right="0.25" top="0.75" bottom="0.75" header="0.3" footer="0.3"/>
  <pageSetup paperSize="8" scale="59"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1"/>
  <sheetViews>
    <sheetView view="pageBreakPreview" topLeftCell="F7" zoomScale="70" zoomScaleNormal="60" zoomScaleSheetLayoutView="70" workbookViewId="0">
      <selection activeCell="AT17" sqref="AT17"/>
    </sheetView>
  </sheetViews>
  <sheetFormatPr baseColWidth="10" defaultRowHeight="15" outlineLevelCol="1" x14ac:dyDescent="0.25"/>
  <cols>
    <col min="1" max="1" width="13.85546875" style="3" customWidth="1"/>
    <col min="2" max="2" width="35" style="4" customWidth="1"/>
    <col min="3" max="3" width="48" style="5" customWidth="1"/>
    <col min="4" max="4" width="22.7109375" style="3" bestFit="1" customWidth="1"/>
    <col min="5" max="5" width="19.7109375" style="3" bestFit="1" customWidth="1"/>
    <col min="6" max="6" width="12" style="6" customWidth="1"/>
    <col min="7" max="7" width="16" style="3" bestFit="1" customWidth="1"/>
    <col min="8" max="8" width="11.28515625" style="6" customWidth="1"/>
    <col min="9" max="9" width="18.42578125" style="3"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8.28515625" style="3" hidden="1" customWidth="1" outlineLevel="1"/>
    <col min="15" max="15" width="18.42578125" style="3" hidden="1" customWidth="1" outlineLevel="1"/>
    <col min="16" max="16" width="16.5703125" style="3" hidden="1" customWidth="1" outlineLevel="1"/>
    <col min="17" max="17" width="18.7109375" style="3" hidden="1" customWidth="1" outlineLevel="1"/>
    <col min="18" max="18" width="19.42578125" style="3" bestFit="1" customWidth="1" collapsed="1"/>
    <col min="19" max="40" width="8.7109375" style="3" hidden="1" customWidth="1" outlineLevel="1"/>
    <col min="41" max="41" width="11.5703125" style="3" bestFit="1" customWidth="1" collapsed="1"/>
    <col min="42" max="42" width="11.5703125" style="3" customWidth="1"/>
    <col min="43" max="43" width="16.140625" style="3" customWidth="1"/>
    <col min="44" max="44" width="17.7109375" style="3" customWidth="1"/>
    <col min="45" max="45" width="17.7109375" style="3" hidden="1" customWidth="1"/>
    <col min="46" max="46" width="76.5703125" style="3" customWidth="1"/>
    <col min="47" max="47" width="15.42578125" style="3" bestFit="1" customWidth="1"/>
    <col min="48" max="48" width="91" style="3" customWidth="1"/>
    <col min="49" max="49" width="9.42578125" style="3" customWidth="1"/>
    <col min="50" max="64" width="9.7109375" style="3" customWidth="1"/>
    <col min="65" max="65" width="15.140625" style="3" customWidth="1"/>
    <col min="66" max="66" width="14.5703125" style="3" customWidth="1"/>
    <col min="67" max="67" width="18.5703125" style="3" customWidth="1"/>
    <col min="68" max="68" width="12.5703125" style="3" customWidth="1"/>
    <col min="69" max="69" width="20.42578125" style="3" customWidth="1"/>
    <col min="70" max="70" width="12.7109375" style="3" customWidth="1"/>
    <col min="71" max="71" width="9.28515625" style="3" customWidth="1"/>
    <col min="72" max="72" width="14.28515625" style="3" customWidth="1"/>
    <col min="73" max="73" width="11.42578125" style="3" customWidth="1"/>
    <col min="74" max="74" width="9" style="3" customWidth="1"/>
    <col min="75" max="75" width="9.5703125" style="3" customWidth="1"/>
    <col min="76" max="76" width="11" style="3" customWidth="1"/>
    <col min="77" max="77" width="12.7109375" style="3" customWidth="1"/>
    <col min="78" max="80" width="9.7109375" style="3" customWidth="1"/>
    <col min="81" max="81" width="15.140625" style="3" customWidth="1"/>
    <col min="82" max="82" width="17.28515625" style="3" customWidth="1"/>
    <col min="83" max="83" width="49.28515625" style="4" customWidth="1"/>
    <col min="84" max="84" width="17.28515625" style="3" customWidth="1"/>
    <col min="85" max="16384" width="11.42578125" style="3"/>
  </cols>
  <sheetData>
    <row r="1" spans="1:83" ht="18.75" x14ac:dyDescent="0.3">
      <c r="A1" s="60">
        <v>42627</v>
      </c>
      <c r="B1" s="21" t="s">
        <v>78</v>
      </c>
      <c r="C1" s="22">
        <v>42663</v>
      </c>
    </row>
    <row r="5" spans="1:83" ht="15.75" x14ac:dyDescent="0.25">
      <c r="A5" s="1" t="s">
        <v>51</v>
      </c>
      <c r="B5" s="20"/>
    </row>
    <row r="6" spans="1:83" s="7" customFormat="1" ht="30"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7" t="s">
        <v>249</v>
      </c>
      <c r="AR6" s="32" t="s">
        <v>57</v>
      </c>
      <c r="AS6" s="3"/>
      <c r="AT6" s="31" t="s">
        <v>65</v>
      </c>
    </row>
    <row r="7" spans="1:83" s="10" customFormat="1" ht="30" x14ac:dyDescent="0.25">
      <c r="A7" s="13" t="s">
        <v>419</v>
      </c>
      <c r="B7" s="12" t="s">
        <v>244</v>
      </c>
      <c r="C7" s="12" t="s">
        <v>462</v>
      </c>
      <c r="D7" s="15">
        <v>34480.97</v>
      </c>
      <c r="E7" s="15">
        <f>Tableau_Lancer_la_requête_à_partir_de_Excel_Files102[[#This Row],[Aide Massif]]+Tableau_Lancer_la_requête_à_partir_de_Excel_Files102[[#This Row],[''Autre Public'']]</f>
        <v>34480.97</v>
      </c>
      <c r="F7" s="16">
        <f>Tableau_Lancer_la_requête_à_partir_de_Excel_Files102[[#This Row],[Aide 
publique]]/Tableau_Lancer_la_requête_à_partir_de_Excel_Files102[[#This Row],[''Coût total éligible'']]</f>
        <v>1</v>
      </c>
      <c r="G7"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17240.490000000002</v>
      </c>
      <c r="H7" s="16">
        <f>Tableau_Lancer_la_requête_à_partir_de_Excel_Files102[[#This Row],[Aide Massif]]/Tableau_Lancer_la_requête_à_partir_de_Excel_Files102[[#This Row],[''Coût total éligible'']]</f>
        <v>0.50000014500752155</v>
      </c>
      <c r="I7" s="56">
        <v>0</v>
      </c>
      <c r="J7" s="15">
        <f>Tableau_Lancer_la_requête_à_partir_de_Excel_Files102[[#This Row],[''FNADT '']]+Tableau_Lancer_la_requête_à_partir_de_Excel_Files102[[#This Row],[''Agriculture'']]</f>
        <v>17240.490000000002</v>
      </c>
      <c r="K7" s="15">
        <v>17240.490000000002</v>
      </c>
      <c r="L7" s="15"/>
      <c r="M7"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7" s="15"/>
      <c r="O7" s="15"/>
      <c r="P7" s="15"/>
      <c r="Q7" s="15"/>
      <c r="R7"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7" s="15"/>
      <c r="T7" s="15"/>
      <c r="U7" s="15"/>
      <c r="V7" s="15"/>
      <c r="W7" s="15"/>
      <c r="X7" s="15"/>
      <c r="Y7" s="15"/>
      <c r="Z7" s="15"/>
      <c r="AA7" s="15"/>
      <c r="AB7" s="15"/>
      <c r="AC7" s="15"/>
      <c r="AD7" s="15"/>
      <c r="AE7" s="15"/>
      <c r="AF7" s="15"/>
      <c r="AG7" s="15"/>
      <c r="AH7" s="15"/>
      <c r="AI7" s="15"/>
      <c r="AJ7" s="15"/>
      <c r="AK7" s="15"/>
      <c r="AL7" s="15"/>
      <c r="AM7" s="15"/>
      <c r="AN7" s="15"/>
      <c r="AO7" s="15">
        <v>17240.48</v>
      </c>
      <c r="AP7" s="11" t="s">
        <v>339</v>
      </c>
      <c r="AQ7" s="68">
        <v>42370</v>
      </c>
      <c r="AR7" s="56" t="s">
        <v>337</v>
      </c>
      <c r="AS7" s="3"/>
      <c r="AT7" s="83" t="s">
        <v>482</v>
      </c>
    </row>
    <row r="8" spans="1:83" s="10" customFormat="1" ht="45" x14ac:dyDescent="0.25">
      <c r="A8" s="6" t="s">
        <v>422</v>
      </c>
      <c r="B8" s="5" t="s">
        <v>54</v>
      </c>
      <c r="C8" s="5" t="s">
        <v>89</v>
      </c>
      <c r="D8" s="8">
        <v>73400</v>
      </c>
      <c r="E8" s="8">
        <f>Tableau_Lancer_la_requête_à_partir_de_Excel_Files102[[#This Row],[Aide Massif]]+Tableau_Lancer_la_requête_à_partir_de_Excel_Files102[[#This Row],[''Autre Public'']]</f>
        <v>43400</v>
      </c>
      <c r="F8" s="9">
        <f>Tableau_Lancer_la_requête_à_partir_de_Excel_Files102[[#This Row],[Aide 
publique]]/Tableau_Lancer_la_requête_à_partir_de_Excel_Files102[[#This Row],[''Coût total éligible'']]</f>
        <v>0.59128065395095364</v>
      </c>
      <c r="G8"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43400</v>
      </c>
      <c r="H8" s="9">
        <f>Tableau_Lancer_la_requête_à_partir_de_Excel_Files102[[#This Row],[Aide Massif]]/Tableau_Lancer_la_requête_à_partir_de_Excel_Files102[[#This Row],[''Coût total éligible'']]</f>
        <v>0.59128065395095364</v>
      </c>
      <c r="I8" s="54">
        <v>0</v>
      </c>
      <c r="J8" s="8">
        <f>Tableau_Lancer_la_requête_à_partir_de_Excel_Files102[[#This Row],[''FNADT '']]+Tableau_Lancer_la_requête_à_partir_de_Excel_Files102[[#This Row],[''Agriculture'']]</f>
        <v>43400</v>
      </c>
      <c r="K8" s="8">
        <v>43400</v>
      </c>
      <c r="L8" s="8"/>
      <c r="M8"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8" s="8"/>
      <c r="O8" s="8"/>
      <c r="P8" s="8"/>
      <c r="Q8" s="8"/>
      <c r="R8"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8" s="8"/>
      <c r="T8" s="8"/>
      <c r="U8" s="8"/>
      <c r="V8" s="8"/>
      <c r="W8" s="8"/>
      <c r="X8" s="8"/>
      <c r="Y8" s="8"/>
      <c r="Z8" s="8"/>
      <c r="AA8" s="8"/>
      <c r="AB8" s="8"/>
      <c r="AC8" s="8"/>
      <c r="AD8" s="8"/>
      <c r="AE8" s="8"/>
      <c r="AF8" s="8"/>
      <c r="AG8" s="8"/>
      <c r="AH8" s="8"/>
      <c r="AI8" s="8"/>
      <c r="AJ8" s="8"/>
      <c r="AK8" s="8"/>
      <c r="AL8" s="8"/>
      <c r="AM8" s="8"/>
      <c r="AN8" s="8"/>
      <c r="AO8" s="8">
        <v>0</v>
      </c>
      <c r="AP8" s="10" t="s">
        <v>339</v>
      </c>
      <c r="AQ8" s="68"/>
      <c r="AR8" s="56" t="s">
        <v>337</v>
      </c>
      <c r="AS8" s="3"/>
      <c r="AT8" s="84"/>
    </row>
    <row r="9" spans="1:83" s="10" customFormat="1" ht="45" x14ac:dyDescent="0.25">
      <c r="A9" s="6" t="s">
        <v>423</v>
      </c>
      <c r="B9" s="5" t="s">
        <v>90</v>
      </c>
      <c r="C9" s="5" t="s">
        <v>91</v>
      </c>
      <c r="D9" s="8">
        <v>117790</v>
      </c>
      <c r="E9" s="8">
        <f>Tableau_Lancer_la_requête_à_partir_de_Excel_Files102[[#This Row],[Aide Massif]]+Tableau_Lancer_la_requête_à_partir_de_Excel_Files102[[#This Row],[''Autre Public'']]</f>
        <v>58895</v>
      </c>
      <c r="F9" s="9">
        <f>Tableau_Lancer_la_requête_à_partir_de_Excel_Files102[[#This Row],[Aide 
publique]]/Tableau_Lancer_la_requête_à_partir_de_Excel_Files102[[#This Row],[''Coût total éligible'']]</f>
        <v>0.5</v>
      </c>
      <c r="G9"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58895</v>
      </c>
      <c r="H9" s="9">
        <f>Tableau_Lancer_la_requête_à_partir_de_Excel_Files102[[#This Row],[Aide Massif]]/Tableau_Lancer_la_requête_à_partir_de_Excel_Files102[[#This Row],[''Coût total éligible'']]</f>
        <v>0.5</v>
      </c>
      <c r="I9" s="54">
        <v>0</v>
      </c>
      <c r="J9" s="8">
        <f>Tableau_Lancer_la_requête_à_partir_de_Excel_Files102[[#This Row],[''FNADT '']]+Tableau_Lancer_la_requête_à_partir_de_Excel_Files102[[#This Row],[''Agriculture'']]</f>
        <v>58895</v>
      </c>
      <c r="K9" s="8">
        <v>58895</v>
      </c>
      <c r="L9" s="8"/>
      <c r="M9"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9" s="8"/>
      <c r="O9" s="8"/>
      <c r="P9" s="8"/>
      <c r="Q9" s="8"/>
      <c r="R9"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9" s="8"/>
      <c r="T9" s="8"/>
      <c r="U9" s="8"/>
      <c r="V9" s="8"/>
      <c r="W9" s="8"/>
      <c r="X9" s="8"/>
      <c r="Y9" s="8"/>
      <c r="Z9" s="8"/>
      <c r="AA9" s="8"/>
      <c r="AB9" s="8"/>
      <c r="AC9" s="8"/>
      <c r="AD9" s="8"/>
      <c r="AE9" s="8"/>
      <c r="AF9" s="8"/>
      <c r="AG9" s="8"/>
      <c r="AH9" s="8"/>
      <c r="AI9" s="8"/>
      <c r="AJ9" s="8"/>
      <c r="AK9" s="8"/>
      <c r="AL9" s="8"/>
      <c r="AM9" s="8"/>
      <c r="AN9" s="8"/>
      <c r="AO9" s="8">
        <v>0</v>
      </c>
      <c r="AP9" s="10" t="s">
        <v>339</v>
      </c>
      <c r="AQ9" s="68"/>
      <c r="AR9" s="56" t="s">
        <v>337</v>
      </c>
      <c r="AS9" s="3"/>
      <c r="AT9" s="83"/>
    </row>
    <row r="10" spans="1:83" s="10" customFormat="1" ht="45" x14ac:dyDescent="0.25">
      <c r="A10" s="6" t="s">
        <v>424</v>
      </c>
      <c r="B10" s="5" t="s">
        <v>92</v>
      </c>
      <c r="C10" s="5" t="s">
        <v>89</v>
      </c>
      <c r="D10" s="8">
        <v>75000</v>
      </c>
      <c r="E10" s="8">
        <f>Tableau_Lancer_la_requête_à_partir_de_Excel_Files102[[#This Row],[Aide Massif]]+Tableau_Lancer_la_requête_à_partir_de_Excel_Files102[[#This Row],[''Autre Public'']]</f>
        <v>52500</v>
      </c>
      <c r="F10" s="9">
        <f>Tableau_Lancer_la_requête_à_partir_de_Excel_Files102[[#This Row],[Aide 
publique]]/Tableau_Lancer_la_requête_à_partir_de_Excel_Files102[[#This Row],[''Coût total éligible'']]</f>
        <v>0.7</v>
      </c>
      <c r="G10"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52500</v>
      </c>
      <c r="H10" s="9">
        <f>Tableau_Lancer_la_requête_à_partir_de_Excel_Files102[[#This Row],[Aide Massif]]/Tableau_Lancer_la_requête_à_partir_de_Excel_Files102[[#This Row],[''Coût total éligible'']]</f>
        <v>0.7</v>
      </c>
      <c r="I10" s="54">
        <v>0</v>
      </c>
      <c r="J10" s="8">
        <f>Tableau_Lancer_la_requête_à_partir_de_Excel_Files102[[#This Row],[''FNADT '']]+Tableau_Lancer_la_requête_à_partir_de_Excel_Files102[[#This Row],[''Agriculture'']]</f>
        <v>52500</v>
      </c>
      <c r="K10" s="8">
        <v>52500</v>
      </c>
      <c r="L10" s="8"/>
      <c r="M10"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0" s="8"/>
      <c r="O10" s="8"/>
      <c r="P10" s="8"/>
      <c r="Q10" s="8"/>
      <c r="R10"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0" s="8"/>
      <c r="T10" s="8"/>
      <c r="U10" s="8"/>
      <c r="V10" s="8"/>
      <c r="W10" s="8"/>
      <c r="X10" s="8"/>
      <c r="Y10" s="8"/>
      <c r="Z10" s="8"/>
      <c r="AA10" s="8"/>
      <c r="AB10" s="8"/>
      <c r="AC10" s="8"/>
      <c r="AD10" s="8"/>
      <c r="AE10" s="8"/>
      <c r="AF10" s="8"/>
      <c r="AG10" s="8"/>
      <c r="AH10" s="8"/>
      <c r="AI10" s="8"/>
      <c r="AJ10" s="8"/>
      <c r="AK10" s="8"/>
      <c r="AL10" s="8"/>
      <c r="AM10" s="8"/>
      <c r="AN10" s="8"/>
      <c r="AO10" s="8">
        <v>0</v>
      </c>
      <c r="AP10" s="10" t="s">
        <v>339</v>
      </c>
      <c r="AQ10" s="68"/>
      <c r="AR10" s="56" t="s">
        <v>337</v>
      </c>
      <c r="AS10" s="3"/>
      <c r="AT10" s="84"/>
    </row>
    <row r="11" spans="1:83" s="10" customFormat="1" ht="45" x14ac:dyDescent="0.25">
      <c r="A11" s="6" t="s">
        <v>425</v>
      </c>
      <c r="B11" s="5" t="s">
        <v>93</v>
      </c>
      <c r="C11" s="5" t="s">
        <v>89</v>
      </c>
      <c r="D11" s="8">
        <v>95000</v>
      </c>
      <c r="E11" s="8">
        <f>Tableau_Lancer_la_requête_à_partir_de_Excel_Files102[[#This Row],[Aide Massif]]+Tableau_Lancer_la_requête_à_partir_de_Excel_Files102[[#This Row],[''Autre Public'']]</f>
        <v>66500</v>
      </c>
      <c r="F11" s="9">
        <f>Tableau_Lancer_la_requête_à_partir_de_Excel_Files102[[#This Row],[Aide 
publique]]/Tableau_Lancer_la_requête_à_partir_de_Excel_Files102[[#This Row],[''Coût total éligible'']]</f>
        <v>0.7</v>
      </c>
      <c r="G11"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66500</v>
      </c>
      <c r="H11" s="9">
        <f>Tableau_Lancer_la_requête_à_partir_de_Excel_Files102[[#This Row],[Aide Massif]]/Tableau_Lancer_la_requête_à_partir_de_Excel_Files102[[#This Row],[''Coût total éligible'']]</f>
        <v>0.7</v>
      </c>
      <c r="I11" s="54">
        <v>0</v>
      </c>
      <c r="J11" s="8">
        <f>Tableau_Lancer_la_requête_à_partir_de_Excel_Files102[[#This Row],[''FNADT '']]+Tableau_Lancer_la_requête_à_partir_de_Excel_Files102[[#This Row],[''Agriculture'']]</f>
        <v>66500</v>
      </c>
      <c r="K11" s="8">
        <v>66500</v>
      </c>
      <c r="L11" s="8"/>
      <c r="M11"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1" s="8"/>
      <c r="O11" s="8"/>
      <c r="P11" s="8"/>
      <c r="Q11" s="8"/>
      <c r="R11"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1" s="8"/>
      <c r="T11" s="8"/>
      <c r="U11" s="8"/>
      <c r="V11" s="8"/>
      <c r="W11" s="8"/>
      <c r="X11" s="8"/>
      <c r="Y11" s="8"/>
      <c r="Z11" s="8"/>
      <c r="AA11" s="8"/>
      <c r="AB11" s="8"/>
      <c r="AC11" s="8"/>
      <c r="AD11" s="8"/>
      <c r="AE11" s="8"/>
      <c r="AF11" s="8"/>
      <c r="AG11" s="8"/>
      <c r="AH11" s="8"/>
      <c r="AI11" s="8"/>
      <c r="AJ11" s="8"/>
      <c r="AK11" s="8"/>
      <c r="AL11" s="8"/>
      <c r="AM11" s="8"/>
      <c r="AN11" s="8"/>
      <c r="AO11" s="8">
        <v>0</v>
      </c>
      <c r="AP11" s="10" t="s">
        <v>339</v>
      </c>
      <c r="AQ11" s="68"/>
      <c r="AR11" s="56" t="s">
        <v>337</v>
      </c>
      <c r="AS11" s="3"/>
      <c r="AT11" s="83"/>
    </row>
    <row r="12" spans="1:83" ht="45" x14ac:dyDescent="0.25">
      <c r="A12" s="6" t="s">
        <v>427</v>
      </c>
      <c r="B12" s="5" t="s">
        <v>54</v>
      </c>
      <c r="C12" s="5" t="s">
        <v>98</v>
      </c>
      <c r="D12" s="8">
        <v>271000</v>
      </c>
      <c r="E12" s="8">
        <f>Tableau_Lancer_la_requête_à_partir_de_Excel_Files102[[#This Row],[Aide Massif]]+Tableau_Lancer_la_requête_à_partir_de_Excel_Files102[[#This Row],[''Autre Public'']]</f>
        <v>159927.1</v>
      </c>
      <c r="F12" s="9">
        <f>Tableau_Lancer_la_requête_à_partir_de_Excel_Files102[[#This Row],[Aide 
publique]]/Tableau_Lancer_la_requête_à_partir_de_Excel_Files102[[#This Row],[''Coût total éligible'']]</f>
        <v>0.59013690036900368</v>
      </c>
      <c r="G12"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159927.1</v>
      </c>
      <c r="H12" s="9">
        <f>Tableau_Lancer_la_requête_à_partir_de_Excel_Files102[[#This Row],[Aide Massif]]/Tableau_Lancer_la_requête_à_partir_de_Excel_Files102[[#This Row],[''Coût total éligible'']]</f>
        <v>0.59013690036900368</v>
      </c>
      <c r="I12" s="54">
        <v>105927.1</v>
      </c>
      <c r="J12" s="8">
        <f>Tableau_Lancer_la_requête_à_partir_de_Excel_Files102[[#This Row],[''FNADT '']]+Tableau_Lancer_la_requête_à_partir_de_Excel_Files102[[#This Row],[''Agriculture'']]</f>
        <v>54000</v>
      </c>
      <c r="K12" s="8">
        <v>54000</v>
      </c>
      <c r="L12" s="8"/>
      <c r="M12"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2" s="8"/>
      <c r="O12" s="8"/>
      <c r="P12" s="8"/>
      <c r="Q12" s="8"/>
      <c r="R12"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2" s="8"/>
      <c r="T12" s="8"/>
      <c r="U12" s="8"/>
      <c r="V12" s="8"/>
      <c r="W12" s="8"/>
      <c r="X12" s="8"/>
      <c r="Y12" s="8"/>
      <c r="Z12" s="8"/>
      <c r="AA12" s="8"/>
      <c r="AB12" s="8"/>
      <c r="AC12" s="8"/>
      <c r="AD12" s="8"/>
      <c r="AE12" s="8"/>
      <c r="AF12" s="8"/>
      <c r="AG12" s="8"/>
      <c r="AH12" s="8"/>
      <c r="AI12" s="8"/>
      <c r="AJ12" s="8"/>
      <c r="AK12" s="8"/>
      <c r="AL12" s="8"/>
      <c r="AM12" s="8"/>
      <c r="AN12" s="8"/>
      <c r="AO12" s="8">
        <v>0</v>
      </c>
      <c r="AP12" s="10" t="s">
        <v>337</v>
      </c>
      <c r="AQ12" s="68">
        <v>42736</v>
      </c>
      <c r="AR12" s="56" t="s">
        <v>337</v>
      </c>
      <c r="AT12" s="84"/>
      <c r="AU12" s="10"/>
      <c r="CA12" s="4"/>
      <c r="CE12" s="3"/>
    </row>
    <row r="13" spans="1:83" ht="30" x14ac:dyDescent="0.25">
      <c r="A13" s="6" t="s">
        <v>428</v>
      </c>
      <c r="B13" s="5" t="s">
        <v>99</v>
      </c>
      <c r="C13" s="5" t="s">
        <v>100</v>
      </c>
      <c r="D13" s="8">
        <v>110000</v>
      </c>
      <c r="E13" s="8">
        <f>Tableau_Lancer_la_requête_à_partir_de_Excel_Files102[[#This Row],[Aide Massif]]+Tableau_Lancer_la_requête_à_partir_de_Excel_Files102[[#This Row],[''Autre Public'']]</f>
        <v>77000</v>
      </c>
      <c r="F13" s="9">
        <f>Tableau_Lancer_la_requête_à_partir_de_Excel_Files102[[#This Row],[Aide 
publique]]/Tableau_Lancer_la_requête_à_partir_de_Excel_Files102[[#This Row],[''Coût total éligible'']]</f>
        <v>0.7</v>
      </c>
      <c r="G13"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77000</v>
      </c>
      <c r="H13" s="9">
        <f>Tableau_Lancer_la_requête_à_partir_de_Excel_Files102[[#This Row],[Aide Massif]]/Tableau_Lancer_la_requête_à_partir_de_Excel_Files102[[#This Row],[''Coût total éligible'']]</f>
        <v>0.7</v>
      </c>
      <c r="I13" s="54">
        <v>55000</v>
      </c>
      <c r="J13" s="8">
        <f>Tableau_Lancer_la_requête_à_partir_de_Excel_Files102[[#This Row],[''FNADT '']]+Tableau_Lancer_la_requête_à_partir_de_Excel_Files102[[#This Row],[''Agriculture'']]</f>
        <v>11000</v>
      </c>
      <c r="K13" s="8">
        <v>11000</v>
      </c>
      <c r="L13" s="8"/>
      <c r="M13" s="8">
        <f>Tableau_Lancer_la_requête_à_partir_de_Excel_Files102[[#This Row],[''ALPC'']]+Tableau_Lancer_la_requête_à_partir_de_Excel_Files102[[#This Row],[''AURA'']]+Tableau_Lancer_la_requête_à_partir_de_Excel_Files102[[#This Row],[''BFC'']]+Tableau_Lancer_la_requête_à_partir_de_Excel_Files102[[#This Row],[''LRMP'']]</f>
        <v>11000</v>
      </c>
      <c r="N13" s="8"/>
      <c r="O13" s="8">
        <v>11000</v>
      </c>
      <c r="P13" s="8"/>
      <c r="Q13" s="8"/>
      <c r="R13"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3" s="8"/>
      <c r="T13" s="8"/>
      <c r="U13" s="8"/>
      <c r="V13" s="8"/>
      <c r="W13" s="8"/>
      <c r="X13" s="8"/>
      <c r="Y13" s="8"/>
      <c r="Z13" s="8"/>
      <c r="AA13" s="8"/>
      <c r="AB13" s="8"/>
      <c r="AC13" s="8"/>
      <c r="AD13" s="8"/>
      <c r="AE13" s="8"/>
      <c r="AF13" s="8"/>
      <c r="AG13" s="8"/>
      <c r="AH13" s="8"/>
      <c r="AI13" s="8"/>
      <c r="AJ13" s="8"/>
      <c r="AK13" s="8"/>
      <c r="AL13" s="8"/>
      <c r="AM13" s="8"/>
      <c r="AN13" s="8"/>
      <c r="AO13" s="8">
        <v>0</v>
      </c>
      <c r="AP13" s="10" t="s">
        <v>337</v>
      </c>
      <c r="AQ13" s="68">
        <v>42736</v>
      </c>
      <c r="AR13" s="56" t="s">
        <v>337</v>
      </c>
      <c r="AT13" s="83"/>
      <c r="AU13" s="10"/>
      <c r="CA13" s="4"/>
      <c r="CE13" s="3"/>
    </row>
    <row r="14" spans="1:83" ht="45" x14ac:dyDescent="0.25">
      <c r="A14" s="6" t="s">
        <v>429</v>
      </c>
      <c r="B14" s="5" t="s">
        <v>92</v>
      </c>
      <c r="C14" s="5" t="s">
        <v>98</v>
      </c>
      <c r="D14" s="8">
        <v>135060</v>
      </c>
      <c r="E14" s="8">
        <f>Tableau_Lancer_la_requête_à_partir_de_Excel_Files102[[#This Row],[Aide Massif]]+Tableau_Lancer_la_requête_à_partir_de_Excel_Files102[[#This Row],[''Autre Public'']]</f>
        <v>94542</v>
      </c>
      <c r="F14" s="9">
        <f>Tableau_Lancer_la_requête_à_partir_de_Excel_Files102[[#This Row],[Aide 
publique]]/Tableau_Lancer_la_requête_à_partir_de_Excel_Files102[[#This Row],[''Coût total éligible'']]</f>
        <v>0.7</v>
      </c>
      <c r="G14"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94542</v>
      </c>
      <c r="H14" s="9">
        <f>Tableau_Lancer_la_requête_à_partir_de_Excel_Files102[[#This Row],[Aide Massif]]/Tableau_Lancer_la_requête_à_partir_de_Excel_Files102[[#This Row],[''Coût total éligible'']]</f>
        <v>0.7</v>
      </c>
      <c r="I14" s="54">
        <v>66542</v>
      </c>
      <c r="J14" s="8">
        <f>Tableau_Lancer_la_requête_à_partir_de_Excel_Files102[[#This Row],[''FNADT '']]+Tableau_Lancer_la_requête_à_partir_de_Excel_Files102[[#This Row],[''Agriculture'']]</f>
        <v>14000</v>
      </c>
      <c r="K14" s="8">
        <v>14000</v>
      </c>
      <c r="L14" s="8"/>
      <c r="M14" s="8">
        <f>Tableau_Lancer_la_requête_à_partir_de_Excel_Files102[[#This Row],[''ALPC'']]+Tableau_Lancer_la_requête_à_partir_de_Excel_Files102[[#This Row],[''AURA'']]+Tableau_Lancer_la_requête_à_partir_de_Excel_Files102[[#This Row],[''BFC'']]+Tableau_Lancer_la_requête_à_partir_de_Excel_Files102[[#This Row],[''LRMP'']]</f>
        <v>14000</v>
      </c>
      <c r="N14" s="8"/>
      <c r="O14" s="8">
        <v>14000</v>
      </c>
      <c r="P14" s="8"/>
      <c r="Q14" s="8"/>
      <c r="R14"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4" s="8"/>
      <c r="T14" s="8"/>
      <c r="U14" s="8"/>
      <c r="V14" s="8"/>
      <c r="W14" s="8"/>
      <c r="X14" s="8"/>
      <c r="Y14" s="8"/>
      <c r="Z14" s="8"/>
      <c r="AA14" s="8"/>
      <c r="AB14" s="8"/>
      <c r="AC14" s="8"/>
      <c r="AD14" s="8"/>
      <c r="AE14" s="8"/>
      <c r="AF14" s="8"/>
      <c r="AG14" s="8"/>
      <c r="AH14" s="8"/>
      <c r="AI14" s="8"/>
      <c r="AJ14" s="8"/>
      <c r="AK14" s="8"/>
      <c r="AL14" s="8"/>
      <c r="AM14" s="8"/>
      <c r="AN14" s="8"/>
      <c r="AO14" s="8">
        <v>0</v>
      </c>
      <c r="AP14" s="10" t="s">
        <v>337</v>
      </c>
      <c r="AQ14" s="68">
        <v>42736</v>
      </c>
      <c r="AR14" s="56" t="s">
        <v>337</v>
      </c>
      <c r="AT14" s="84" t="s">
        <v>483</v>
      </c>
      <c r="AU14" s="10"/>
      <c r="CA14" s="4"/>
      <c r="CE14" s="3"/>
    </row>
    <row r="15" spans="1:83" ht="30" x14ac:dyDescent="0.25">
      <c r="A15" s="6" t="s">
        <v>430</v>
      </c>
      <c r="B15" s="5" t="s">
        <v>101</v>
      </c>
      <c r="C15" s="5" t="s">
        <v>100</v>
      </c>
      <c r="D15" s="8">
        <v>108711.12</v>
      </c>
      <c r="E15" s="8">
        <f>Tableau_Lancer_la_requête_à_partir_de_Excel_Files102[[#This Row],[Aide Massif]]+Tableau_Lancer_la_requête_à_partir_de_Excel_Files102[[#This Row],[''Autre Public'']]</f>
        <v>76097.783999999985</v>
      </c>
      <c r="F15" s="9">
        <f>Tableau_Lancer_la_requête_à_partir_de_Excel_Files102[[#This Row],[Aide 
publique]]/Tableau_Lancer_la_requête_à_partir_de_Excel_Files102[[#This Row],[''Coût total éligible'']]</f>
        <v>0.69999999999999984</v>
      </c>
      <c r="G15"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76097.783999999985</v>
      </c>
      <c r="H15" s="9">
        <f>Tableau_Lancer_la_requête_à_partir_de_Excel_Files102[[#This Row],[Aide Massif]]/Tableau_Lancer_la_requête_à_partir_de_Excel_Files102[[#This Row],[''Coût total éligible'']]</f>
        <v>0.69999999999999984</v>
      </c>
      <c r="I15" s="54">
        <v>44655.563999999984</v>
      </c>
      <c r="J15" s="8">
        <f>Tableau_Lancer_la_requête_à_partir_de_Excel_Files102[[#This Row],[''FNADT '']]+Tableau_Lancer_la_requête_à_partir_de_Excel_Files102[[#This Row],[''Agriculture'']]</f>
        <v>31442.22</v>
      </c>
      <c r="K15" s="8">
        <v>31442.22</v>
      </c>
      <c r="L15" s="8"/>
      <c r="M15"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5" s="8"/>
      <c r="O15" s="8">
        <v>0</v>
      </c>
      <c r="P15" s="8"/>
      <c r="Q15" s="8"/>
      <c r="R15"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5" s="8"/>
      <c r="T15" s="8"/>
      <c r="U15" s="8"/>
      <c r="V15" s="8"/>
      <c r="W15" s="8"/>
      <c r="X15" s="8"/>
      <c r="Y15" s="8"/>
      <c r="Z15" s="8"/>
      <c r="AA15" s="8"/>
      <c r="AB15" s="8"/>
      <c r="AC15" s="8"/>
      <c r="AD15" s="8"/>
      <c r="AE15" s="8"/>
      <c r="AF15" s="8"/>
      <c r="AG15" s="8"/>
      <c r="AH15" s="8"/>
      <c r="AI15" s="8"/>
      <c r="AJ15" s="8"/>
      <c r="AK15" s="8"/>
      <c r="AL15" s="8"/>
      <c r="AM15" s="8"/>
      <c r="AN15" s="8"/>
      <c r="AO15" s="8">
        <v>0</v>
      </c>
      <c r="AP15" s="10" t="s">
        <v>337</v>
      </c>
      <c r="AQ15" s="68">
        <v>42736</v>
      </c>
      <c r="AR15" s="56" t="s">
        <v>337</v>
      </c>
      <c r="AT15" s="83"/>
      <c r="CA15" s="4"/>
      <c r="CE15" s="3"/>
    </row>
    <row r="16" spans="1:83" ht="45" x14ac:dyDescent="0.25">
      <c r="A16" s="6" t="s">
        <v>426</v>
      </c>
      <c r="B16" s="5" t="s">
        <v>94</v>
      </c>
      <c r="C16" s="5" t="s">
        <v>95</v>
      </c>
      <c r="D16" s="8">
        <v>19855.806</v>
      </c>
      <c r="E16" s="8">
        <f>Tableau_Lancer_la_requête_à_partir_de_Excel_Files102[[#This Row],[Aide Massif]]+Tableau_Lancer_la_requête_à_partir_de_Excel_Files102[[#This Row],[''Autre Public'']]</f>
        <v>0</v>
      </c>
      <c r="F16" s="9">
        <f>Tableau_Lancer_la_requête_à_partir_de_Excel_Files102[[#This Row],[Aide 
publique]]/Tableau_Lancer_la_requête_à_partir_de_Excel_Files102[[#This Row],[''Coût total éligible'']]</f>
        <v>0</v>
      </c>
      <c r="G16"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16" s="9">
        <f>Tableau_Lancer_la_requête_à_partir_de_Excel_Files102[[#This Row],[Aide Massif]]/Tableau_Lancer_la_requête_à_partir_de_Excel_Files102[[#This Row],[''Coût total éligible'']]</f>
        <v>0</v>
      </c>
      <c r="I16" s="54">
        <v>0</v>
      </c>
      <c r="J16" s="8">
        <f>Tableau_Lancer_la_requête_à_partir_de_Excel_Files102[[#This Row],[''FNADT '']]+Tableau_Lancer_la_requête_à_partir_de_Excel_Files102[[#This Row],[''Agriculture'']]</f>
        <v>0</v>
      </c>
      <c r="K16" s="8"/>
      <c r="L16" s="8"/>
      <c r="M16"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6" s="8"/>
      <c r="O16" s="8"/>
      <c r="P16" s="8"/>
      <c r="Q16" s="8"/>
      <c r="R16"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6" s="8"/>
      <c r="T16" s="8"/>
      <c r="U16" s="8"/>
      <c r="V16" s="8"/>
      <c r="W16" s="8"/>
      <c r="X16" s="8"/>
      <c r="Y16" s="8"/>
      <c r="Z16" s="8"/>
      <c r="AA16" s="8"/>
      <c r="AB16" s="8"/>
      <c r="AC16" s="8"/>
      <c r="AD16" s="8"/>
      <c r="AE16" s="8"/>
      <c r="AF16" s="8"/>
      <c r="AG16" s="8"/>
      <c r="AH16" s="8"/>
      <c r="AI16" s="8"/>
      <c r="AJ16" s="8"/>
      <c r="AK16" s="8"/>
      <c r="AL16" s="8"/>
      <c r="AM16" s="8"/>
      <c r="AN16" s="8"/>
      <c r="AO16" s="8">
        <v>0</v>
      </c>
      <c r="AP16" s="10" t="s">
        <v>402</v>
      </c>
      <c r="AQ16" s="68"/>
      <c r="AR16" s="56" t="s">
        <v>402</v>
      </c>
      <c r="AT16" s="84" t="s">
        <v>484</v>
      </c>
      <c r="CA16" s="4"/>
      <c r="CE16" s="3"/>
    </row>
    <row r="17" spans="1:83" s="7" customFormat="1" ht="45" x14ac:dyDescent="0.25">
      <c r="A17" s="6" t="s">
        <v>426</v>
      </c>
      <c r="B17" s="5" t="s">
        <v>96</v>
      </c>
      <c r="C17" s="5" t="s">
        <v>95</v>
      </c>
      <c r="D17" s="8">
        <v>74974.710399999996</v>
      </c>
      <c r="E17" s="8">
        <f>Tableau_Lancer_la_requête_à_partir_de_Excel_Files102[[#This Row],[Aide Massif]]+Tableau_Lancer_la_requête_à_partir_de_Excel_Files102[[#This Row],[''Autre Public'']]</f>
        <v>0</v>
      </c>
      <c r="F17" s="9">
        <f>Tableau_Lancer_la_requête_à_partir_de_Excel_Files102[[#This Row],[Aide 
publique]]/Tableau_Lancer_la_requête_à_partir_de_Excel_Files102[[#This Row],[''Coût total éligible'']]</f>
        <v>0</v>
      </c>
      <c r="G17"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17" s="9">
        <f>Tableau_Lancer_la_requête_à_partir_de_Excel_Files102[[#This Row],[Aide Massif]]/Tableau_Lancer_la_requête_à_partir_de_Excel_Files102[[#This Row],[''Coût total éligible'']]</f>
        <v>0</v>
      </c>
      <c r="I17" s="54">
        <v>0</v>
      </c>
      <c r="J17" s="8">
        <f>Tableau_Lancer_la_requête_à_partir_de_Excel_Files102[[#This Row],[''FNADT '']]+Tableau_Lancer_la_requête_à_partir_de_Excel_Files102[[#This Row],[''Agriculture'']]</f>
        <v>0</v>
      </c>
      <c r="K17" s="8"/>
      <c r="L17" s="8"/>
      <c r="M17"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7" s="8"/>
      <c r="O17" s="8"/>
      <c r="P17" s="8"/>
      <c r="Q17" s="8"/>
      <c r="R17"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7" s="8"/>
      <c r="T17" s="8"/>
      <c r="U17" s="8"/>
      <c r="V17" s="8"/>
      <c r="W17" s="8"/>
      <c r="X17" s="8"/>
      <c r="Y17" s="8"/>
      <c r="Z17" s="8"/>
      <c r="AA17" s="8"/>
      <c r="AB17" s="8"/>
      <c r="AC17" s="8"/>
      <c r="AD17" s="8"/>
      <c r="AE17" s="8"/>
      <c r="AF17" s="8"/>
      <c r="AG17" s="8"/>
      <c r="AH17" s="8"/>
      <c r="AI17" s="8"/>
      <c r="AJ17" s="8"/>
      <c r="AK17" s="8"/>
      <c r="AL17" s="8"/>
      <c r="AM17" s="8"/>
      <c r="AN17" s="8"/>
      <c r="AO17" s="8">
        <v>0</v>
      </c>
      <c r="AP17" s="5" t="s">
        <v>402</v>
      </c>
      <c r="AQ17" s="68"/>
      <c r="AR17" s="56" t="s">
        <v>402</v>
      </c>
      <c r="AS17" s="5"/>
      <c r="AT17" s="83"/>
    </row>
    <row r="18" spans="1:83" s="10" customFormat="1" ht="45.75" thickBot="1" x14ac:dyDescent="0.3">
      <c r="A18" s="6" t="s">
        <v>426</v>
      </c>
      <c r="B18" s="5" t="s">
        <v>97</v>
      </c>
      <c r="C18" s="5" t="s">
        <v>95</v>
      </c>
      <c r="D18" s="8">
        <v>102513.45</v>
      </c>
      <c r="E18" s="8">
        <f>Tableau_Lancer_la_requête_à_partir_de_Excel_Files102[[#This Row],[Aide Massif]]+Tableau_Lancer_la_requête_à_partir_de_Excel_Files102[[#This Row],[''Autre Public'']]</f>
        <v>0</v>
      </c>
      <c r="F18" s="9">
        <f>Tableau_Lancer_la_requête_à_partir_de_Excel_Files102[[#This Row],[Aide 
publique]]/Tableau_Lancer_la_requête_à_partir_de_Excel_Files102[[#This Row],[''Coût total éligible'']]</f>
        <v>0</v>
      </c>
      <c r="G18" s="8">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18" s="9">
        <f>Tableau_Lancer_la_requête_à_partir_de_Excel_Files102[[#This Row],[Aide Massif]]/Tableau_Lancer_la_requête_à_partir_de_Excel_Files102[[#This Row],[''Coût total éligible'']]</f>
        <v>0</v>
      </c>
      <c r="I18" s="54">
        <v>0</v>
      </c>
      <c r="J18" s="8">
        <f>Tableau_Lancer_la_requête_à_partir_de_Excel_Files102[[#This Row],[''FNADT '']]+Tableau_Lancer_la_requête_à_partir_de_Excel_Files102[[#This Row],[''Agriculture'']]</f>
        <v>0</v>
      </c>
      <c r="K18" s="8"/>
      <c r="L18" s="8"/>
      <c r="M18"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8" s="8"/>
      <c r="O18" s="8"/>
      <c r="P18" s="8"/>
      <c r="Q18" s="8"/>
      <c r="R18"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8" s="8"/>
      <c r="T18" s="8"/>
      <c r="U18" s="8"/>
      <c r="V18" s="8"/>
      <c r="W18" s="8"/>
      <c r="X18" s="8"/>
      <c r="Y18" s="8"/>
      <c r="Z18" s="8"/>
      <c r="AA18" s="8"/>
      <c r="AB18" s="8"/>
      <c r="AC18" s="8"/>
      <c r="AD18" s="8"/>
      <c r="AE18" s="8"/>
      <c r="AF18" s="8"/>
      <c r="AG18" s="8"/>
      <c r="AH18" s="8"/>
      <c r="AI18" s="8"/>
      <c r="AJ18" s="8"/>
      <c r="AK18" s="8"/>
      <c r="AL18" s="8"/>
      <c r="AM18" s="8"/>
      <c r="AN18" s="8"/>
      <c r="AO18" s="8">
        <v>0</v>
      </c>
      <c r="AP18" s="10" t="s">
        <v>402</v>
      </c>
      <c r="AQ18" s="68"/>
      <c r="AR18" s="56" t="s">
        <v>402</v>
      </c>
      <c r="AS18" s="3"/>
      <c r="AT18" s="84"/>
    </row>
    <row r="19" spans="1:83" ht="15.75" thickTop="1" x14ac:dyDescent="0.25">
      <c r="A19" s="111" t="s">
        <v>8</v>
      </c>
      <c r="B19" s="112">
        <f>SUBTOTAL(103,Tableau_Lancer_la_requête_à_partir_de_Excel_Files102[Nom_MO])</f>
        <v>12</v>
      </c>
      <c r="C19" s="112"/>
      <c r="D19" s="113">
        <f>SUBTOTAL(109,Tableau_Lancer_la_requête_à_partir_de_Excel_Files102[''Coût total éligible''])</f>
        <v>1217786.0563999999</v>
      </c>
      <c r="E19" s="113">
        <f>SUBTOTAL(109,Tableau_Lancer_la_requête_à_partir_de_Excel_Files102[Aide 
publique])</f>
        <v>663342.85400000005</v>
      </c>
      <c r="F19" s="114"/>
      <c r="G19" s="113">
        <f>SUBTOTAL(109,Tableau_Lancer_la_requête_à_partir_de_Excel_Files102[Aide Massif])</f>
        <v>646102.37399999995</v>
      </c>
      <c r="H19" s="114"/>
      <c r="I19" s="113">
        <f>SUBTOTAL(109,Tableau_Lancer_la_requête_à_partir_de_Excel_Files102[''FEDER''])</f>
        <v>272124.66399999999</v>
      </c>
      <c r="J19" s="113">
        <f>SUBTOTAL(109,Tableau_Lancer_la_requête_à_partir_de_Excel_Files102[Total Etat])</f>
        <v>348977.70999999996</v>
      </c>
      <c r="K19" s="111"/>
      <c r="L19" s="113">
        <f>SUBTOTAL(109,Tableau_Lancer_la_requête_à_partir_de_Excel_Files102[''Agriculture''])</f>
        <v>0</v>
      </c>
      <c r="M19" s="113">
        <f>SUBTOTAL(109,Tableau_Lancer_la_requête_à_partir_de_Excel_Files102[Total Régions])</f>
        <v>25000</v>
      </c>
      <c r="N19" s="113">
        <f>SUBTOTAL(109,Tableau_Lancer_la_requête_à_partir_de_Excel_Files102[''ALPC''])</f>
        <v>0</v>
      </c>
      <c r="O19" s="113">
        <f>SUBTOTAL(109,Tableau_Lancer_la_requête_à_partir_de_Excel_Files102[''AURA''])</f>
        <v>25000</v>
      </c>
      <c r="P19" s="113">
        <f>SUBTOTAL(109,Tableau_Lancer_la_requête_à_partir_de_Excel_Files102[''BFC''])</f>
        <v>0</v>
      </c>
      <c r="Q19" s="113">
        <f>SUBTOTAL(109,Tableau_Lancer_la_requête_à_partir_de_Excel_Files102[''LRMP''])</f>
        <v>0</v>
      </c>
      <c r="R19" s="113">
        <f>SUBTOTAL(109,Tableau_Lancer_la_requête_à_partir_de_Excel_Files102[Total Dpts])</f>
        <v>0</v>
      </c>
      <c r="S19" s="113">
        <f>SUBTOTAL(109,Tableau_Lancer_la_requête_à_partir_de_Excel_Files102[''03''])</f>
        <v>0</v>
      </c>
      <c r="T19" s="113">
        <f>SUBTOTAL(109,Tableau_Lancer_la_requête_à_partir_de_Excel_Files102[''07''])</f>
        <v>0</v>
      </c>
      <c r="U19" s="113">
        <f>SUBTOTAL(109,Tableau_Lancer_la_requête_à_partir_de_Excel_Files102[''11''])</f>
        <v>0</v>
      </c>
      <c r="V19" s="113">
        <f>SUBTOTAL(109,Tableau_Lancer_la_requête_à_partir_de_Excel_Files102[''12''])</f>
        <v>0</v>
      </c>
      <c r="W19" s="113">
        <f>SUBTOTAL(109,Tableau_Lancer_la_requête_à_partir_de_Excel_Files102[''15''])</f>
        <v>0</v>
      </c>
      <c r="X19" s="113">
        <f>SUBTOTAL(109,Tableau_Lancer_la_requête_à_partir_de_Excel_Files102[''19''])</f>
        <v>0</v>
      </c>
      <c r="Y19" s="113">
        <f>SUBTOTAL(109,Tableau_Lancer_la_requête_à_partir_de_Excel_Files102[''21''])</f>
        <v>0</v>
      </c>
      <c r="Z19" s="113">
        <f>SUBTOTAL(109,Tableau_Lancer_la_requête_à_partir_de_Excel_Files102[''23''])</f>
        <v>0</v>
      </c>
      <c r="AA19" s="113">
        <f>SUBTOTAL(109,Tableau_Lancer_la_requête_à_partir_de_Excel_Files102[''30''])</f>
        <v>0</v>
      </c>
      <c r="AB19" s="113">
        <f>SUBTOTAL(109,Tableau_Lancer_la_requête_à_partir_de_Excel_Files102[''34''])</f>
        <v>0</v>
      </c>
      <c r="AC19" s="113">
        <f>SUBTOTAL(109,Tableau_Lancer_la_requête_à_partir_de_Excel_Files102[''42''])</f>
        <v>0</v>
      </c>
      <c r="AD19" s="113">
        <f>SUBTOTAL(109,Tableau_Lancer_la_requête_à_partir_de_Excel_Files102[''43''])</f>
        <v>0</v>
      </c>
      <c r="AE19" s="113">
        <f>SUBTOTAL(109,Tableau_Lancer_la_requête_à_partir_de_Excel_Files102[''46''])</f>
        <v>0</v>
      </c>
      <c r="AF19" s="113">
        <f>SUBTOTAL(109,Tableau_Lancer_la_requête_à_partir_de_Excel_Files102[''48''])</f>
        <v>0</v>
      </c>
      <c r="AG19" s="113">
        <f>SUBTOTAL(109,Tableau_Lancer_la_requête_à_partir_de_Excel_Files102[''58''])</f>
        <v>0</v>
      </c>
      <c r="AH19" s="113">
        <f>SUBTOTAL(109,Tableau_Lancer_la_requête_à_partir_de_Excel_Files102[''63''])</f>
        <v>0</v>
      </c>
      <c r="AI19" s="113">
        <f>SUBTOTAL(109,Tableau_Lancer_la_requête_à_partir_de_Excel_Files102[''69''])</f>
        <v>0</v>
      </c>
      <c r="AJ19" s="113">
        <f>SUBTOTAL(109,Tableau_Lancer_la_requête_à_partir_de_Excel_Files102[''71''])</f>
        <v>0</v>
      </c>
      <c r="AK19" s="113">
        <f>SUBTOTAL(109,Tableau_Lancer_la_requête_à_partir_de_Excel_Files102[''81''])</f>
        <v>0</v>
      </c>
      <c r="AL19" s="113">
        <f>SUBTOTAL(109,Tableau_Lancer_la_requête_à_partir_de_Excel_Files102[''82''])</f>
        <v>0</v>
      </c>
      <c r="AM19" s="113">
        <f>SUBTOTAL(109,Tableau_Lancer_la_requête_à_partir_de_Excel_Files102[''87''])</f>
        <v>0</v>
      </c>
      <c r="AN19" s="113">
        <f>SUBTOTAL(109,Tableau_Lancer_la_requête_à_partir_de_Excel_Files102[''89''])</f>
        <v>0</v>
      </c>
      <c r="AO19" s="113">
        <f>SUBTOTAL(109,Tableau_Lancer_la_requête_à_partir_de_Excel_Files102[''Autre Public''])</f>
        <v>17240.48</v>
      </c>
      <c r="AP19" s="111"/>
      <c r="AQ19" s="111"/>
      <c r="AR19" s="117"/>
      <c r="AT19" s="85"/>
      <c r="BZ19" s="4"/>
      <c r="CE19" s="3"/>
    </row>
    <row r="21" spans="1:83" x14ac:dyDescent="0.25">
      <c r="AT21" s="10"/>
    </row>
    <row r="29" spans="1:83" x14ac:dyDescent="0.25">
      <c r="E29" s="3" t="s">
        <v>85</v>
      </c>
      <c r="F29" s="6" t="s">
        <v>84</v>
      </c>
    </row>
    <row r="30" spans="1:83" x14ac:dyDescent="0.25">
      <c r="D30" t="s">
        <v>58</v>
      </c>
      <c r="E30" s="3">
        <f>I30+J30</f>
        <v>272124.66399999999</v>
      </c>
      <c r="F30" s="3">
        <f>R30+AO30</f>
        <v>272124.66399999999</v>
      </c>
      <c r="I30" s="3">
        <f>SUMIF(Tableau_Lancer_la_requête_à_partir_de_Excel_Files102[Avis Prog],"1-Favorable",Tableau_Lancer_la_requête_à_partir_de_Excel_Files102[''FEDER''])</f>
        <v>272124.66399999999</v>
      </c>
      <c r="J30" s="3">
        <f>SUMIF(Tableau_Lancer_la_requête_à_partir_de_Excel_Files102[Avis Prog],"2-Favorable sous réserve",Tableau_Lancer_la_requête_à_partir_de_Excel_Files102[''FEDER''])</f>
        <v>0</v>
      </c>
      <c r="R30" s="3">
        <f>SUMIF(Tableau_Lancer_la_requête_à_partir_de_Excel_Files102[Avis Cofimac],"1-Favorable",Tableau_Lancer_la_requête_à_partir_de_Excel_Files102[''FEDER''])</f>
        <v>272124.66399999999</v>
      </c>
      <c r="AO30" s="3">
        <f>SUMIF(Tableau_Lancer_la_requête_à_partir_de_Excel_Files102[Avis Cofimac],"2-Favorable sous réserve",Tableau_Lancer_la_requête_à_partir_de_Excel_Files102[''FEDER''])</f>
        <v>0</v>
      </c>
    </row>
    <row r="31" spans="1:83" hidden="1" x14ac:dyDescent="0.25">
      <c r="D31" t="s">
        <v>46</v>
      </c>
      <c r="E31" s="3">
        <f t="shared" ref="E31:E59" si="0">I31+J31</f>
        <v>348977.70999999996</v>
      </c>
      <c r="F31" s="3">
        <f t="shared" ref="F31:F59" si="1">R31+AO31</f>
        <v>348977.70999999996</v>
      </c>
      <c r="I31" s="3">
        <f>SUMIF(Tableau_Lancer_la_requête_à_partir_de_Excel_Files102[Avis Prog],"1-Favorable",Tableau_Lancer_la_requête_à_partir_de_Excel_Files102[Total Etat])</f>
        <v>348977.70999999996</v>
      </c>
      <c r="J31" s="3">
        <f>SUMIF(Tableau_Lancer_la_requête_à_partir_de_Excel_Files102[Avis Prog],"2-Favorable sous réserve",Tableau_Lancer_la_requête_à_partir_de_Excel_Files102[Total Etat])</f>
        <v>0</v>
      </c>
      <c r="R31" s="3">
        <f>SUMIF(Tableau_Lancer_la_requête_à_partir_de_Excel_Files102[Avis Cofimac],"1-Favorable",Tableau_Lancer_la_requête_à_partir_de_Excel_Files102[Total Etat])</f>
        <v>110442.22</v>
      </c>
      <c r="AO31" s="3">
        <f>SUMIF(Tableau_Lancer_la_requête_à_partir_de_Excel_Files102[Avis Cofimac],"2-Favorable sous réserve",Tableau_Lancer_la_requête_à_partir_de_Excel_Files102[Total Etat])</f>
        <v>238535.49</v>
      </c>
    </row>
    <row r="32" spans="1:83" hidden="1" x14ac:dyDescent="0.25">
      <c r="D32" t="s">
        <v>47</v>
      </c>
      <c r="E32" s="3">
        <f t="shared" si="0"/>
        <v>25000</v>
      </c>
      <c r="F32" s="3">
        <f t="shared" si="1"/>
        <v>25000</v>
      </c>
      <c r="I32" s="3">
        <f>SUMIF(Tableau_Lancer_la_requête_à_partir_de_Excel_Files102[Avis Prog],"1-Favorable",Tableau_Lancer_la_requête_à_partir_de_Excel_Files102[Total Régions])</f>
        <v>25000</v>
      </c>
      <c r="J32" s="3">
        <f>SUMIF(Tableau_Lancer_la_requête_à_partir_de_Excel_Files102[Avis Prog],"2-Favorable sous réserve",Tableau_Lancer_la_requête_à_partir_de_Excel_Files102[Total Régions])</f>
        <v>0</v>
      </c>
      <c r="R32" s="3">
        <f>SUMIF(Tableau_Lancer_la_requête_à_partir_de_Excel_Files102[Avis Cofimac],"1-Favorable",Tableau_Lancer_la_requête_à_partir_de_Excel_Files102[Total Régions])</f>
        <v>25000</v>
      </c>
      <c r="AO32" s="3">
        <f>SUMIF(Tableau_Lancer_la_requête_à_partir_de_Excel_Files102[Avis Cofimac],"2-Favorable sous réserve",Tableau_Lancer_la_requête_à_partir_de_Excel_Files102[Total Régions])</f>
        <v>0</v>
      </c>
    </row>
    <row r="33" spans="4:41" hidden="1" x14ac:dyDescent="0.25">
      <c r="D33" s="3" t="s">
        <v>59</v>
      </c>
      <c r="E33" s="3">
        <f t="shared" si="0"/>
        <v>0</v>
      </c>
      <c r="F33" s="3">
        <f t="shared" si="1"/>
        <v>0</v>
      </c>
      <c r="I33" s="3">
        <f>SUMIF(Tableau_Lancer_la_requête_à_partir_de_Excel_Files102[Avis Prog],"1-Favorable",Tableau_Lancer_la_requête_à_partir_de_Excel_Files102[''ALPC''])</f>
        <v>0</v>
      </c>
      <c r="J33" s="3">
        <f>SUMIF(Tableau_Lancer_la_requête_à_partir_de_Excel_Files102[Avis Prog],"2-Favorable sous réserve",Tableau_Lancer_la_requête_à_partir_de_Excel_Files102[''ALPC''])</f>
        <v>0</v>
      </c>
      <c r="R33" s="3">
        <f>SUMIF(Tableau_Lancer_la_requête_à_partir_de_Excel_Files102[Avis Cofimac],"1-Favorable",Tableau_Lancer_la_requête_à_partir_de_Excel_Files102[''ALPC''])</f>
        <v>0</v>
      </c>
      <c r="AO33" s="3">
        <f>SUMIF(Tableau_Lancer_la_requête_à_partir_de_Excel_Files102[Avis Cofimac],"2-Favorable sous réserve",Tableau_Lancer_la_requête_à_partir_de_Excel_Files102[''ALPC''])</f>
        <v>0</v>
      </c>
    </row>
    <row r="34" spans="4:41" hidden="1" x14ac:dyDescent="0.25">
      <c r="D34" s="3" t="s">
        <v>60</v>
      </c>
      <c r="E34" s="3">
        <f t="shared" si="0"/>
        <v>25000</v>
      </c>
      <c r="F34" s="3">
        <f t="shared" si="1"/>
        <v>25000</v>
      </c>
      <c r="I34" s="3">
        <f>SUMIF(Tableau_Lancer_la_requête_à_partir_de_Excel_Files102[Avis Prog],"1-Favorable",Tableau_Lancer_la_requête_à_partir_de_Excel_Files102[''AURA''])</f>
        <v>25000</v>
      </c>
      <c r="J34" s="3">
        <f>SUMIF(Tableau_Lancer_la_requête_à_partir_de_Excel_Files102[Avis Prog],"2-Favorable sous réserve",Tableau_Lancer_la_requête_à_partir_de_Excel_Files102[''AURA''])</f>
        <v>0</v>
      </c>
      <c r="R34" s="3">
        <f>SUMIF(Tableau_Lancer_la_requête_à_partir_de_Excel_Files102[Avis Cofimac],"1-Favorable",Tableau_Lancer_la_requête_à_partir_de_Excel_Files102[''AURA''])</f>
        <v>25000</v>
      </c>
      <c r="AO34" s="3">
        <f>SUMIF(Tableau_Lancer_la_requête_à_partir_de_Excel_Files102[Avis Cofimac],"2-Favorable sous réserve",Tableau_Lancer_la_requête_à_partir_de_Excel_Files102[''AURA''])</f>
        <v>0</v>
      </c>
    </row>
    <row r="35" spans="4:41" hidden="1" x14ac:dyDescent="0.25">
      <c r="D35" s="3" t="s">
        <v>61</v>
      </c>
      <c r="E35" s="3">
        <f t="shared" si="0"/>
        <v>0</v>
      </c>
      <c r="F35" s="3">
        <f t="shared" si="1"/>
        <v>0</v>
      </c>
      <c r="I35" s="3">
        <f>SUMIF(Tableau_Lancer_la_requête_à_partir_de_Excel_Files102[Avis Prog],"1-Favorable",Tableau_Lancer_la_requête_à_partir_de_Excel_Files102[''BFC''])</f>
        <v>0</v>
      </c>
      <c r="J35" s="3">
        <f>SUMIF(Tableau_Lancer_la_requête_à_partir_de_Excel_Files102[Avis Prog],"2-Favorable sous réserve",Tableau_Lancer_la_requête_à_partir_de_Excel_Files102[''BFC''])</f>
        <v>0</v>
      </c>
      <c r="R35" s="3">
        <f>SUMIF(Tableau_Lancer_la_requête_à_partir_de_Excel_Files102[Avis Cofimac],"1-Favorable",Tableau_Lancer_la_requête_à_partir_de_Excel_Files102[''BFC''])</f>
        <v>0</v>
      </c>
      <c r="AO35" s="3">
        <f>SUMIF(Tableau_Lancer_la_requête_à_partir_de_Excel_Files102[Avis Cofimac],"2-Favorable sous réserve",Tableau_Lancer_la_requête_à_partir_de_Excel_Files102[''BFC''])</f>
        <v>0</v>
      </c>
    </row>
    <row r="36" spans="4:41" hidden="1" x14ac:dyDescent="0.25">
      <c r="D36" s="3" t="s">
        <v>62</v>
      </c>
      <c r="E36" s="3">
        <f t="shared" si="0"/>
        <v>0</v>
      </c>
      <c r="F36" s="3">
        <f t="shared" si="1"/>
        <v>0</v>
      </c>
      <c r="I36" s="3">
        <f>SUMIF(Tableau_Lancer_la_requête_à_partir_de_Excel_Files102[Avis Prog],"1-Favorable",Tableau_Lancer_la_requête_à_partir_de_Excel_Files102[''LRMP''])</f>
        <v>0</v>
      </c>
      <c r="J36" s="3">
        <f>SUMIF(Tableau_Lancer_la_requête_à_partir_de_Excel_Files102[Avis Prog],"2-Favorable sous réserve",Tableau_Lancer_la_requête_à_partir_de_Excel_Files102[''LRMP''])</f>
        <v>0</v>
      </c>
      <c r="R36" s="3">
        <f>SUMIF(Tableau_Lancer_la_requête_à_partir_de_Excel_Files102[Avis Cofimac],"1-Favorable",Tableau_Lancer_la_requête_à_partir_de_Excel_Files102[''LRMP''])</f>
        <v>0</v>
      </c>
      <c r="AO36" s="3">
        <f>SUMIF(Tableau_Lancer_la_requête_à_partir_de_Excel_Files102[Avis Cofimac],"2-Favorable sous réserve",Tableau_Lancer_la_requête_à_partir_de_Excel_Files102[''LRMP''])</f>
        <v>0</v>
      </c>
    </row>
    <row r="37" spans="4:41" hidden="1" x14ac:dyDescent="0.25">
      <c r="D37" t="s">
        <v>48</v>
      </c>
      <c r="E37" s="3">
        <f t="shared" si="0"/>
        <v>0</v>
      </c>
      <c r="F37" s="3">
        <f t="shared" si="1"/>
        <v>0</v>
      </c>
      <c r="I37" s="3">
        <f>SUMIF(Tableau_Lancer_la_requête_à_partir_de_Excel_Files102[Avis Prog],"1-Favorable",Tableau_Lancer_la_requête_à_partir_de_Excel_Files102[Total Dpts])</f>
        <v>0</v>
      </c>
      <c r="J37" s="3">
        <f>SUMIF(Tableau_Lancer_la_requête_à_partir_de_Excel_Files102[Avis Prog],"2-Favorable sous réserve",Tableau_Lancer_la_requête_à_partir_de_Excel_Files102[Total Dpts])</f>
        <v>0</v>
      </c>
      <c r="R37" s="3">
        <f>SUMIF(Tableau_Lancer_la_requête_à_partir_de_Excel_Files102[Avis Cofimac],"1-Favorable",Tableau_Lancer_la_requête_à_partir_de_Excel_Files102[Total Dpts])</f>
        <v>0</v>
      </c>
      <c r="AO37" s="3">
        <f>SUMIF(Tableau_Lancer_la_requête_à_partir_de_Excel_Files102[Avis Cofimac],"2-Favorable sous réserve",Tableau_Lancer_la_requête_à_partir_de_Excel_Files102[Total Dpts])</f>
        <v>0</v>
      </c>
    </row>
    <row r="38" spans="4:41" hidden="1" x14ac:dyDescent="0.25">
      <c r="D38" t="s">
        <v>22</v>
      </c>
      <c r="E38" s="3">
        <f t="shared" si="0"/>
        <v>0</v>
      </c>
      <c r="F38" s="3">
        <f t="shared" si="1"/>
        <v>0</v>
      </c>
      <c r="I38" s="3">
        <f>SUMIF(Tableau_Lancer_la_requête_à_partir_de_Excel_Files102[Avis Prog],"1-Favorable",Tableau_Lancer_la_requête_à_partir_de_Excel_Files102[''03''])</f>
        <v>0</v>
      </c>
      <c r="J38" s="3">
        <f>SUMIF(Tableau_Lancer_la_requête_à_partir_de_Excel_Files102[Avis Prog],"2-Favorable sous réserve",Tableau_Lancer_la_requête_à_partir_de_Excel_Files102[''03''])</f>
        <v>0</v>
      </c>
      <c r="R38" s="3">
        <f>SUMIF(Tableau_Lancer_la_requête_à_partir_de_Excel_Files102[Avis Cofimac],"1-Favorable",Tableau_Lancer_la_requête_à_partir_de_Excel_Files102[''03''])</f>
        <v>0</v>
      </c>
      <c r="AO38" s="3">
        <f>SUMIF(Tableau_Lancer_la_requête_à_partir_de_Excel_Files102[Avis Cofimac],"2-Favorable sous réserve",Tableau_Lancer_la_requête_à_partir_de_Excel_Files102[''03''])</f>
        <v>0</v>
      </c>
    </row>
    <row r="39" spans="4:41" hidden="1" x14ac:dyDescent="0.25">
      <c r="D39" t="s">
        <v>23</v>
      </c>
      <c r="E39" s="3">
        <f t="shared" si="0"/>
        <v>0</v>
      </c>
      <c r="F39" s="3">
        <f t="shared" si="1"/>
        <v>0</v>
      </c>
      <c r="I39" s="3">
        <f>SUMIF(Tableau_Lancer_la_requête_à_partir_de_Excel_Files102[Avis Prog],"1-Favorable",Tableau_Lancer_la_requête_à_partir_de_Excel_Files102[''07''])</f>
        <v>0</v>
      </c>
      <c r="J39" s="3">
        <f>SUMIF(Tableau_Lancer_la_requête_à_partir_de_Excel_Files102[Avis Prog],"2-Favorable sous réserve",Tableau_Lancer_la_requête_à_partir_de_Excel_Files102[''07''])</f>
        <v>0</v>
      </c>
      <c r="R39" s="3">
        <f>SUMIF(Tableau_Lancer_la_requête_à_partir_de_Excel_Files102[Avis Cofimac],"1-Favorable",Tableau_Lancer_la_requête_à_partir_de_Excel_Files102[''07''])</f>
        <v>0</v>
      </c>
      <c r="AO39" s="3">
        <f>SUMIF(Tableau_Lancer_la_requête_à_partir_de_Excel_Files102[Avis Cofimac],"2-Favorable sous réserve",Tableau_Lancer_la_requête_à_partir_de_Excel_Files102[''07''])</f>
        <v>0</v>
      </c>
    </row>
    <row r="40" spans="4:41" hidden="1" x14ac:dyDescent="0.25">
      <c r="D40" t="s">
        <v>24</v>
      </c>
      <c r="E40" s="3">
        <f t="shared" si="0"/>
        <v>0</v>
      </c>
      <c r="F40" s="3">
        <f t="shared" si="1"/>
        <v>0</v>
      </c>
      <c r="I40" s="3">
        <f>SUMIF(Tableau_Lancer_la_requête_à_partir_de_Excel_Files102[Avis Prog],"1-Favorable",Tableau_Lancer_la_requête_à_partir_de_Excel_Files102[''11''])</f>
        <v>0</v>
      </c>
      <c r="J40" s="3">
        <f>SUMIF(Tableau_Lancer_la_requête_à_partir_de_Excel_Files102[Avis Prog],"2-Favorable sous réserve",Tableau_Lancer_la_requête_à_partir_de_Excel_Files102[''11''])</f>
        <v>0</v>
      </c>
      <c r="R40" s="3">
        <f>SUMIF(Tableau_Lancer_la_requête_à_partir_de_Excel_Files102[Avis Cofimac],"1-Favorable",Tableau_Lancer_la_requête_à_partir_de_Excel_Files102[''11''])</f>
        <v>0</v>
      </c>
      <c r="AO40" s="3">
        <f>SUMIF(Tableau_Lancer_la_requête_à_partir_de_Excel_Files102[Avis Cofimac],"2-Favorable sous réserve",Tableau_Lancer_la_requête_à_partir_de_Excel_Files102[''11''])</f>
        <v>0</v>
      </c>
    </row>
    <row r="41" spans="4:41" hidden="1" x14ac:dyDescent="0.25">
      <c r="D41" t="s">
        <v>25</v>
      </c>
      <c r="E41" s="3">
        <f t="shared" si="0"/>
        <v>0</v>
      </c>
      <c r="F41" s="3">
        <f t="shared" si="1"/>
        <v>0</v>
      </c>
      <c r="I41" s="3">
        <f>SUMIF(Tableau_Lancer_la_requête_à_partir_de_Excel_Files102[Avis Prog],"1-Favorable",Tableau_Lancer_la_requête_à_partir_de_Excel_Files102[''12''])</f>
        <v>0</v>
      </c>
      <c r="J41" s="3">
        <f>SUMIF(Tableau_Lancer_la_requête_à_partir_de_Excel_Files102[Avis Prog],"2-Favorable sous réserve",Tableau_Lancer_la_requête_à_partir_de_Excel_Files102[''12''])</f>
        <v>0</v>
      </c>
      <c r="R41" s="3">
        <f>SUMIF(Tableau_Lancer_la_requête_à_partir_de_Excel_Files102[Avis Cofimac],"1-Favorable",Tableau_Lancer_la_requête_à_partir_de_Excel_Files102[''12''])</f>
        <v>0</v>
      </c>
      <c r="AO41" s="3">
        <f>SUMIF(Tableau_Lancer_la_requête_à_partir_de_Excel_Files102[Avis Cofimac],"2-Favorable sous réserve",Tableau_Lancer_la_requête_à_partir_de_Excel_Files102[''12''])</f>
        <v>0</v>
      </c>
    </row>
    <row r="42" spans="4:41" hidden="1" x14ac:dyDescent="0.25">
      <c r="D42" t="s">
        <v>26</v>
      </c>
      <c r="E42" s="3">
        <f t="shared" si="0"/>
        <v>0</v>
      </c>
      <c r="F42" s="3">
        <f t="shared" si="1"/>
        <v>0</v>
      </c>
      <c r="I42" s="3">
        <f>SUMIF(Tableau_Lancer_la_requête_à_partir_de_Excel_Files102[Avis Prog],"1-Favorable",Tableau_Lancer_la_requête_à_partir_de_Excel_Files102[''15''])</f>
        <v>0</v>
      </c>
      <c r="J42" s="3">
        <f>SUMIF(Tableau_Lancer_la_requête_à_partir_de_Excel_Files102[Avis Prog],"2-Favorable sous réserve",Tableau_Lancer_la_requête_à_partir_de_Excel_Files102[''15''])</f>
        <v>0</v>
      </c>
      <c r="R42" s="3">
        <f>SUMIF(Tableau_Lancer_la_requête_à_partir_de_Excel_Files102[Avis Cofimac],"1-Favorable",Tableau_Lancer_la_requête_à_partir_de_Excel_Files102[''15''])</f>
        <v>0</v>
      </c>
      <c r="AO42" s="3">
        <f>SUMIF(Tableau_Lancer_la_requête_à_partir_de_Excel_Files102[Avis Cofimac],"2-Favorable sous réserve",Tableau_Lancer_la_requête_à_partir_de_Excel_Files102[''15''])</f>
        <v>0</v>
      </c>
    </row>
    <row r="43" spans="4:41" hidden="1" x14ac:dyDescent="0.25">
      <c r="D43" t="s">
        <v>27</v>
      </c>
      <c r="E43" s="3">
        <f t="shared" si="0"/>
        <v>0</v>
      </c>
      <c r="F43" s="3">
        <f t="shared" si="1"/>
        <v>0</v>
      </c>
      <c r="I43" s="3">
        <f>SUMIF(Tableau_Lancer_la_requête_à_partir_de_Excel_Files102[Avis Prog],"1-Favorable",Tableau_Lancer_la_requête_à_partir_de_Excel_Files102[''19''])</f>
        <v>0</v>
      </c>
      <c r="J43" s="3">
        <f>SUMIF(Tableau_Lancer_la_requête_à_partir_de_Excel_Files102[Avis Prog],"2-Favorable sous réserve",Tableau_Lancer_la_requête_à_partir_de_Excel_Files102[''19''])</f>
        <v>0</v>
      </c>
      <c r="R43" s="3">
        <f>SUMIF(Tableau_Lancer_la_requête_à_partir_de_Excel_Files102[Avis Cofimac],"1-Favorable",Tableau_Lancer_la_requête_à_partir_de_Excel_Files102[''19''])</f>
        <v>0</v>
      </c>
      <c r="AO43" s="3">
        <f>SUMIF(Tableau_Lancer_la_requête_à_partir_de_Excel_Files102[Avis Cofimac],"2-Favorable sous réserve",Tableau_Lancer_la_requête_à_partir_de_Excel_Files102[''19''])</f>
        <v>0</v>
      </c>
    </row>
    <row r="44" spans="4:41" hidden="1" x14ac:dyDescent="0.25">
      <c r="D44" t="s">
        <v>28</v>
      </c>
      <c r="E44" s="3">
        <f t="shared" si="0"/>
        <v>0</v>
      </c>
      <c r="F44" s="3">
        <f t="shared" si="1"/>
        <v>0</v>
      </c>
      <c r="I44" s="3">
        <f>SUMIF(Tableau_Lancer_la_requête_à_partir_de_Excel_Files102[Avis Prog],"1-Favorable",Tableau_Lancer_la_requête_à_partir_de_Excel_Files102[''21''])</f>
        <v>0</v>
      </c>
      <c r="J44" s="3">
        <f>SUMIF(Tableau_Lancer_la_requête_à_partir_de_Excel_Files102[Avis Prog],"2-Favorable sous réserve",Tableau_Lancer_la_requête_à_partir_de_Excel_Files102[''21''])</f>
        <v>0</v>
      </c>
      <c r="R44" s="3">
        <f>SUMIF(Tableau_Lancer_la_requête_à_partir_de_Excel_Files102[Avis Cofimac],"1-Favorable",Tableau_Lancer_la_requête_à_partir_de_Excel_Files102[''21''])</f>
        <v>0</v>
      </c>
      <c r="AO44" s="3">
        <f>SUMIF(Tableau_Lancer_la_requête_à_partir_de_Excel_Files102[Avis Cofimac],"2-Favorable sous réserve",Tableau_Lancer_la_requête_à_partir_de_Excel_Files102[''21''])</f>
        <v>0</v>
      </c>
    </row>
    <row r="45" spans="4:41" hidden="1" x14ac:dyDescent="0.25">
      <c r="D45" t="s">
        <v>29</v>
      </c>
      <c r="E45" s="3">
        <f t="shared" si="0"/>
        <v>0</v>
      </c>
      <c r="F45" s="3">
        <f t="shared" si="1"/>
        <v>0</v>
      </c>
      <c r="I45" s="3">
        <f>SUMIF(Tableau_Lancer_la_requête_à_partir_de_Excel_Files102[Avis Prog],"1-Favorable",Tableau_Lancer_la_requête_à_partir_de_Excel_Files102[''23''])</f>
        <v>0</v>
      </c>
      <c r="J45" s="3">
        <f>SUMIF(Tableau_Lancer_la_requête_à_partir_de_Excel_Files102[Avis Prog],"2-Favorable sous réserve",Tableau_Lancer_la_requête_à_partir_de_Excel_Files102[''23''])</f>
        <v>0</v>
      </c>
      <c r="R45" s="3">
        <f>SUMIF(Tableau_Lancer_la_requête_à_partir_de_Excel_Files102[Avis Cofimac],"1-Favorable",Tableau_Lancer_la_requête_à_partir_de_Excel_Files102[''23''])</f>
        <v>0</v>
      </c>
      <c r="AO45" s="3">
        <f>SUMIF(Tableau_Lancer_la_requête_à_partir_de_Excel_Files102[Avis Cofimac],"2-Favorable sous réserve",Tableau_Lancer_la_requête_à_partir_de_Excel_Files102[''23''])</f>
        <v>0</v>
      </c>
    </row>
    <row r="46" spans="4:41" hidden="1" x14ac:dyDescent="0.25">
      <c r="D46" t="s">
        <v>30</v>
      </c>
      <c r="E46" s="3">
        <f t="shared" si="0"/>
        <v>0</v>
      </c>
      <c r="F46" s="3">
        <f t="shared" si="1"/>
        <v>0</v>
      </c>
      <c r="I46" s="3">
        <f>SUMIF(Tableau_Lancer_la_requête_à_partir_de_Excel_Files102[Avis Prog],"1-Favorable",Tableau_Lancer_la_requête_à_partir_de_Excel_Files102[''30''])</f>
        <v>0</v>
      </c>
      <c r="J46" s="3">
        <f>SUMIF(Tableau_Lancer_la_requête_à_partir_de_Excel_Files102[Avis Prog],"2-Favorable sous réserve",Tableau_Lancer_la_requête_à_partir_de_Excel_Files102[''30''])</f>
        <v>0</v>
      </c>
      <c r="R46" s="3">
        <f>SUMIF(Tableau_Lancer_la_requête_à_partir_de_Excel_Files102[Avis Cofimac],"1-Favorable",Tableau_Lancer_la_requête_à_partir_de_Excel_Files102[''30''])</f>
        <v>0</v>
      </c>
      <c r="AO46" s="3">
        <f>SUMIF(Tableau_Lancer_la_requête_à_partir_de_Excel_Files102[Avis Cofimac],"2-Favorable sous réserve",Tableau_Lancer_la_requête_à_partir_de_Excel_Files102[''30''])</f>
        <v>0</v>
      </c>
    </row>
    <row r="47" spans="4:41" hidden="1" x14ac:dyDescent="0.25">
      <c r="D47" t="s">
        <v>31</v>
      </c>
      <c r="E47" s="3">
        <f t="shared" si="0"/>
        <v>0</v>
      </c>
      <c r="F47" s="3">
        <f t="shared" si="1"/>
        <v>0</v>
      </c>
      <c r="I47" s="3">
        <f>SUMIF(Tableau_Lancer_la_requête_à_partir_de_Excel_Files102[Avis Prog],"1-Favorable",Tableau_Lancer_la_requête_à_partir_de_Excel_Files102[''34''])</f>
        <v>0</v>
      </c>
      <c r="J47" s="3">
        <f>SUMIF(Tableau_Lancer_la_requête_à_partir_de_Excel_Files102[Avis Prog],"2-Favorable sous réserve",Tableau_Lancer_la_requête_à_partir_de_Excel_Files102[''34''])</f>
        <v>0</v>
      </c>
      <c r="R47" s="3">
        <f>SUMIF(Tableau_Lancer_la_requête_à_partir_de_Excel_Files102[Avis Cofimac],"1-Favorable",Tableau_Lancer_la_requête_à_partir_de_Excel_Files102[''34''])</f>
        <v>0</v>
      </c>
      <c r="AO47" s="3">
        <f>SUMIF(Tableau_Lancer_la_requête_à_partir_de_Excel_Files102[Avis Cofimac],"2-Favorable sous réserve",Tableau_Lancer_la_requête_à_partir_de_Excel_Files102[''34''])</f>
        <v>0</v>
      </c>
    </row>
    <row r="48" spans="4:41" hidden="1" x14ac:dyDescent="0.25">
      <c r="D48" t="s">
        <v>32</v>
      </c>
      <c r="E48" s="3">
        <f t="shared" si="0"/>
        <v>0</v>
      </c>
      <c r="F48" s="3">
        <f t="shared" si="1"/>
        <v>0</v>
      </c>
      <c r="I48" s="3">
        <f>SUMIF(Tableau_Lancer_la_requête_à_partir_de_Excel_Files102[Avis Prog],"1-Favorable",Tableau_Lancer_la_requête_à_partir_de_Excel_Files102[''42''])</f>
        <v>0</v>
      </c>
      <c r="J48" s="3">
        <f>SUMIF(Tableau_Lancer_la_requête_à_partir_de_Excel_Files102[Avis Prog],"2-Favorable sous réserve",Tableau_Lancer_la_requête_à_partir_de_Excel_Files102[''42''])</f>
        <v>0</v>
      </c>
      <c r="R48" s="3">
        <f>SUMIF(Tableau_Lancer_la_requête_à_partir_de_Excel_Files102[Avis Cofimac],"1-Favorable",Tableau_Lancer_la_requête_à_partir_de_Excel_Files102[''42''])</f>
        <v>0</v>
      </c>
      <c r="AO48" s="3">
        <f>SUMIF(Tableau_Lancer_la_requête_à_partir_de_Excel_Files102[Avis Cofimac],"2-Favorable sous réserve",Tableau_Lancer_la_requête_à_partir_de_Excel_Files102[''42''])</f>
        <v>0</v>
      </c>
    </row>
    <row r="49" spans="4:41" hidden="1" x14ac:dyDescent="0.25">
      <c r="D49" t="s">
        <v>33</v>
      </c>
      <c r="E49" s="3">
        <f t="shared" si="0"/>
        <v>0</v>
      </c>
      <c r="F49" s="3">
        <f t="shared" si="1"/>
        <v>0</v>
      </c>
      <c r="I49" s="3">
        <f>SUMIF(Tableau_Lancer_la_requête_à_partir_de_Excel_Files102[Avis Prog],"1-Favorable",Tableau_Lancer_la_requête_à_partir_de_Excel_Files102[''43''])</f>
        <v>0</v>
      </c>
      <c r="J49" s="3">
        <f>SUMIF(Tableau_Lancer_la_requête_à_partir_de_Excel_Files102[Avis Prog],"2-Favorable sous réserve",Tableau_Lancer_la_requête_à_partir_de_Excel_Files102[''43''])</f>
        <v>0</v>
      </c>
      <c r="R49" s="3">
        <f>SUMIF(Tableau_Lancer_la_requête_à_partir_de_Excel_Files102[Avis Cofimac],"1-Favorable",Tableau_Lancer_la_requête_à_partir_de_Excel_Files102[''43''])</f>
        <v>0</v>
      </c>
      <c r="AO49" s="3">
        <f>SUMIF(Tableau_Lancer_la_requête_à_partir_de_Excel_Files102[Avis Cofimac],"2-Favorable sous réserve",Tableau_Lancer_la_requête_à_partir_de_Excel_Files102[''43''])</f>
        <v>0</v>
      </c>
    </row>
    <row r="50" spans="4:41" hidden="1" x14ac:dyDescent="0.25">
      <c r="D50" t="s">
        <v>34</v>
      </c>
      <c r="E50" s="3">
        <f t="shared" si="0"/>
        <v>0</v>
      </c>
      <c r="F50" s="3">
        <f t="shared" si="1"/>
        <v>0</v>
      </c>
      <c r="I50" s="3">
        <f>SUMIF(Tableau_Lancer_la_requête_à_partir_de_Excel_Files102[Avis Prog],"1-Favorable",Tableau_Lancer_la_requête_à_partir_de_Excel_Files102[''46''])</f>
        <v>0</v>
      </c>
      <c r="J50" s="3">
        <f>SUMIF(Tableau_Lancer_la_requête_à_partir_de_Excel_Files102[Avis Prog],"2-Favorable sous réserve",Tableau_Lancer_la_requête_à_partir_de_Excel_Files102[''46''])</f>
        <v>0</v>
      </c>
      <c r="R50" s="3">
        <f>SUMIF(Tableau_Lancer_la_requête_à_partir_de_Excel_Files102[Avis Cofimac],"1-Favorable",Tableau_Lancer_la_requête_à_partir_de_Excel_Files102[''46''])</f>
        <v>0</v>
      </c>
      <c r="AO50" s="3">
        <f>SUMIF(Tableau_Lancer_la_requête_à_partir_de_Excel_Files102[Avis Cofimac],"2-Favorable sous réserve",Tableau_Lancer_la_requête_à_partir_de_Excel_Files102[''46''])</f>
        <v>0</v>
      </c>
    </row>
    <row r="51" spans="4:41" hidden="1" x14ac:dyDescent="0.25">
      <c r="D51" t="s">
        <v>35</v>
      </c>
      <c r="E51" s="3">
        <f t="shared" si="0"/>
        <v>0</v>
      </c>
      <c r="F51" s="3">
        <f t="shared" si="1"/>
        <v>0</v>
      </c>
      <c r="I51" s="3">
        <f>SUMIF(Tableau_Lancer_la_requête_à_partir_de_Excel_Files102[Avis Prog],"1-Favorable",Tableau_Lancer_la_requête_à_partir_de_Excel_Files102[''48''])</f>
        <v>0</v>
      </c>
      <c r="J51" s="3">
        <f>SUMIF(Tableau_Lancer_la_requête_à_partir_de_Excel_Files102[Avis Prog],"2-Favorable sous réserve",Tableau_Lancer_la_requête_à_partir_de_Excel_Files102[''48''])</f>
        <v>0</v>
      </c>
      <c r="R51" s="3">
        <f>SUMIF(Tableau_Lancer_la_requête_à_partir_de_Excel_Files102[Avis Cofimac],"1-Favorable",Tableau_Lancer_la_requête_à_partir_de_Excel_Files102[''48''])</f>
        <v>0</v>
      </c>
      <c r="AO51" s="3">
        <f>SUMIF(Tableau_Lancer_la_requête_à_partir_de_Excel_Files102[Avis Cofimac],"2-Favorable sous réserve",Tableau_Lancer_la_requête_à_partir_de_Excel_Files102[''48''])</f>
        <v>0</v>
      </c>
    </row>
    <row r="52" spans="4:41" hidden="1" x14ac:dyDescent="0.25">
      <c r="D52" t="s">
        <v>36</v>
      </c>
      <c r="E52" s="3">
        <f t="shared" si="0"/>
        <v>0</v>
      </c>
      <c r="F52" s="3">
        <f t="shared" si="1"/>
        <v>0</v>
      </c>
      <c r="I52" s="3">
        <f>SUMIF(Tableau_Lancer_la_requête_à_partir_de_Excel_Files102[Avis Prog],"1-Favorable",Tableau_Lancer_la_requête_à_partir_de_Excel_Files102[''58''])</f>
        <v>0</v>
      </c>
      <c r="J52" s="3">
        <f>SUMIF(Tableau_Lancer_la_requête_à_partir_de_Excel_Files102[Avis Prog],"2-Favorable sous réserve",Tableau_Lancer_la_requête_à_partir_de_Excel_Files102[''58''])</f>
        <v>0</v>
      </c>
      <c r="R52" s="3">
        <f>SUMIF(Tableau_Lancer_la_requête_à_partir_de_Excel_Files102[Avis Cofimac],"1-Favorable",Tableau_Lancer_la_requête_à_partir_de_Excel_Files102[''58''])</f>
        <v>0</v>
      </c>
      <c r="AO52" s="3">
        <f>SUMIF(Tableau_Lancer_la_requête_à_partir_de_Excel_Files102[Avis Cofimac],"2-Favorable sous réserve",Tableau_Lancer_la_requête_à_partir_de_Excel_Files102[''58''])</f>
        <v>0</v>
      </c>
    </row>
    <row r="53" spans="4:41" hidden="1" x14ac:dyDescent="0.25">
      <c r="D53" t="s">
        <v>37</v>
      </c>
      <c r="E53" s="3">
        <f t="shared" si="0"/>
        <v>0</v>
      </c>
      <c r="F53" s="3">
        <f t="shared" si="1"/>
        <v>0</v>
      </c>
      <c r="I53" s="3">
        <f>SUMIF(Tableau_Lancer_la_requête_à_partir_de_Excel_Files102[Avis Prog],"1-Favorable",Tableau_Lancer_la_requête_à_partir_de_Excel_Files102[''63''])</f>
        <v>0</v>
      </c>
      <c r="J53" s="3">
        <f>SUMIF(Tableau_Lancer_la_requête_à_partir_de_Excel_Files102[Avis Prog],"2-Favorable sous réserve",Tableau_Lancer_la_requête_à_partir_de_Excel_Files102[''63''])</f>
        <v>0</v>
      </c>
      <c r="R53" s="3">
        <f>SUMIF(Tableau_Lancer_la_requête_à_partir_de_Excel_Files102[Avis Cofimac],"1-Favorable",Tableau_Lancer_la_requête_à_partir_de_Excel_Files102[''63''])</f>
        <v>0</v>
      </c>
      <c r="AO53" s="3">
        <f>SUMIF(Tableau_Lancer_la_requête_à_partir_de_Excel_Files102[Avis Cofimac],"2-Favorable sous réserve",Tableau_Lancer_la_requête_à_partir_de_Excel_Files102[''63''])</f>
        <v>0</v>
      </c>
    </row>
    <row r="54" spans="4:41" hidden="1" x14ac:dyDescent="0.25">
      <c r="D54" t="s">
        <v>38</v>
      </c>
      <c r="E54" s="3">
        <f t="shared" si="0"/>
        <v>0</v>
      </c>
      <c r="F54" s="3">
        <f t="shared" si="1"/>
        <v>0</v>
      </c>
      <c r="I54" s="3">
        <f>SUMIF(Tableau_Lancer_la_requête_à_partir_de_Excel_Files102[Avis Prog],"1-Favorable",Tableau_Lancer_la_requête_à_partir_de_Excel_Files102[''69''])</f>
        <v>0</v>
      </c>
      <c r="J54" s="3">
        <f>SUMIF(Tableau_Lancer_la_requête_à_partir_de_Excel_Files102[Avis Prog],"2-Favorable sous réserve",Tableau_Lancer_la_requête_à_partir_de_Excel_Files102[''69''])</f>
        <v>0</v>
      </c>
      <c r="R54" s="3">
        <f>SUMIF(Tableau_Lancer_la_requête_à_partir_de_Excel_Files102[Avis Cofimac],"1-Favorable",Tableau_Lancer_la_requête_à_partir_de_Excel_Files102[''69''])</f>
        <v>0</v>
      </c>
      <c r="AO54" s="3">
        <f>SUMIF(Tableau_Lancer_la_requête_à_partir_de_Excel_Files102[Avis Cofimac],"2-Favorable sous réserve",Tableau_Lancer_la_requête_à_partir_de_Excel_Files102[''69''])</f>
        <v>0</v>
      </c>
    </row>
    <row r="55" spans="4:41" hidden="1" x14ac:dyDescent="0.25">
      <c r="D55" t="s">
        <v>39</v>
      </c>
      <c r="E55" s="3">
        <f t="shared" si="0"/>
        <v>0</v>
      </c>
      <c r="F55" s="3">
        <f t="shared" si="1"/>
        <v>0</v>
      </c>
      <c r="I55" s="3">
        <f>SUMIF(Tableau_Lancer_la_requête_à_partir_de_Excel_Files102[Avis Prog],"1-Favorable",Tableau_Lancer_la_requête_à_partir_de_Excel_Files102[''71''])</f>
        <v>0</v>
      </c>
      <c r="J55" s="3">
        <f>SUMIF(Tableau_Lancer_la_requête_à_partir_de_Excel_Files102[Avis Prog],"2-Favorable sous réserve",Tableau_Lancer_la_requête_à_partir_de_Excel_Files102[''71''])</f>
        <v>0</v>
      </c>
      <c r="R55" s="3">
        <f>SUMIF(Tableau_Lancer_la_requête_à_partir_de_Excel_Files102[Avis Cofimac],"1-Favorable",Tableau_Lancer_la_requête_à_partir_de_Excel_Files102[''71''])</f>
        <v>0</v>
      </c>
      <c r="AO55" s="3">
        <f>SUMIF(Tableau_Lancer_la_requête_à_partir_de_Excel_Files102[Avis Cofimac],"2-Favorable sous réserve",Tableau_Lancer_la_requête_à_partir_de_Excel_Files102[''71''])</f>
        <v>0</v>
      </c>
    </row>
    <row r="56" spans="4:41" hidden="1" x14ac:dyDescent="0.25">
      <c r="D56" t="s">
        <v>40</v>
      </c>
      <c r="E56" s="3">
        <f t="shared" si="0"/>
        <v>0</v>
      </c>
      <c r="F56" s="3">
        <f t="shared" si="1"/>
        <v>0</v>
      </c>
      <c r="I56" s="3">
        <f>SUMIF(Tableau_Lancer_la_requête_à_partir_de_Excel_Files102[Avis Prog],"1-Favorable",Tableau_Lancer_la_requête_à_partir_de_Excel_Files102[''81''])</f>
        <v>0</v>
      </c>
      <c r="J56" s="3">
        <f>SUMIF(Tableau_Lancer_la_requête_à_partir_de_Excel_Files102[Avis Prog],"2-Favorable sous réserve",Tableau_Lancer_la_requête_à_partir_de_Excel_Files102[''81''])</f>
        <v>0</v>
      </c>
      <c r="R56" s="3">
        <f>SUMIF(Tableau_Lancer_la_requête_à_partir_de_Excel_Files102[Avis Cofimac],"1-Favorable",Tableau_Lancer_la_requête_à_partir_de_Excel_Files102[''81''])</f>
        <v>0</v>
      </c>
      <c r="AO56" s="3">
        <f>SUMIF(Tableau_Lancer_la_requête_à_partir_de_Excel_Files102[Avis Cofimac],"2-Favorable sous réserve",Tableau_Lancer_la_requête_à_partir_de_Excel_Files102[''81''])</f>
        <v>0</v>
      </c>
    </row>
    <row r="57" spans="4:41" hidden="1" x14ac:dyDescent="0.25">
      <c r="D57" t="s">
        <v>41</v>
      </c>
      <c r="E57" s="3">
        <f t="shared" si="0"/>
        <v>0</v>
      </c>
      <c r="F57" s="3">
        <f t="shared" si="1"/>
        <v>0</v>
      </c>
      <c r="I57" s="3">
        <f>SUMIF(Tableau_Lancer_la_requête_à_partir_de_Excel_Files102[Avis Prog],"1-Favorable",Tableau_Lancer_la_requête_à_partir_de_Excel_Files102[''82''])</f>
        <v>0</v>
      </c>
      <c r="J57" s="3">
        <f>SUMIF(Tableau_Lancer_la_requête_à_partir_de_Excel_Files102[Avis Prog],"2-Favorable sous réserve",Tableau_Lancer_la_requête_à_partir_de_Excel_Files102[''82''])</f>
        <v>0</v>
      </c>
      <c r="R57" s="3">
        <f>SUMIF(Tableau_Lancer_la_requête_à_partir_de_Excel_Files102[Avis Cofimac],"1-Favorable",Tableau_Lancer_la_requête_à_partir_de_Excel_Files102[''82''])</f>
        <v>0</v>
      </c>
      <c r="AO57" s="3">
        <f>SUMIF(Tableau_Lancer_la_requête_à_partir_de_Excel_Files102[Avis Cofimac],"2-Favorable sous réserve",Tableau_Lancer_la_requête_à_partir_de_Excel_Files102[''82''])</f>
        <v>0</v>
      </c>
    </row>
    <row r="58" spans="4:41" hidden="1" x14ac:dyDescent="0.25">
      <c r="D58" t="s">
        <v>42</v>
      </c>
      <c r="E58" s="3">
        <f t="shared" si="0"/>
        <v>0</v>
      </c>
      <c r="F58" s="3">
        <f t="shared" si="1"/>
        <v>0</v>
      </c>
      <c r="I58" s="3">
        <f>SUMIF(Tableau_Lancer_la_requête_à_partir_de_Excel_Files102[Avis Prog],"1-Favorable",Tableau_Lancer_la_requête_à_partir_de_Excel_Files102[''87''])</f>
        <v>0</v>
      </c>
      <c r="J58" s="3">
        <f>SUMIF(Tableau_Lancer_la_requête_à_partir_de_Excel_Files102[Avis Prog],"2-Favorable sous réserve",Tableau_Lancer_la_requête_à_partir_de_Excel_Files102[''87''])</f>
        <v>0</v>
      </c>
      <c r="R58" s="3">
        <f>SUMIF(Tableau_Lancer_la_requête_à_partir_de_Excel_Files102[Avis Cofimac],"1-Favorable",Tableau_Lancer_la_requête_à_partir_de_Excel_Files102[''87''])</f>
        <v>0</v>
      </c>
      <c r="AO58" s="3">
        <f>SUMIF(Tableau_Lancer_la_requête_à_partir_de_Excel_Files102[Avis Cofimac],"2-Favorable sous réserve",Tableau_Lancer_la_requête_à_partir_de_Excel_Files102[''87''])</f>
        <v>0</v>
      </c>
    </row>
    <row r="59" spans="4:41" hidden="1" x14ac:dyDescent="0.25">
      <c r="D59" t="s">
        <v>43</v>
      </c>
      <c r="E59" s="3">
        <f t="shared" si="0"/>
        <v>0</v>
      </c>
      <c r="F59" s="3">
        <f t="shared" si="1"/>
        <v>0</v>
      </c>
      <c r="I59" s="3">
        <f>SUMIF(Tableau_Lancer_la_requête_à_partir_de_Excel_Files102[Avis Prog],"1-Favorable",Tableau_Lancer_la_requête_à_partir_de_Excel_Files102[''89''])</f>
        <v>0</v>
      </c>
      <c r="J59" s="3">
        <f>SUMIF(Tableau_Lancer_la_requête_à_partir_de_Excel_Files102[Avis Prog],"2-Favorable sous réserve",Tableau_Lancer_la_requête_à_partir_de_Excel_Files102[''89''])</f>
        <v>0</v>
      </c>
      <c r="R59" s="3">
        <f>SUMIF(Tableau_Lancer_la_requête_à_partir_de_Excel_Files102[Avis Cofimac],"1-Favorable",Tableau_Lancer_la_requête_à_partir_de_Excel_Files102[''89''])</f>
        <v>0</v>
      </c>
      <c r="AO59" s="3">
        <f>SUMIF(Tableau_Lancer_la_requête_à_partir_de_Excel_Files102[Avis Cofimac],"2-Favorable sous réserve",Tableau_Lancer_la_requête_à_partir_de_Excel_Files102[''89''])</f>
        <v>0</v>
      </c>
    </row>
    <row r="60" spans="4:41" hidden="1" x14ac:dyDescent="0.25">
      <c r="R60" s="6"/>
      <c r="AO60" s="6"/>
    </row>
    <row r="61" spans="4:41" hidden="1" x14ac:dyDescent="0.25"/>
  </sheetData>
  <conditionalFormatting sqref="AP7:AP18 AR7:AR18">
    <cfRule type="cellIs" dxfId="960" priority="6" operator="equal">
      <formula>"6-Retiré/Abandon"</formula>
    </cfRule>
    <cfRule type="cellIs" dxfId="959" priority="15" operator="equal">
      <formula>"5-Défavorable"</formula>
    </cfRule>
    <cfRule type="cellIs" dxfId="958" priority="16" operator="equal">
      <formula>"4-Ajournement"</formula>
    </cfRule>
    <cfRule type="cellIs" dxfId="957" priority="17" operator="equal">
      <formula>"2-Favorable sous réserve"</formula>
    </cfRule>
    <cfRule type="cellIs" dxfId="956" priority="18" operator="equal">
      <formula>"1-Favorable"</formula>
    </cfRule>
  </conditionalFormatting>
  <conditionalFormatting sqref="AT7:AT18">
    <cfRule type="cellIs" dxfId="955" priority="1" operator="equal">
      <formula>"6-Retiré/Abandon"</formula>
    </cfRule>
    <cfRule type="cellIs" dxfId="954" priority="2" operator="equal">
      <formula>"5-Défavorable"</formula>
    </cfRule>
    <cfRule type="cellIs" dxfId="953" priority="3" operator="equal">
      <formula>"4-Ajournement"</formula>
    </cfRule>
    <cfRule type="cellIs" dxfId="952" priority="4" operator="equal">
      <formula>"2-Favorable sous réserve"</formula>
    </cfRule>
    <cfRule type="cellIs" dxfId="951" priority="5" operator="equal">
      <formula>"1-Favorable"</formula>
    </cfRule>
  </conditionalFormatting>
  <dataValidations count="1">
    <dataValidation type="list" allowBlank="1" showInputMessage="1" showErrorMessage="1" sqref="AR7:AR18">
      <formula1>"1-Favorable,2-Favorable sous réserve,4-Ajournement,5-Défavorable,6-Retiré/Abandon"</formula1>
    </dataValidation>
  </dataValidations>
  <printOptions horizontalCentered="1" verticalCentered="1"/>
  <pageMargins left="0.25" right="0.25" top="0.75" bottom="0.75" header="0.3" footer="0.3"/>
  <pageSetup paperSize="8" scale="53"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58"/>
  <sheetViews>
    <sheetView view="pageBreakPreview" topLeftCell="J1" zoomScale="80" zoomScaleNormal="60" zoomScaleSheetLayoutView="80" workbookViewId="0">
      <selection activeCell="AP7" sqref="AP7"/>
    </sheetView>
  </sheetViews>
  <sheetFormatPr baseColWidth="10" defaultRowHeight="15" outlineLevelCol="1" x14ac:dyDescent="0.25"/>
  <cols>
    <col min="1" max="1" width="13.85546875" style="3" customWidth="1"/>
    <col min="2" max="2" width="35" style="4" customWidth="1"/>
    <col min="3" max="3" width="48" style="5" customWidth="1"/>
    <col min="4" max="4" width="20.28515625" style="3" customWidth="1"/>
    <col min="5" max="5" width="19.7109375" style="3" bestFit="1"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1.5703125" style="3" bestFit="1" customWidth="1" collapsed="1"/>
    <col min="42" max="42" width="11.5703125" style="3" customWidth="1"/>
    <col min="43" max="43" width="15.42578125" style="3" bestFit="1" customWidth="1"/>
    <col min="44" max="44" width="15.42578125" style="3" hidden="1" customWidth="1"/>
    <col min="45" max="45" width="54.42578125" style="3" customWidth="1"/>
    <col min="46" max="46" width="15.42578125" style="3" bestFit="1" customWidth="1"/>
    <col min="47" max="47" width="17.28515625" style="3" bestFit="1" customWidth="1"/>
    <col min="48" max="48" width="9.42578125" style="3" customWidth="1"/>
    <col min="49" max="63" width="9.7109375" style="3" customWidth="1"/>
    <col min="64" max="64" width="15.140625" style="3" customWidth="1"/>
    <col min="65" max="65" width="14.5703125" style="3" customWidth="1"/>
    <col min="66" max="66" width="18.5703125" style="3" customWidth="1"/>
    <col min="67" max="67" width="12.5703125" style="3" customWidth="1"/>
    <col min="68" max="68" width="20.42578125" style="3" customWidth="1"/>
    <col min="69" max="69" width="12.7109375" style="3" customWidth="1"/>
    <col min="70" max="70" width="9.28515625" style="3" customWidth="1"/>
    <col min="71" max="71" width="14.28515625" style="3" customWidth="1"/>
    <col min="72" max="72" width="11.42578125" style="3" customWidth="1"/>
    <col min="73" max="73" width="9" style="3" customWidth="1"/>
    <col min="74" max="74" width="9.5703125" style="3" customWidth="1"/>
    <col min="75" max="75" width="11" style="3" customWidth="1"/>
    <col min="76" max="76" width="12.7109375" style="3" customWidth="1"/>
    <col min="77" max="79" width="9.7109375" style="3" customWidth="1"/>
    <col min="80" max="80" width="15.140625" style="3" customWidth="1"/>
    <col min="81" max="81" width="17.28515625" style="3" customWidth="1"/>
    <col min="82" max="82" width="49.28515625" style="4" customWidth="1"/>
    <col min="83" max="83" width="17.28515625" style="3" customWidth="1"/>
    <col min="84" max="16384" width="11.42578125" style="3"/>
  </cols>
  <sheetData>
    <row r="1" spans="1:82" ht="18.75" x14ac:dyDescent="0.3">
      <c r="B1" s="21" t="s">
        <v>78</v>
      </c>
      <c r="C1" s="22">
        <v>42663</v>
      </c>
    </row>
    <row r="5" spans="1:82" x14ac:dyDescent="0.25">
      <c r="A5" s="1" t="s">
        <v>69</v>
      </c>
      <c r="B5" s="2"/>
    </row>
    <row r="6" spans="1:82" s="7" customFormat="1" ht="30"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17" t="s">
        <v>57</v>
      </c>
      <c r="AS6" s="31" t="s">
        <v>65</v>
      </c>
    </row>
    <row r="7" spans="1:82" s="10" customFormat="1" x14ac:dyDescent="0.25">
      <c r="A7" s="13"/>
      <c r="B7" s="12"/>
      <c r="C7" s="12"/>
      <c r="D7" s="15"/>
      <c r="E7" s="15"/>
      <c r="F7" s="16"/>
      <c r="G7" s="15"/>
      <c r="H7" s="16"/>
      <c r="I7" s="15"/>
      <c r="J7" s="15"/>
      <c r="K7" s="1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1"/>
      <c r="AQ7" s="11"/>
      <c r="AS7" s="24"/>
      <c r="AT7" s="10" t="s">
        <v>82</v>
      </c>
    </row>
    <row r="8" spans="1:82" s="10" customFormat="1" x14ac:dyDescent="0.25">
      <c r="A8" s="111" t="s">
        <v>8</v>
      </c>
      <c r="B8" s="112">
        <f>SUBTOTAL(103,Tableau_Lancer_la_requête_à_partir_de_Excel_Files1025[Nom_MO])</f>
        <v>0</v>
      </c>
      <c r="C8" s="112"/>
      <c r="D8" s="113">
        <f>SUBTOTAL(109,Tableau_Lancer_la_requête_à_partir_de_Excel_Files1025[''Coût total éligible''])</f>
        <v>0</v>
      </c>
      <c r="E8" s="113">
        <f>SUBTOTAL(109,Tableau_Lancer_la_requête_à_partir_de_Excel_Files1025[Aide 
publique])</f>
        <v>0</v>
      </c>
      <c r="F8" s="114"/>
      <c r="G8" s="113">
        <f>SUBTOTAL(109,Tableau_Lancer_la_requête_à_partir_de_Excel_Files1025[Aide Massif])</f>
        <v>0</v>
      </c>
      <c r="H8" s="114"/>
      <c r="I8" s="113">
        <f>SUBTOTAL(109,Tableau_Lancer_la_requête_à_partir_de_Excel_Files1025[''FEDER''])</f>
        <v>0</v>
      </c>
      <c r="J8" s="113">
        <f>SUBTOTAL(109,Tableau_Lancer_la_requête_à_partir_de_Excel_Files1025[Total Etat])</f>
        <v>0</v>
      </c>
      <c r="K8" s="111"/>
      <c r="L8" s="113">
        <f>SUBTOTAL(109,Tableau_Lancer_la_requête_à_partir_de_Excel_Files1025[''Agriculture''])</f>
        <v>0</v>
      </c>
      <c r="M8" s="113">
        <f>SUBTOTAL(109,Tableau_Lancer_la_requête_à_partir_de_Excel_Files1025[Total Régions])</f>
        <v>0</v>
      </c>
      <c r="N8" s="113">
        <f>SUBTOTAL(109,Tableau_Lancer_la_requête_à_partir_de_Excel_Files1025[''ALPC''])</f>
        <v>0</v>
      </c>
      <c r="O8" s="113">
        <f>SUBTOTAL(109,Tableau_Lancer_la_requête_à_partir_de_Excel_Files1025[''AURA''])</f>
        <v>0</v>
      </c>
      <c r="P8" s="113">
        <f>SUBTOTAL(109,Tableau_Lancer_la_requête_à_partir_de_Excel_Files1025[''BFC''])</f>
        <v>0</v>
      </c>
      <c r="Q8" s="113">
        <f>SUBTOTAL(109,Tableau_Lancer_la_requête_à_partir_de_Excel_Files1025[''LRMP''])</f>
        <v>0</v>
      </c>
      <c r="R8" s="113">
        <f>SUBTOTAL(109,Tableau_Lancer_la_requête_à_partir_de_Excel_Files1025[Total Dpts])</f>
        <v>0</v>
      </c>
      <c r="S8" s="113">
        <f>SUBTOTAL(109,Tableau_Lancer_la_requête_à_partir_de_Excel_Files1025[''03''])</f>
        <v>0</v>
      </c>
      <c r="T8" s="113">
        <f>SUBTOTAL(109,Tableau_Lancer_la_requête_à_partir_de_Excel_Files1025[''07''])</f>
        <v>0</v>
      </c>
      <c r="U8" s="113">
        <f>SUBTOTAL(109,Tableau_Lancer_la_requête_à_partir_de_Excel_Files1025[''11''])</f>
        <v>0</v>
      </c>
      <c r="V8" s="113">
        <f>SUBTOTAL(109,Tableau_Lancer_la_requête_à_partir_de_Excel_Files1025[''12''])</f>
        <v>0</v>
      </c>
      <c r="W8" s="113">
        <f>SUBTOTAL(109,Tableau_Lancer_la_requête_à_partir_de_Excel_Files1025[''15''])</f>
        <v>0</v>
      </c>
      <c r="X8" s="113">
        <f>SUBTOTAL(109,Tableau_Lancer_la_requête_à_partir_de_Excel_Files1025[''19''])</f>
        <v>0</v>
      </c>
      <c r="Y8" s="113">
        <f>SUBTOTAL(109,Tableau_Lancer_la_requête_à_partir_de_Excel_Files1025[''21''])</f>
        <v>0</v>
      </c>
      <c r="Z8" s="113">
        <f>SUBTOTAL(109,Tableau_Lancer_la_requête_à_partir_de_Excel_Files1025[''23''])</f>
        <v>0</v>
      </c>
      <c r="AA8" s="113">
        <f>SUBTOTAL(109,Tableau_Lancer_la_requête_à_partir_de_Excel_Files1025[''30''])</f>
        <v>0</v>
      </c>
      <c r="AB8" s="113">
        <f>SUBTOTAL(109,Tableau_Lancer_la_requête_à_partir_de_Excel_Files1025[''34''])</f>
        <v>0</v>
      </c>
      <c r="AC8" s="113">
        <f>SUBTOTAL(109,Tableau_Lancer_la_requête_à_partir_de_Excel_Files1025[''42''])</f>
        <v>0</v>
      </c>
      <c r="AD8" s="113">
        <f>SUBTOTAL(109,Tableau_Lancer_la_requête_à_partir_de_Excel_Files1025[''43''])</f>
        <v>0</v>
      </c>
      <c r="AE8" s="113">
        <f>SUBTOTAL(109,Tableau_Lancer_la_requête_à_partir_de_Excel_Files1025[''46''])</f>
        <v>0</v>
      </c>
      <c r="AF8" s="113">
        <f>SUBTOTAL(109,Tableau_Lancer_la_requête_à_partir_de_Excel_Files1025[''48''])</f>
        <v>0</v>
      </c>
      <c r="AG8" s="113">
        <f>SUBTOTAL(109,Tableau_Lancer_la_requête_à_partir_de_Excel_Files1025[''58''])</f>
        <v>0</v>
      </c>
      <c r="AH8" s="113">
        <f>SUBTOTAL(109,Tableau_Lancer_la_requête_à_partir_de_Excel_Files1025[''63''])</f>
        <v>0</v>
      </c>
      <c r="AI8" s="113">
        <f>SUBTOTAL(109,Tableau_Lancer_la_requête_à_partir_de_Excel_Files1025[''69''])</f>
        <v>0</v>
      </c>
      <c r="AJ8" s="113">
        <f>SUBTOTAL(109,Tableau_Lancer_la_requête_à_partir_de_Excel_Files1025[''71''])</f>
        <v>0</v>
      </c>
      <c r="AK8" s="113">
        <f>SUBTOTAL(109,Tableau_Lancer_la_requête_à_partir_de_Excel_Files1025[''81''])</f>
        <v>0</v>
      </c>
      <c r="AL8" s="113">
        <f>SUBTOTAL(109,Tableau_Lancer_la_requête_à_partir_de_Excel_Files1025[''82''])</f>
        <v>0</v>
      </c>
      <c r="AM8" s="113">
        <f>SUBTOTAL(109,Tableau_Lancer_la_requête_à_partir_de_Excel_Files1025[''87''])</f>
        <v>0</v>
      </c>
      <c r="AN8" s="113">
        <f>SUBTOTAL(109,Tableau_Lancer_la_requête_à_partir_de_Excel_Files1025[''89''])</f>
        <v>0</v>
      </c>
      <c r="AO8" s="113">
        <f>SUBTOTAL(109,Tableau_Lancer_la_requête_à_partir_de_Excel_Files1025[''Autre Public''])</f>
        <v>0</v>
      </c>
      <c r="AP8" s="111"/>
      <c r="AQ8" s="116"/>
      <c r="AS8" s="26"/>
    </row>
    <row r="9" spans="1:82" s="10" customFormat="1" x14ac:dyDescent="0.25">
      <c r="A9" s="3"/>
      <c r="B9" s="4"/>
      <c r="C9" s="5"/>
      <c r="D9" s="3"/>
      <c r="E9" s="3"/>
      <c r="F9" s="6"/>
      <c r="G9" s="3"/>
      <c r="H9" s="6"/>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S9" s="24"/>
    </row>
    <row r="10" spans="1:82" s="10" customFormat="1" x14ac:dyDescent="0.25">
      <c r="A10" s="3"/>
      <c r="B10" s="4"/>
      <c r="C10" s="5"/>
      <c r="D10" s="3"/>
      <c r="E10" s="3"/>
      <c r="F10" s="6"/>
      <c r="G10" s="3"/>
      <c r="H10" s="6"/>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S10" s="26"/>
    </row>
    <row r="11" spans="1:82" s="10" customFormat="1" x14ac:dyDescent="0.25">
      <c r="A11" s="3"/>
      <c r="B11" s="4"/>
      <c r="C11" s="5"/>
      <c r="D11" s="3"/>
      <c r="E11" s="3"/>
      <c r="F11" s="6"/>
      <c r="G11" s="3"/>
      <c r="H11" s="6"/>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S11" s="24"/>
    </row>
    <row r="12" spans="1:82" x14ac:dyDescent="0.25">
      <c r="AS12" s="26"/>
      <c r="BZ12" s="4"/>
      <c r="CD12" s="3"/>
    </row>
    <row r="13" spans="1:82" x14ac:dyDescent="0.25">
      <c r="AS13" s="24"/>
      <c r="BZ13" s="4"/>
      <c r="CD13" s="3"/>
    </row>
    <row r="14" spans="1:82" x14ac:dyDescent="0.25">
      <c r="AS14" s="27"/>
      <c r="BZ14" s="4"/>
      <c r="CD14" s="3"/>
    </row>
    <row r="15" spans="1:82" x14ac:dyDescent="0.25">
      <c r="AS15" s="28"/>
      <c r="BZ15" s="4"/>
      <c r="CD15" s="3"/>
    </row>
    <row r="16" spans="1:82" x14ac:dyDescent="0.25">
      <c r="AS16" s="26"/>
      <c r="BZ16" s="4"/>
      <c r="CD16" s="3"/>
    </row>
    <row r="17" spans="1:82" s="7" customFormat="1" ht="15.75" thickBot="1" x14ac:dyDescent="0.3">
      <c r="A17" s="3"/>
      <c r="B17" s="4"/>
      <c r="C17" s="5"/>
      <c r="D17" s="3"/>
      <c r="E17" s="3"/>
      <c r="F17" s="6"/>
      <c r="G17" s="3"/>
      <c r="H17" s="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S17" s="24"/>
    </row>
    <row r="18" spans="1:82" s="10" customFormat="1" ht="15.75" thickTop="1" x14ac:dyDescent="0.25">
      <c r="A18" s="3"/>
      <c r="B18" s="4"/>
      <c r="C18" s="5"/>
      <c r="D18" s="3"/>
      <c r="E18" s="3" t="s">
        <v>85</v>
      </c>
      <c r="F18" s="6" t="s">
        <v>84</v>
      </c>
      <c r="G18" s="3"/>
      <c r="H18" s="6"/>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S18" s="29"/>
    </row>
    <row r="19" spans="1:82" x14ac:dyDescent="0.25">
      <c r="D19" t="s">
        <v>58</v>
      </c>
      <c r="E19" s="3">
        <f>SUMIF(Tableau_Lancer_la_requête_à_partir_de_Excel_Files1025[Avis Prog],"1-Favorable",Tableau_Lancer_la_requête_à_partir_de_Excel_Files1025[''FEDER''])</f>
        <v>0</v>
      </c>
      <c r="F19" s="3">
        <f>SUMIF(Tableau_Lancer_la_requête_à_partir_de_Excel_Files1025[Avis Cofimac],"1-Favorable",Tableau_Lancer_la_requête_à_partir_de_Excel_Files1025[''FEDER''])</f>
        <v>0</v>
      </c>
      <c r="CC19" s="4"/>
      <c r="CD19" s="3"/>
    </row>
    <row r="20" spans="1:82" x14ac:dyDescent="0.25">
      <c r="D20" t="s">
        <v>46</v>
      </c>
      <c r="E20" s="3">
        <f>SUMIF(Tableau_Lancer_la_requête_à_partir_de_Excel_Files1025[Avis Prog],"1-Favorable",Tableau_Lancer_la_requête_à_partir_de_Excel_Files1025[Total Etat])</f>
        <v>0</v>
      </c>
      <c r="F20" s="3">
        <f>SUMIF(Tableau_Lancer_la_requête_à_partir_de_Excel_Files1025[Avis Cofimac],"1-Favorable",Tableau_Lancer_la_requête_à_partir_de_Excel_Files1025[Total Etat])</f>
        <v>0</v>
      </c>
    </row>
    <row r="21" spans="1:82" x14ac:dyDescent="0.25">
      <c r="D21" t="s">
        <v>47</v>
      </c>
      <c r="E21" s="3">
        <f>SUMIF(Tableau_Lancer_la_requête_à_partir_de_Excel_Files1025[Avis Prog],"1-Favorable",Tableau_Lancer_la_requête_à_partir_de_Excel_Files1025[Total Régions])</f>
        <v>0</v>
      </c>
      <c r="F21" s="3">
        <f>SUMIF(Tableau_Lancer_la_requête_à_partir_de_Excel_Files1025[Avis Cofimac],"1-Favorable",Tableau_Lancer_la_requête_à_partir_de_Excel_Files1025[Total Régions])</f>
        <v>0</v>
      </c>
    </row>
    <row r="22" spans="1:82" x14ac:dyDescent="0.25">
      <c r="D22" s="3" t="s">
        <v>59</v>
      </c>
      <c r="E22" s="3">
        <f>SUMIF(Tableau_Lancer_la_requête_à_partir_de_Excel_Files1025[Avis Prog],"1-Favorable",Tableau_Lancer_la_requête_à_partir_de_Excel_Files1025[''ALPC''])</f>
        <v>0</v>
      </c>
      <c r="F22" s="3">
        <f>SUMIF(Tableau_Lancer_la_requête_à_partir_de_Excel_Files1025[Avis Cofimac],"1-Favorable",Tableau_Lancer_la_requête_à_partir_de_Excel_Files1025[''ALPC''])</f>
        <v>0</v>
      </c>
    </row>
    <row r="23" spans="1:82" x14ac:dyDescent="0.25">
      <c r="D23" s="3" t="s">
        <v>60</v>
      </c>
      <c r="E23" s="3">
        <f>SUMIF(Tableau_Lancer_la_requête_à_partir_de_Excel_Files1025[Avis Prog],"1-Favorable",Tableau_Lancer_la_requête_à_partir_de_Excel_Files1025[''AURA''])</f>
        <v>0</v>
      </c>
      <c r="F23" s="3">
        <f>SUMIF(Tableau_Lancer_la_requête_à_partir_de_Excel_Files1025[Avis Cofimac],"1-Favorable",Tableau_Lancer_la_requête_à_partir_de_Excel_Files1025[''AURA''])</f>
        <v>0</v>
      </c>
    </row>
    <row r="24" spans="1:82" x14ac:dyDescent="0.25">
      <c r="D24" s="3" t="s">
        <v>61</v>
      </c>
      <c r="E24" s="3">
        <f>SUMIF(Tableau_Lancer_la_requête_à_partir_de_Excel_Files1025[Avis Prog],"1-Favorable",Tableau_Lancer_la_requête_à_partir_de_Excel_Files1025[''BFC''])</f>
        <v>0</v>
      </c>
      <c r="F24" s="3">
        <f>SUMIF(Tableau_Lancer_la_requête_à_partir_de_Excel_Files1025[Avis Cofimac],"1-Favorable",Tableau_Lancer_la_requête_à_partir_de_Excel_Files1025[''BFC''])</f>
        <v>0</v>
      </c>
    </row>
    <row r="25" spans="1:82" x14ac:dyDescent="0.25">
      <c r="D25" s="3" t="s">
        <v>62</v>
      </c>
      <c r="E25" s="3">
        <f>SUMIF(Tableau_Lancer_la_requête_à_partir_de_Excel_Files1025[Avis Prog],"1-Favorable",Tableau_Lancer_la_requête_à_partir_de_Excel_Files1025[''LRMP''])</f>
        <v>0</v>
      </c>
      <c r="F25" s="3">
        <f>SUMIF(Tableau_Lancer_la_requête_à_partir_de_Excel_Files1025[Avis Cofimac],"1-Favorable",Tableau_Lancer_la_requête_à_partir_de_Excel_Files1025[''LRMP''])</f>
        <v>0</v>
      </c>
    </row>
    <row r="26" spans="1:82" x14ac:dyDescent="0.25">
      <c r="D26" t="s">
        <v>48</v>
      </c>
      <c r="E26" s="3">
        <f>SUMIF(Tableau_Lancer_la_requête_à_partir_de_Excel_Files1025[Avis Prog],"1-Favorable",Tableau_Lancer_la_requête_à_partir_de_Excel_Files1025[Total Dpts])</f>
        <v>0</v>
      </c>
      <c r="F26" s="3">
        <f>SUMIF(Tableau_Lancer_la_requête_à_partir_de_Excel_Files1025[Avis Cofimac],"1-Favorable",Tableau_Lancer_la_requête_à_partir_de_Excel_Files1025[Total Dpts])</f>
        <v>0</v>
      </c>
    </row>
    <row r="27" spans="1:82" x14ac:dyDescent="0.25">
      <c r="D27" t="s">
        <v>22</v>
      </c>
      <c r="E27" s="3">
        <f>SUMIF(Tableau_Lancer_la_requête_à_partir_de_Excel_Files1025[Avis Prog],"1-Favorable",Tableau_Lancer_la_requête_à_partir_de_Excel_Files1025[''03''])</f>
        <v>0</v>
      </c>
      <c r="F27" s="3">
        <f>SUMIF(Tableau_Lancer_la_requête_à_partir_de_Excel_Files1025[Avis Cofimac],"1-Favorable",Tableau_Lancer_la_requête_à_partir_de_Excel_Files1025[''03''])</f>
        <v>0</v>
      </c>
    </row>
    <row r="28" spans="1:82" hidden="1" x14ac:dyDescent="0.25">
      <c r="D28" t="s">
        <v>23</v>
      </c>
      <c r="E28" s="3">
        <f>SUMIF(Tableau_Lancer_la_requête_à_partir_de_Excel_Files1025[Avis Prog],"1-Favorable",Tableau_Lancer_la_requête_à_partir_de_Excel_Files1025[''07''])</f>
        <v>0</v>
      </c>
      <c r="F28" s="3">
        <f>SUMIF(Tableau_Lancer_la_requête_à_partir_de_Excel_Files1025[Avis Cofimac],"1-Favorable",Tableau_Lancer_la_requête_à_partir_de_Excel_Files1025[''07''])</f>
        <v>0</v>
      </c>
    </row>
    <row r="29" spans="1:82" hidden="1" x14ac:dyDescent="0.25">
      <c r="D29" t="s">
        <v>24</v>
      </c>
      <c r="E29" s="3">
        <f>SUMIF(Tableau_Lancer_la_requête_à_partir_de_Excel_Files1025[Avis Prog],"1-Favorable",Tableau_Lancer_la_requête_à_partir_de_Excel_Files1025[''11''])</f>
        <v>0</v>
      </c>
      <c r="F29" s="3">
        <f>SUMIF(Tableau_Lancer_la_requête_à_partir_de_Excel_Files1025[Avis Cofimac],"1-Favorable",Tableau_Lancer_la_requête_à_partir_de_Excel_Files1025[''11''])</f>
        <v>0</v>
      </c>
    </row>
    <row r="30" spans="1:82" hidden="1" x14ac:dyDescent="0.25">
      <c r="D30" t="s">
        <v>25</v>
      </c>
      <c r="E30" s="3">
        <f>SUMIF(Tableau_Lancer_la_requête_à_partir_de_Excel_Files1025[Avis Prog],"1-Favorable",Tableau_Lancer_la_requête_à_partir_de_Excel_Files1025[''12''])</f>
        <v>0</v>
      </c>
      <c r="F30" s="3">
        <f>SUMIF(Tableau_Lancer_la_requête_à_partir_de_Excel_Files1025[Avis Cofimac],"1-Favorable",Tableau_Lancer_la_requête_à_partir_de_Excel_Files1025[''12''])</f>
        <v>0</v>
      </c>
    </row>
    <row r="31" spans="1:82" hidden="1" x14ac:dyDescent="0.25">
      <c r="D31" t="s">
        <v>26</v>
      </c>
      <c r="E31" s="3">
        <f>SUMIF(Tableau_Lancer_la_requête_à_partir_de_Excel_Files1025[Avis Prog],"1-Favorable",Tableau_Lancer_la_requête_à_partir_de_Excel_Files1025[''15''])</f>
        <v>0</v>
      </c>
      <c r="F31" s="3">
        <f>SUMIF(Tableau_Lancer_la_requête_à_partir_de_Excel_Files1025[Avis Cofimac],"1-Favorable",Tableau_Lancer_la_requête_à_partir_de_Excel_Files1025[''15''])</f>
        <v>0</v>
      </c>
    </row>
    <row r="32" spans="1:82" hidden="1" x14ac:dyDescent="0.25">
      <c r="D32" t="s">
        <v>27</v>
      </c>
      <c r="E32" s="3">
        <f>SUMIF(Tableau_Lancer_la_requête_à_partir_de_Excel_Files1025[Avis Prog],"1-Favorable",Tableau_Lancer_la_requête_à_partir_de_Excel_Files1025[''19''])</f>
        <v>0</v>
      </c>
      <c r="F32" s="3">
        <f>SUMIF(Tableau_Lancer_la_requête_à_partir_de_Excel_Files1025[Avis Cofimac],"1-Favorable",Tableau_Lancer_la_requête_à_partir_de_Excel_Files1025[''19''])</f>
        <v>0</v>
      </c>
    </row>
    <row r="33" spans="4:6" hidden="1" x14ac:dyDescent="0.25">
      <c r="D33" t="s">
        <v>28</v>
      </c>
      <c r="E33" s="3">
        <f>SUMIF(Tableau_Lancer_la_requête_à_partir_de_Excel_Files1025[Avis Prog],"1-Favorable",Tableau_Lancer_la_requête_à_partir_de_Excel_Files1025[''21''])</f>
        <v>0</v>
      </c>
      <c r="F33" s="3">
        <f>SUMIF(Tableau_Lancer_la_requête_à_partir_de_Excel_Files1025[Avis Cofimac],"1-Favorable",Tableau_Lancer_la_requête_à_partir_de_Excel_Files1025[''21''])</f>
        <v>0</v>
      </c>
    </row>
    <row r="34" spans="4:6" hidden="1" x14ac:dyDescent="0.25">
      <c r="D34" t="s">
        <v>29</v>
      </c>
      <c r="E34" s="3">
        <f>SUMIF(Tableau_Lancer_la_requête_à_partir_de_Excel_Files1025[Avis Prog],"1-Favorable",Tableau_Lancer_la_requête_à_partir_de_Excel_Files1025[''23''])</f>
        <v>0</v>
      </c>
      <c r="F34" s="3">
        <f>SUMIF(Tableau_Lancer_la_requête_à_partir_de_Excel_Files1025[Avis Cofimac],"1-Favorable",Tableau_Lancer_la_requête_à_partir_de_Excel_Files1025[''23''])</f>
        <v>0</v>
      </c>
    </row>
    <row r="35" spans="4:6" hidden="1" x14ac:dyDescent="0.25">
      <c r="D35" t="s">
        <v>30</v>
      </c>
      <c r="E35" s="3">
        <f>SUMIF(Tableau_Lancer_la_requête_à_partir_de_Excel_Files1025[Avis Prog],"1-Favorable",Tableau_Lancer_la_requête_à_partir_de_Excel_Files1025[''30''])</f>
        <v>0</v>
      </c>
      <c r="F35" s="3">
        <f>SUMIF(Tableau_Lancer_la_requête_à_partir_de_Excel_Files1025[Avis Cofimac],"1-Favorable",Tableau_Lancer_la_requête_à_partir_de_Excel_Files1025[''30''])</f>
        <v>0</v>
      </c>
    </row>
    <row r="36" spans="4:6" hidden="1" x14ac:dyDescent="0.25">
      <c r="D36" t="s">
        <v>31</v>
      </c>
      <c r="E36" s="3">
        <f>SUMIF(Tableau_Lancer_la_requête_à_partir_de_Excel_Files1025[Avis Prog],"1-Favorable",Tableau_Lancer_la_requête_à_partir_de_Excel_Files1025[''34''])</f>
        <v>0</v>
      </c>
      <c r="F36" s="3">
        <f>SUMIF(Tableau_Lancer_la_requête_à_partir_de_Excel_Files1025[Avis Cofimac],"1-Favorable",Tableau_Lancer_la_requête_à_partir_de_Excel_Files1025[''34''])</f>
        <v>0</v>
      </c>
    </row>
    <row r="37" spans="4:6" hidden="1" x14ac:dyDescent="0.25">
      <c r="D37" t="s">
        <v>32</v>
      </c>
      <c r="E37" s="3">
        <f>SUMIF(Tableau_Lancer_la_requête_à_partir_de_Excel_Files1025[Avis Prog],"1-Favorable",Tableau_Lancer_la_requête_à_partir_de_Excel_Files1025[''42''])</f>
        <v>0</v>
      </c>
      <c r="F37" s="3">
        <f>SUMIF(Tableau_Lancer_la_requête_à_partir_de_Excel_Files1025[Avis Cofimac],"1-Favorable",Tableau_Lancer_la_requête_à_partir_de_Excel_Files1025[''42''])</f>
        <v>0</v>
      </c>
    </row>
    <row r="38" spans="4:6" hidden="1" x14ac:dyDescent="0.25">
      <c r="D38" t="s">
        <v>33</v>
      </c>
      <c r="E38" s="3">
        <f>SUMIF(Tableau_Lancer_la_requête_à_partir_de_Excel_Files1025[Avis Prog],"1-Favorable",Tableau_Lancer_la_requête_à_partir_de_Excel_Files1025[''43''])</f>
        <v>0</v>
      </c>
      <c r="F38" s="3">
        <f>SUMIF(Tableau_Lancer_la_requête_à_partir_de_Excel_Files1025[Avis Cofimac],"1-Favorable",Tableau_Lancer_la_requête_à_partir_de_Excel_Files1025[''43''])</f>
        <v>0</v>
      </c>
    </row>
    <row r="39" spans="4:6" hidden="1" x14ac:dyDescent="0.25">
      <c r="D39" t="s">
        <v>34</v>
      </c>
      <c r="E39" s="3">
        <f>SUMIF(Tableau_Lancer_la_requête_à_partir_de_Excel_Files1025[Avis Prog],"1-Favorable",Tableau_Lancer_la_requête_à_partir_de_Excel_Files1025[''46''])</f>
        <v>0</v>
      </c>
      <c r="F39" s="3">
        <f>SUMIF(Tableau_Lancer_la_requête_à_partir_de_Excel_Files1025[Avis Cofimac],"1-Favorable",Tableau_Lancer_la_requête_à_partir_de_Excel_Files1025[''46''])</f>
        <v>0</v>
      </c>
    </row>
    <row r="40" spans="4:6" hidden="1" x14ac:dyDescent="0.25">
      <c r="D40" t="s">
        <v>35</v>
      </c>
      <c r="E40" s="3">
        <f>SUMIF(Tableau_Lancer_la_requête_à_partir_de_Excel_Files1025[Avis Prog],"1-Favorable",Tableau_Lancer_la_requête_à_partir_de_Excel_Files1025[''48''])</f>
        <v>0</v>
      </c>
      <c r="F40" s="3">
        <f>SUMIF(Tableau_Lancer_la_requête_à_partir_de_Excel_Files1025[Avis Cofimac],"1-Favorable",Tableau_Lancer_la_requête_à_partir_de_Excel_Files1025[''48''])</f>
        <v>0</v>
      </c>
    </row>
    <row r="41" spans="4:6" hidden="1" x14ac:dyDescent="0.25">
      <c r="D41" t="s">
        <v>36</v>
      </c>
      <c r="E41" s="3">
        <f>SUMIF(Tableau_Lancer_la_requête_à_partir_de_Excel_Files1025[Avis Prog],"1-Favorable",Tableau_Lancer_la_requête_à_partir_de_Excel_Files1025[''58''])</f>
        <v>0</v>
      </c>
      <c r="F41" s="3">
        <f>SUMIF(Tableau_Lancer_la_requête_à_partir_de_Excel_Files1025[Avis Cofimac],"1-Favorable",Tableau_Lancer_la_requête_à_partir_de_Excel_Files1025[''58''])</f>
        <v>0</v>
      </c>
    </row>
    <row r="42" spans="4:6" hidden="1" x14ac:dyDescent="0.25">
      <c r="D42" t="s">
        <v>37</v>
      </c>
      <c r="E42" s="3">
        <f>SUMIF(Tableau_Lancer_la_requête_à_partir_de_Excel_Files1025[Avis Prog],"1-Favorable",Tableau_Lancer_la_requête_à_partir_de_Excel_Files1025[''63''])</f>
        <v>0</v>
      </c>
      <c r="F42" s="3">
        <f>SUMIF(Tableau_Lancer_la_requête_à_partir_de_Excel_Files1025[Avis Cofimac],"1-Favorable",Tableau_Lancer_la_requête_à_partir_de_Excel_Files1025[''63''])</f>
        <v>0</v>
      </c>
    </row>
    <row r="43" spans="4:6" hidden="1" x14ac:dyDescent="0.25">
      <c r="D43" t="s">
        <v>38</v>
      </c>
      <c r="E43" s="3">
        <f>SUMIF(Tableau_Lancer_la_requête_à_partir_de_Excel_Files1025[Avis Prog],"1-Favorable",Tableau_Lancer_la_requête_à_partir_de_Excel_Files1025[''69''])</f>
        <v>0</v>
      </c>
      <c r="F43" s="3">
        <f>SUMIF(Tableau_Lancer_la_requête_à_partir_de_Excel_Files1025[Avis Cofimac],"1-Favorable",Tableau_Lancer_la_requête_à_partir_de_Excel_Files1025[''69''])</f>
        <v>0</v>
      </c>
    </row>
    <row r="44" spans="4:6" hidden="1" x14ac:dyDescent="0.25">
      <c r="D44" t="s">
        <v>39</v>
      </c>
      <c r="E44" s="3">
        <f>SUMIF(Tableau_Lancer_la_requête_à_partir_de_Excel_Files1025[Avis Prog],"1-Favorable",Tableau_Lancer_la_requête_à_partir_de_Excel_Files1025[''71''])</f>
        <v>0</v>
      </c>
      <c r="F44" s="3">
        <f>SUMIF(Tableau_Lancer_la_requête_à_partir_de_Excel_Files1025[Avis Cofimac],"1-Favorable",Tableau_Lancer_la_requête_à_partir_de_Excel_Files1025[''71''])</f>
        <v>0</v>
      </c>
    </row>
    <row r="45" spans="4:6" hidden="1" x14ac:dyDescent="0.25">
      <c r="D45" t="s">
        <v>40</v>
      </c>
      <c r="E45" s="3">
        <f>SUMIF(Tableau_Lancer_la_requête_à_partir_de_Excel_Files1025[Avis Prog],"1-Favorable",Tableau_Lancer_la_requête_à_partir_de_Excel_Files1025[''81''])</f>
        <v>0</v>
      </c>
      <c r="F45" s="3">
        <f>SUMIF(Tableau_Lancer_la_requête_à_partir_de_Excel_Files1025[Avis Cofimac],"1-Favorable",Tableau_Lancer_la_requête_à_partir_de_Excel_Files1025[''81''])</f>
        <v>0</v>
      </c>
    </row>
    <row r="46" spans="4:6" hidden="1" x14ac:dyDescent="0.25">
      <c r="D46" t="s">
        <v>41</v>
      </c>
      <c r="E46" s="3">
        <f>SUMIF(Tableau_Lancer_la_requête_à_partir_de_Excel_Files1025[Avis Prog],"1-Favorable",Tableau_Lancer_la_requête_à_partir_de_Excel_Files1025[''82''])</f>
        <v>0</v>
      </c>
      <c r="F46" s="3">
        <f>SUMIF(Tableau_Lancer_la_requête_à_partir_de_Excel_Files1025[Avis Cofimac],"1-Favorable",Tableau_Lancer_la_requête_à_partir_de_Excel_Files1025[''82''])</f>
        <v>0</v>
      </c>
    </row>
    <row r="47" spans="4:6" hidden="1" x14ac:dyDescent="0.25">
      <c r="D47" t="s">
        <v>42</v>
      </c>
      <c r="E47" s="3">
        <f>SUMIF(Tableau_Lancer_la_requête_à_partir_de_Excel_Files1025[Avis Prog],"1-Favorable",Tableau_Lancer_la_requête_à_partir_de_Excel_Files1025[''87''])</f>
        <v>0</v>
      </c>
      <c r="F47" s="3">
        <f>SUMIF(Tableau_Lancer_la_requête_à_partir_de_Excel_Files1025[Avis Cofimac],"1-Favorable",Tableau_Lancer_la_requête_à_partir_de_Excel_Files1025[''87''])</f>
        <v>0</v>
      </c>
    </row>
    <row r="48" spans="4:6" hidden="1" x14ac:dyDescent="0.25">
      <c r="D48" t="s">
        <v>43</v>
      </c>
      <c r="E48" s="3">
        <f>SUMIF(Tableau_Lancer_la_requête_à_partir_de_Excel_Files1025[Avis Prog],"1-Favorable",Tableau_Lancer_la_requête_à_partir_de_Excel_Files1025[''89''])</f>
        <v>0</v>
      </c>
      <c r="F48" s="3">
        <f>SUMIF(Tableau_Lancer_la_requête_à_partir_de_Excel_Files1025[Avis Cofimac],"1-Favorable",Tableau_Lancer_la_requête_à_partir_de_Excel_Files1025[''89''])</f>
        <v>0</v>
      </c>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sheetData>
  <conditionalFormatting sqref="K7 AP7:AQ7">
    <cfRule type="cellIs" dxfId="859" priority="17" operator="equal">
      <formula>"6-Retiré/Abandon"</formula>
    </cfRule>
    <cfRule type="cellIs" dxfId="858" priority="18" operator="equal">
      <formula>"5-Défavorable"</formula>
    </cfRule>
    <cfRule type="cellIs" dxfId="857" priority="19" operator="equal">
      <formula>"4-Ajournement"</formula>
    </cfRule>
    <cfRule type="cellIs" dxfId="856" priority="20" operator="equal">
      <formula>"1-Favorable"</formula>
    </cfRule>
  </conditionalFormatting>
  <conditionalFormatting sqref="AS7:AS13 AS16">
    <cfRule type="cellIs" dxfId="855" priority="5" operator="equal">
      <formula>"6-Retiré/Abandon"</formula>
    </cfRule>
    <cfRule type="cellIs" dxfId="854" priority="6" operator="equal">
      <formula>"5-Défavorable"</formula>
    </cfRule>
    <cfRule type="cellIs" dxfId="853" priority="7" operator="equal">
      <formula>"4-Ajournement"</formula>
    </cfRule>
    <cfRule type="cellIs" dxfId="852" priority="8" operator="equal">
      <formula>"1-Favorable"</formula>
    </cfRule>
  </conditionalFormatting>
  <conditionalFormatting sqref="AS17">
    <cfRule type="cellIs" dxfId="851" priority="1" operator="equal">
      <formula>"6-Retiré/Abandon"</formula>
    </cfRule>
    <cfRule type="cellIs" dxfId="850" priority="2" operator="equal">
      <formula>"5-Défavorable"</formula>
    </cfRule>
    <cfRule type="cellIs" dxfId="849" priority="3" operator="equal">
      <formula>"4-Ajournement"</formula>
    </cfRule>
    <cfRule type="cellIs" dxfId="848" priority="4" operator="equal">
      <formula>"1-Favorable"</formula>
    </cfRule>
  </conditionalFormatting>
  <dataValidations count="1">
    <dataValidation type="list" allowBlank="1" showInputMessage="1" showErrorMessage="1" sqref="AQ7">
      <formula1>"1-Favorable,4-Ajournement,5-Défavorable,6-Retiré/Abandon"</formula1>
    </dataValidation>
  </dataValidations>
  <printOptions horizontalCentered="1" verticalCentered="1"/>
  <pageMargins left="0.25" right="0.25" top="0.75" bottom="0.75" header="0.3" footer="0.3"/>
  <pageSetup paperSize="8" scale="62"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1"/>
  <sheetViews>
    <sheetView view="pageBreakPreview" topLeftCell="E10" zoomScale="80" zoomScaleNormal="60" zoomScaleSheetLayoutView="80" workbookViewId="0">
      <selection activeCell="AT19" sqref="AT19"/>
    </sheetView>
  </sheetViews>
  <sheetFormatPr baseColWidth="10" defaultRowHeight="15" outlineLevelCol="1" x14ac:dyDescent="0.25"/>
  <cols>
    <col min="1" max="1" width="13.85546875" style="3" customWidth="1"/>
    <col min="2" max="2" width="35" style="4" customWidth="1"/>
    <col min="3" max="3" width="48" style="5" customWidth="1"/>
    <col min="4" max="4" width="15.5703125" style="3" customWidth="1"/>
    <col min="5" max="5" width="15.28515625" style="3" customWidth="1"/>
    <col min="6" max="6" width="12" style="6" customWidth="1"/>
    <col min="7" max="7" width="16" style="3" bestFit="1" customWidth="1"/>
    <col min="8" max="8" width="11.28515625" style="6" customWidth="1"/>
    <col min="9" max="9" width="17" style="3"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3.140625" style="3" customWidth="1" collapsed="1"/>
    <col min="42" max="42" width="11.5703125" style="3" customWidth="1"/>
    <col min="43" max="43" width="13.7109375" style="3" customWidth="1"/>
    <col min="44" max="44" width="15.42578125" style="3" bestFit="1" customWidth="1"/>
    <col min="45" max="45" width="15.42578125" style="3" hidden="1" customWidth="1"/>
    <col min="46" max="46" width="64" style="10" customWidth="1"/>
    <col min="47" max="47" width="15.42578125" style="3" bestFit="1" customWidth="1"/>
    <col min="48" max="48" width="17.28515625" style="3" bestFit="1" customWidth="1"/>
    <col min="49" max="49" width="9.42578125" style="3" customWidth="1"/>
    <col min="50" max="64" width="9.7109375" style="3" customWidth="1"/>
    <col min="65" max="65" width="15.140625" style="3" customWidth="1"/>
    <col min="66" max="66" width="14.5703125" style="3" customWidth="1"/>
    <col min="67" max="67" width="18.5703125" style="3" customWidth="1"/>
    <col min="68" max="68" width="12.5703125" style="3" customWidth="1"/>
    <col min="69" max="69" width="20.42578125" style="3" customWidth="1"/>
    <col min="70" max="70" width="12.7109375" style="3" customWidth="1"/>
    <col min="71" max="71" width="9.28515625" style="3" customWidth="1"/>
    <col min="72" max="72" width="14.28515625" style="3" customWidth="1"/>
    <col min="73" max="73" width="11.42578125" style="3" customWidth="1"/>
    <col min="74" max="74" width="9" style="3" customWidth="1"/>
    <col min="75" max="75" width="9.5703125" style="3" customWidth="1"/>
    <col min="76" max="76" width="11" style="3" customWidth="1"/>
    <col min="77" max="77" width="12.7109375" style="3" customWidth="1"/>
    <col min="78" max="80" width="9.7109375" style="3" customWidth="1"/>
    <col min="81" max="81" width="15.140625" style="3" customWidth="1"/>
    <col min="82" max="82" width="17.28515625" style="3" customWidth="1"/>
    <col min="83" max="83" width="49.28515625" style="4" customWidth="1"/>
    <col min="84" max="84" width="17.28515625" style="3" customWidth="1"/>
    <col min="85" max="16384" width="11.42578125" style="3"/>
  </cols>
  <sheetData>
    <row r="1" spans="1:83" ht="18.75" x14ac:dyDescent="0.3">
      <c r="B1" s="21" t="s">
        <v>78</v>
      </c>
      <c r="C1" s="22">
        <v>42663</v>
      </c>
    </row>
    <row r="5" spans="1:83" x14ac:dyDescent="0.25">
      <c r="A5" s="1" t="s">
        <v>73</v>
      </c>
      <c r="B5" s="2"/>
    </row>
    <row r="6" spans="1:83" s="7" customFormat="1" ht="30"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7" t="s">
        <v>249</v>
      </c>
      <c r="AR6" s="17" t="s">
        <v>57</v>
      </c>
      <c r="AT6" s="31" t="s">
        <v>65</v>
      </c>
    </row>
    <row r="7" spans="1:83" s="10" customFormat="1" ht="45" x14ac:dyDescent="0.25">
      <c r="A7" s="13" t="s">
        <v>406</v>
      </c>
      <c r="B7" s="61" t="s">
        <v>102</v>
      </c>
      <c r="C7" s="61" t="s">
        <v>103</v>
      </c>
      <c r="D7" s="56">
        <v>214080</v>
      </c>
      <c r="E7" s="56">
        <f>Tableau_Lancer_la_requête_à_partir_de_Excel_Files10256[[#This Row],[Aide Massif]]+Tableau_Lancer_la_requête_à_partir_de_Excel_Files10256[[#This Row],[''Autre Public'']]</f>
        <v>149856</v>
      </c>
      <c r="F7" s="57">
        <f>Tableau_Lancer_la_requête_à_partir_de_Excel_Files10256[[#This Row],[Aide 
publique]]/Tableau_Lancer_la_requête_à_partir_de_Excel_Files10256[[#This Row],[''Coût total éligible'']]</f>
        <v>0.7</v>
      </c>
      <c r="G7" s="56">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149856</v>
      </c>
      <c r="H7" s="57">
        <f>Tableau_Lancer_la_requête_à_partir_de_Excel_Files10256[[#This Row],[Aide Massif]]/Tableau_Lancer_la_requête_à_partir_de_Excel_Files10256[[#This Row],[''Coût total éligible'']]</f>
        <v>0.7</v>
      </c>
      <c r="I7" s="56">
        <v>0</v>
      </c>
      <c r="J7" s="56">
        <f>Tableau_Lancer_la_requête_à_partir_de_Excel_Files10256[[#This Row],[''FNADT '']]+Tableau_Lancer_la_requête_à_partir_de_Excel_Files10256[[#This Row],[''Agriculture'']]</f>
        <v>110856</v>
      </c>
      <c r="K7" s="56">
        <v>110856</v>
      </c>
      <c r="L7" s="56"/>
      <c r="M7" s="56">
        <f>Tableau_Lancer_la_requête_à_partir_de_Excel_Files10256[[#This Row],[''ALPC'']]+Tableau_Lancer_la_requête_à_partir_de_Excel_Files10256[[#This Row],[''AURA'']]+Tableau_Lancer_la_requête_à_partir_de_Excel_Files10256[[#This Row],[''BFC'']]+Tableau_Lancer_la_requête_à_partir_de_Excel_Files10256[[#This Row],[''LRMP'']]</f>
        <v>39000</v>
      </c>
      <c r="N7" s="56">
        <v>39000</v>
      </c>
      <c r="O7" s="56"/>
      <c r="P7" s="56"/>
      <c r="Q7" s="56"/>
      <c r="R7" s="56">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7" s="56"/>
      <c r="T7" s="56"/>
      <c r="U7" s="56"/>
      <c r="V7" s="56"/>
      <c r="W7" s="56"/>
      <c r="X7" s="56"/>
      <c r="Y7" s="56"/>
      <c r="Z7" s="56"/>
      <c r="AA7" s="56"/>
      <c r="AB7" s="56"/>
      <c r="AC7" s="56"/>
      <c r="AD7" s="56"/>
      <c r="AE7" s="56"/>
      <c r="AF7" s="56"/>
      <c r="AG7" s="56"/>
      <c r="AH7" s="56"/>
      <c r="AI7" s="56"/>
      <c r="AJ7" s="56"/>
      <c r="AK7" s="56"/>
      <c r="AL7" s="56"/>
      <c r="AM7" s="56"/>
      <c r="AN7" s="56"/>
      <c r="AO7" s="56">
        <v>0</v>
      </c>
      <c r="AP7" s="10" t="s">
        <v>339</v>
      </c>
      <c r="AQ7" s="69"/>
      <c r="AR7" s="11" t="s">
        <v>337</v>
      </c>
      <c r="AT7" s="24"/>
    </row>
    <row r="8" spans="1:83" s="10" customFormat="1" ht="45" x14ac:dyDescent="0.25">
      <c r="A8" s="6" t="s">
        <v>407</v>
      </c>
      <c r="B8" s="62" t="s">
        <v>104</v>
      </c>
      <c r="C8" s="62" t="s">
        <v>103</v>
      </c>
      <c r="D8" s="54">
        <v>50350.400000000001</v>
      </c>
      <c r="E8" s="54">
        <f>Tableau_Lancer_la_requête_à_partir_de_Excel_Files10256[[#This Row],[Aide Massif]]+Tableau_Lancer_la_requête_à_partir_de_Excel_Files10256[[#This Row],[''Autre Public'']]</f>
        <v>35245.279999999999</v>
      </c>
      <c r="F8" s="63">
        <f>Tableau_Lancer_la_requête_à_partir_de_Excel_Files10256[[#This Row],[Aide 
publique]]/Tableau_Lancer_la_requête_à_partir_de_Excel_Files10256[[#This Row],[''Coût total éligible'']]</f>
        <v>0.7</v>
      </c>
      <c r="G8"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35245.279999999999</v>
      </c>
      <c r="H8" s="63">
        <f>Tableau_Lancer_la_requête_à_partir_de_Excel_Files10256[[#This Row],[Aide Massif]]/Tableau_Lancer_la_requête_à_partir_de_Excel_Files10256[[#This Row],[''Coût total éligible'']]</f>
        <v>0.7</v>
      </c>
      <c r="I8" s="54">
        <v>0</v>
      </c>
      <c r="J8" s="54">
        <f>Tableau_Lancer_la_requête_à_partir_de_Excel_Files10256[[#This Row],[''FNADT '']]+Tableau_Lancer_la_requête_à_partir_de_Excel_Files10256[[#This Row],[''Agriculture'']]</f>
        <v>35245.279999999999</v>
      </c>
      <c r="K8" s="54">
        <v>35245.279999999999</v>
      </c>
      <c r="L8" s="54"/>
      <c r="M8"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8" s="54"/>
      <c r="O8" s="54"/>
      <c r="P8" s="54"/>
      <c r="Q8" s="54"/>
      <c r="R8"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8" s="54"/>
      <c r="T8" s="54"/>
      <c r="U8" s="54"/>
      <c r="V8" s="54"/>
      <c r="W8" s="54"/>
      <c r="X8" s="54"/>
      <c r="Y8" s="54"/>
      <c r="Z8" s="54"/>
      <c r="AA8" s="54"/>
      <c r="AB8" s="54"/>
      <c r="AC8" s="54"/>
      <c r="AD8" s="54"/>
      <c r="AE8" s="54"/>
      <c r="AF8" s="54"/>
      <c r="AG8" s="54"/>
      <c r="AH8" s="54"/>
      <c r="AI8" s="54"/>
      <c r="AJ8" s="54"/>
      <c r="AK8" s="54"/>
      <c r="AL8" s="54"/>
      <c r="AM8" s="54"/>
      <c r="AN8" s="54"/>
      <c r="AO8" s="54">
        <v>0</v>
      </c>
      <c r="AP8" s="10" t="s">
        <v>339</v>
      </c>
      <c r="AQ8" s="69"/>
      <c r="AR8" s="10" t="s">
        <v>337</v>
      </c>
      <c r="AT8" s="26"/>
    </row>
    <row r="9" spans="1:83" s="10" customFormat="1" ht="45" x14ac:dyDescent="0.25">
      <c r="A9" s="6" t="s">
        <v>408</v>
      </c>
      <c r="B9" s="62" t="s">
        <v>105</v>
      </c>
      <c r="C9" s="62" t="s">
        <v>103</v>
      </c>
      <c r="D9" s="54">
        <v>51926.3</v>
      </c>
      <c r="E9" s="54">
        <f>Tableau_Lancer_la_requête_à_partir_de_Excel_Files10256[[#This Row],[Aide Massif]]+Tableau_Lancer_la_requête_à_partir_de_Excel_Files10256[[#This Row],[''Autre Public'']]</f>
        <v>36348.410000000003</v>
      </c>
      <c r="F9" s="63">
        <f>Tableau_Lancer_la_requête_à_partir_de_Excel_Files10256[[#This Row],[Aide 
publique]]/Tableau_Lancer_la_requête_à_partir_de_Excel_Files10256[[#This Row],[''Coût total éligible'']]</f>
        <v>0.70000000000000007</v>
      </c>
      <c r="G9"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36348.410000000003</v>
      </c>
      <c r="H9" s="63">
        <f>Tableau_Lancer_la_requête_à_partir_de_Excel_Files10256[[#This Row],[Aide Massif]]/Tableau_Lancer_la_requête_à_partir_de_Excel_Files10256[[#This Row],[''Coût total éligible'']]</f>
        <v>0.70000000000000007</v>
      </c>
      <c r="I9" s="54">
        <v>0</v>
      </c>
      <c r="J9" s="54">
        <f>Tableau_Lancer_la_requête_à_partir_de_Excel_Files10256[[#This Row],[''FNADT '']]+Tableau_Lancer_la_requête_à_partir_de_Excel_Files10256[[#This Row],[''Agriculture'']]</f>
        <v>36348.410000000003</v>
      </c>
      <c r="K9" s="54">
        <v>36348.410000000003</v>
      </c>
      <c r="L9" s="54"/>
      <c r="M9"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9" s="54"/>
      <c r="O9" s="54"/>
      <c r="P9" s="54"/>
      <c r="Q9" s="54"/>
      <c r="R9"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9" s="54"/>
      <c r="T9" s="54"/>
      <c r="U9" s="54"/>
      <c r="V9" s="54"/>
      <c r="W9" s="54"/>
      <c r="X9" s="54"/>
      <c r="Y9" s="54"/>
      <c r="Z9" s="54"/>
      <c r="AA9" s="54"/>
      <c r="AB9" s="54"/>
      <c r="AC9" s="54"/>
      <c r="AD9" s="54"/>
      <c r="AE9" s="54"/>
      <c r="AF9" s="54"/>
      <c r="AG9" s="54"/>
      <c r="AH9" s="54"/>
      <c r="AI9" s="54"/>
      <c r="AJ9" s="54"/>
      <c r="AK9" s="54"/>
      <c r="AL9" s="54"/>
      <c r="AM9" s="54"/>
      <c r="AN9" s="54"/>
      <c r="AO9" s="54">
        <v>0</v>
      </c>
      <c r="AP9" s="10" t="s">
        <v>339</v>
      </c>
      <c r="AQ9" s="69"/>
      <c r="AR9" s="10" t="s">
        <v>337</v>
      </c>
      <c r="AT9" s="24"/>
    </row>
    <row r="10" spans="1:83" s="10" customFormat="1" ht="45" x14ac:dyDescent="0.25">
      <c r="A10" s="6" t="s">
        <v>409</v>
      </c>
      <c r="B10" s="62" t="s">
        <v>106</v>
      </c>
      <c r="C10" s="62" t="s">
        <v>103</v>
      </c>
      <c r="D10" s="54">
        <v>37003.18</v>
      </c>
      <c r="E10" s="54">
        <f>Tableau_Lancer_la_requête_à_partir_de_Excel_Files10256[[#This Row],[Aide Massif]]+Tableau_Lancer_la_requête_à_partir_de_Excel_Files10256[[#This Row],[''Autre Public'']]</f>
        <v>25902.23</v>
      </c>
      <c r="F10" s="63">
        <f>Tableau_Lancer_la_requête_à_partir_de_Excel_Files10256[[#This Row],[Aide 
publique]]/Tableau_Lancer_la_requête_à_partir_de_Excel_Files10256[[#This Row],[''Coût total éligible'']]</f>
        <v>0.70000010809881741</v>
      </c>
      <c r="G10"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25902.23</v>
      </c>
      <c r="H10" s="63">
        <f>Tableau_Lancer_la_requête_à_partir_de_Excel_Files10256[[#This Row],[Aide Massif]]/Tableau_Lancer_la_requête_à_partir_de_Excel_Files10256[[#This Row],[''Coût total éligible'']]</f>
        <v>0.70000010809881741</v>
      </c>
      <c r="I10" s="54">
        <v>0</v>
      </c>
      <c r="J10" s="54">
        <f>Tableau_Lancer_la_requête_à_partir_de_Excel_Files10256[[#This Row],[''FNADT '']]+Tableau_Lancer_la_requête_à_partir_de_Excel_Files10256[[#This Row],[''Agriculture'']]</f>
        <v>25902.23</v>
      </c>
      <c r="K10" s="54">
        <v>25902.23</v>
      </c>
      <c r="L10" s="54"/>
      <c r="M10"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0" s="54"/>
      <c r="O10" s="54"/>
      <c r="P10" s="54"/>
      <c r="Q10" s="54"/>
      <c r="R10"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0" s="54"/>
      <c r="T10" s="54"/>
      <c r="U10" s="54"/>
      <c r="V10" s="54"/>
      <c r="W10" s="54"/>
      <c r="X10" s="54"/>
      <c r="Y10" s="54"/>
      <c r="Z10" s="54"/>
      <c r="AA10" s="54"/>
      <c r="AB10" s="54"/>
      <c r="AC10" s="54"/>
      <c r="AD10" s="54"/>
      <c r="AE10" s="54"/>
      <c r="AF10" s="54"/>
      <c r="AG10" s="54"/>
      <c r="AH10" s="54"/>
      <c r="AI10" s="54"/>
      <c r="AJ10" s="54"/>
      <c r="AK10" s="54"/>
      <c r="AL10" s="54"/>
      <c r="AM10" s="54"/>
      <c r="AN10" s="54"/>
      <c r="AO10" s="54">
        <v>0</v>
      </c>
      <c r="AP10" s="10" t="s">
        <v>339</v>
      </c>
      <c r="AQ10" s="69"/>
      <c r="AR10" s="10" t="s">
        <v>337</v>
      </c>
      <c r="AT10" s="26"/>
    </row>
    <row r="11" spans="1:83" s="10" customFormat="1" ht="45" x14ac:dyDescent="0.25">
      <c r="A11" s="6" t="s">
        <v>410</v>
      </c>
      <c r="B11" s="62" t="s">
        <v>107</v>
      </c>
      <c r="C11" s="62" t="s">
        <v>103</v>
      </c>
      <c r="D11" s="54">
        <v>37130.239999999998</v>
      </c>
      <c r="E11" s="54">
        <f>Tableau_Lancer_la_requête_à_partir_de_Excel_Files10256[[#This Row],[Aide Massif]]+Tableau_Lancer_la_requête_à_partir_de_Excel_Files10256[[#This Row],[''Autre Public'']]</f>
        <v>25991.17</v>
      </c>
      <c r="F11" s="63">
        <f>Tableau_Lancer_la_requête_à_partir_de_Excel_Files10256[[#This Row],[Aide 
publique]]/Tableau_Lancer_la_requête_à_partir_de_Excel_Files10256[[#This Row],[''Coût total éligible'']]</f>
        <v>0.70000005386445119</v>
      </c>
      <c r="G11"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25991.17</v>
      </c>
      <c r="H11" s="63">
        <f>Tableau_Lancer_la_requête_à_partir_de_Excel_Files10256[[#This Row],[Aide Massif]]/Tableau_Lancer_la_requête_à_partir_de_Excel_Files10256[[#This Row],[''Coût total éligible'']]</f>
        <v>0.70000005386445119</v>
      </c>
      <c r="I11" s="54">
        <v>0</v>
      </c>
      <c r="J11" s="54">
        <f>Tableau_Lancer_la_requête_à_partir_de_Excel_Files10256[[#This Row],[''FNADT '']]+Tableau_Lancer_la_requête_à_partir_de_Excel_Files10256[[#This Row],[''Agriculture'']]</f>
        <v>25991.17</v>
      </c>
      <c r="K11" s="54">
        <v>25991.17</v>
      </c>
      <c r="L11" s="54"/>
      <c r="M11"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1" s="54"/>
      <c r="O11" s="54"/>
      <c r="P11" s="54"/>
      <c r="Q11" s="54"/>
      <c r="R11"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1" s="54"/>
      <c r="T11" s="54"/>
      <c r="U11" s="54"/>
      <c r="V11" s="54"/>
      <c r="W11" s="54"/>
      <c r="X11" s="54"/>
      <c r="Y11" s="54"/>
      <c r="Z11" s="54"/>
      <c r="AA11" s="54"/>
      <c r="AB11" s="54"/>
      <c r="AC11" s="54"/>
      <c r="AD11" s="54"/>
      <c r="AE11" s="54"/>
      <c r="AF11" s="54"/>
      <c r="AG11" s="54"/>
      <c r="AH11" s="54"/>
      <c r="AI11" s="54"/>
      <c r="AJ11" s="54"/>
      <c r="AK11" s="54"/>
      <c r="AL11" s="54"/>
      <c r="AM11" s="54"/>
      <c r="AN11" s="54"/>
      <c r="AO11" s="54">
        <v>0</v>
      </c>
      <c r="AP11" s="10" t="s">
        <v>339</v>
      </c>
      <c r="AQ11" s="69"/>
      <c r="AR11" s="10" t="s">
        <v>337</v>
      </c>
      <c r="AT11" s="24"/>
    </row>
    <row r="12" spans="1:83" ht="45" x14ac:dyDescent="0.25">
      <c r="A12" s="6" t="s">
        <v>411</v>
      </c>
      <c r="B12" s="62" t="s">
        <v>108</v>
      </c>
      <c r="C12" s="62" t="s">
        <v>103</v>
      </c>
      <c r="D12" s="54">
        <v>75430</v>
      </c>
      <c r="E12" s="54">
        <f>Tableau_Lancer_la_requête_à_partir_de_Excel_Files10256[[#This Row],[Aide Massif]]+Tableau_Lancer_la_requête_à_partir_de_Excel_Files10256[[#This Row],[''Autre Public'']]</f>
        <v>50430</v>
      </c>
      <c r="F12" s="63">
        <f>Tableau_Lancer_la_requête_à_partir_de_Excel_Files10256[[#This Row],[Aide 
publique]]/Tableau_Lancer_la_requête_à_partir_de_Excel_Files10256[[#This Row],[''Coût total éligible'']]</f>
        <v>0.66856688320296964</v>
      </c>
      <c r="G12"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50430</v>
      </c>
      <c r="H12" s="63">
        <f>Tableau_Lancer_la_requête_à_partir_de_Excel_Files10256[[#This Row],[Aide Massif]]/Tableau_Lancer_la_requête_à_partir_de_Excel_Files10256[[#This Row],[''Coût total éligible'']]</f>
        <v>0.66856688320296964</v>
      </c>
      <c r="I12" s="54">
        <v>0</v>
      </c>
      <c r="J12" s="54">
        <f>Tableau_Lancer_la_requête_à_partir_de_Excel_Files10256[[#This Row],[''FNADT '']]+Tableau_Lancer_la_requête_à_partir_de_Excel_Files10256[[#This Row],[''Agriculture'']]</f>
        <v>25360</v>
      </c>
      <c r="K12" s="54">
        <v>25360</v>
      </c>
      <c r="L12" s="54"/>
      <c r="M12"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25070</v>
      </c>
      <c r="N12" s="54"/>
      <c r="O12" s="54"/>
      <c r="P12" s="54"/>
      <c r="Q12" s="54">
        <v>25070</v>
      </c>
      <c r="R12"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2" s="54"/>
      <c r="T12" s="54"/>
      <c r="U12" s="54"/>
      <c r="V12" s="54"/>
      <c r="W12" s="54"/>
      <c r="X12" s="54"/>
      <c r="Y12" s="54"/>
      <c r="Z12" s="54"/>
      <c r="AA12" s="54"/>
      <c r="AB12" s="54"/>
      <c r="AC12" s="54"/>
      <c r="AD12" s="54"/>
      <c r="AE12" s="54"/>
      <c r="AF12" s="54"/>
      <c r="AG12" s="54"/>
      <c r="AH12" s="54"/>
      <c r="AI12" s="54"/>
      <c r="AJ12" s="54"/>
      <c r="AK12" s="54"/>
      <c r="AL12" s="54"/>
      <c r="AM12" s="54"/>
      <c r="AN12" s="54"/>
      <c r="AO12" s="54">
        <v>0</v>
      </c>
      <c r="AP12" s="10" t="s">
        <v>339</v>
      </c>
      <c r="AQ12" s="69"/>
      <c r="AR12" s="10" t="s">
        <v>337</v>
      </c>
      <c r="AT12" s="26"/>
      <c r="CA12" s="4"/>
      <c r="CE12" s="3"/>
    </row>
    <row r="13" spans="1:83" ht="45" x14ac:dyDescent="0.25">
      <c r="A13" s="6" t="s">
        <v>412</v>
      </c>
      <c r="B13" s="62" t="s">
        <v>109</v>
      </c>
      <c r="C13" s="62" t="s">
        <v>103</v>
      </c>
      <c r="D13" s="54">
        <v>91434</v>
      </c>
      <c r="E13" s="54">
        <f>Tableau_Lancer_la_requête_à_partir_de_Excel_Files10256[[#This Row],[Aide Massif]]+Tableau_Lancer_la_requête_à_partir_de_Excel_Files10256[[#This Row],[''Autre Public'']]</f>
        <v>64003.8</v>
      </c>
      <c r="F13" s="63">
        <f>Tableau_Lancer_la_requête_à_partir_de_Excel_Files10256[[#This Row],[Aide 
publique]]/Tableau_Lancer_la_requête_à_partir_de_Excel_Files10256[[#This Row],[''Coût total éligible'']]</f>
        <v>0.70000000000000007</v>
      </c>
      <c r="G13"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64003.8</v>
      </c>
      <c r="H13" s="63">
        <f>Tableau_Lancer_la_requête_à_partir_de_Excel_Files10256[[#This Row],[Aide Massif]]/Tableau_Lancer_la_requête_à_partir_de_Excel_Files10256[[#This Row],[''Coût total éligible'']]</f>
        <v>0.70000000000000007</v>
      </c>
      <c r="I13" s="54">
        <v>0</v>
      </c>
      <c r="J13" s="54">
        <f>Tableau_Lancer_la_requête_à_partir_de_Excel_Files10256[[#This Row],[''FNADT '']]+Tableau_Lancer_la_requête_à_partir_de_Excel_Files10256[[#This Row],[''Agriculture'']]</f>
        <v>64003.8</v>
      </c>
      <c r="K13" s="54">
        <v>64003.8</v>
      </c>
      <c r="L13" s="54"/>
      <c r="M13"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3" s="54"/>
      <c r="O13" s="54"/>
      <c r="P13" s="54"/>
      <c r="Q13" s="54"/>
      <c r="R13"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3" s="54"/>
      <c r="T13" s="54"/>
      <c r="U13" s="54"/>
      <c r="V13" s="54"/>
      <c r="W13" s="54"/>
      <c r="X13" s="54"/>
      <c r="Y13" s="54"/>
      <c r="Z13" s="54"/>
      <c r="AA13" s="54"/>
      <c r="AB13" s="54"/>
      <c r="AC13" s="54"/>
      <c r="AD13" s="54"/>
      <c r="AE13" s="54"/>
      <c r="AF13" s="54"/>
      <c r="AG13" s="54"/>
      <c r="AH13" s="54"/>
      <c r="AI13" s="54"/>
      <c r="AJ13" s="54"/>
      <c r="AK13" s="54"/>
      <c r="AL13" s="54"/>
      <c r="AM13" s="54"/>
      <c r="AN13" s="54"/>
      <c r="AO13" s="54">
        <v>0</v>
      </c>
      <c r="AP13" s="10" t="s">
        <v>339</v>
      </c>
      <c r="AQ13" s="69"/>
      <c r="AR13" s="10" t="s">
        <v>337</v>
      </c>
      <c r="AT13" s="24"/>
      <c r="CA13" s="4"/>
      <c r="CE13" s="3"/>
    </row>
    <row r="14" spans="1:83" ht="45" x14ac:dyDescent="0.25">
      <c r="A14" s="6" t="s">
        <v>413</v>
      </c>
      <c r="B14" s="62" t="s">
        <v>77</v>
      </c>
      <c r="C14" s="62" t="s">
        <v>110</v>
      </c>
      <c r="D14" s="54">
        <v>150397.5</v>
      </c>
      <c r="E14" s="54">
        <f>Tableau_Lancer_la_requête_à_partir_de_Excel_Files10256[[#This Row],[Aide Massif]]+Tableau_Lancer_la_requête_à_partir_de_Excel_Files10256[[#This Row],[''Autre Public'']]</f>
        <v>105279.63</v>
      </c>
      <c r="F14" s="63">
        <f>Tableau_Lancer_la_requête_à_partir_de_Excel_Files10256[[#This Row],[Aide 
publique]]/Tableau_Lancer_la_requête_à_partir_de_Excel_Files10256[[#This Row],[''Coût total éligible'']]</f>
        <v>0.70000917568443632</v>
      </c>
      <c r="G14"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105279.63</v>
      </c>
      <c r="H14" s="63">
        <f>Tableau_Lancer_la_requête_à_partir_de_Excel_Files10256[[#This Row],[Aide Massif]]/Tableau_Lancer_la_requête_à_partir_de_Excel_Files10256[[#This Row],[''Coût total éligible'']]</f>
        <v>0.70000917568443632</v>
      </c>
      <c r="I14" s="54">
        <v>54696.56</v>
      </c>
      <c r="J14" s="54">
        <f>Tableau_Lancer_la_requête_à_partir_de_Excel_Files10256[[#This Row],[''FNADT '']]+Tableau_Lancer_la_requête_à_partir_de_Excel_Files10256[[#This Row],[''Agriculture'']]</f>
        <v>50583.07</v>
      </c>
      <c r="K14" s="54">
        <v>50583.07</v>
      </c>
      <c r="L14" s="54"/>
      <c r="M14"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4" s="54"/>
      <c r="O14" s="54"/>
      <c r="P14" s="54"/>
      <c r="Q14" s="54"/>
      <c r="R14"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4" s="54"/>
      <c r="T14" s="54"/>
      <c r="U14" s="54"/>
      <c r="V14" s="54"/>
      <c r="W14" s="54"/>
      <c r="X14" s="54"/>
      <c r="Y14" s="54"/>
      <c r="Z14" s="54"/>
      <c r="AA14" s="54"/>
      <c r="AB14" s="54"/>
      <c r="AC14" s="54"/>
      <c r="AD14" s="54"/>
      <c r="AE14" s="54"/>
      <c r="AF14" s="54"/>
      <c r="AG14" s="54"/>
      <c r="AH14" s="54"/>
      <c r="AI14" s="54"/>
      <c r="AJ14" s="54"/>
      <c r="AK14" s="54"/>
      <c r="AL14" s="54"/>
      <c r="AM14" s="54"/>
      <c r="AN14" s="54"/>
      <c r="AO14" s="54">
        <v>0</v>
      </c>
      <c r="AP14" s="10" t="s">
        <v>337</v>
      </c>
      <c r="AQ14" s="69">
        <v>42370</v>
      </c>
      <c r="AR14" s="10" t="s">
        <v>337</v>
      </c>
      <c r="AT14" s="25"/>
      <c r="CA14" s="4"/>
      <c r="CE14" s="3"/>
    </row>
    <row r="15" spans="1:83" ht="30" x14ac:dyDescent="0.25">
      <c r="A15" s="6" t="s">
        <v>414</v>
      </c>
      <c r="B15" s="62" t="s">
        <v>111</v>
      </c>
      <c r="C15" s="62" t="s">
        <v>112</v>
      </c>
      <c r="D15" s="54">
        <v>249444.96</v>
      </c>
      <c r="E15" s="54">
        <f>Tableau_Lancer_la_requête_à_partir_de_Excel_Files10256[[#This Row],[Aide Massif]]+Tableau_Lancer_la_requête_à_partir_de_Excel_Files10256[[#This Row],[''Autre Public'']]</f>
        <v>174611.47999999998</v>
      </c>
      <c r="F15" s="63">
        <f>Tableau_Lancer_la_requête_à_partir_de_Excel_Files10256[[#This Row],[Aide 
publique]]/Tableau_Lancer_la_requête_à_partir_de_Excel_Files10256[[#This Row],[''Coût total éligible'']]</f>
        <v>0.7000000320712032</v>
      </c>
      <c r="G15"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174611.47999999998</v>
      </c>
      <c r="H15" s="63">
        <f>Tableau_Lancer_la_requête_à_partir_de_Excel_Files10256[[#This Row],[Aide Massif]]/Tableau_Lancer_la_requête_à_partir_de_Excel_Files10256[[#This Row],[''Coût total éligible'']]</f>
        <v>0.7000000320712032</v>
      </c>
      <c r="I15" s="54">
        <v>124722.48</v>
      </c>
      <c r="J15" s="54">
        <f>Tableau_Lancer_la_requête_à_partir_de_Excel_Files10256[[#This Row],[''FNADT '']]+Tableau_Lancer_la_requête_à_partir_de_Excel_Files10256[[#This Row],[''Agriculture'']]</f>
        <v>24944.5</v>
      </c>
      <c r="K15" s="54">
        <v>24944.5</v>
      </c>
      <c r="L15" s="54"/>
      <c r="M15"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24944.5</v>
      </c>
      <c r="N15" s="54">
        <v>24944.5</v>
      </c>
      <c r="O15" s="54"/>
      <c r="P15" s="54"/>
      <c r="Q15" s="54"/>
      <c r="R15"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5" s="54"/>
      <c r="T15" s="54"/>
      <c r="U15" s="54"/>
      <c r="V15" s="54"/>
      <c r="W15" s="54"/>
      <c r="X15" s="54"/>
      <c r="Y15" s="54"/>
      <c r="Z15" s="54"/>
      <c r="AA15" s="54"/>
      <c r="AB15" s="54"/>
      <c r="AC15" s="54"/>
      <c r="AD15" s="54"/>
      <c r="AE15" s="54"/>
      <c r="AF15" s="54"/>
      <c r="AG15" s="54"/>
      <c r="AH15" s="54"/>
      <c r="AI15" s="54"/>
      <c r="AJ15" s="54"/>
      <c r="AK15" s="54"/>
      <c r="AL15" s="54"/>
      <c r="AM15" s="54"/>
      <c r="AN15" s="54"/>
      <c r="AO15" s="54">
        <v>0</v>
      </c>
      <c r="AP15" s="10" t="s">
        <v>337</v>
      </c>
      <c r="AQ15" s="69">
        <v>42675</v>
      </c>
      <c r="AR15" s="10" t="s">
        <v>337</v>
      </c>
      <c r="AT15" s="24"/>
      <c r="CA15" s="4"/>
      <c r="CE15" s="3"/>
    </row>
    <row r="16" spans="1:83" ht="30" x14ac:dyDescent="0.25">
      <c r="A16" s="6" t="s">
        <v>415</v>
      </c>
      <c r="B16" s="62" t="s">
        <v>113</v>
      </c>
      <c r="C16" s="62" t="s">
        <v>112</v>
      </c>
      <c r="D16" s="54">
        <v>114931.55</v>
      </c>
      <c r="E16" s="54">
        <f>Tableau_Lancer_la_requête_à_partir_de_Excel_Files10256[[#This Row],[Aide Massif]]+Tableau_Lancer_la_requête_à_partir_de_Excel_Files10256[[#This Row],[''Autre Public'']]</f>
        <v>80062.55</v>
      </c>
      <c r="F16" s="63">
        <f>Tableau_Lancer_la_requête_à_partir_de_Excel_Files10256[[#This Row],[Aide 
publique]]/Tableau_Lancer_la_requête_à_partir_de_Excel_Files10256[[#This Row],[''Coût total éligible'']]</f>
        <v>0.69661072177309014</v>
      </c>
      <c r="G16"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80062.55</v>
      </c>
      <c r="H16" s="63">
        <f>Tableau_Lancer_la_requête_à_partir_de_Excel_Files10256[[#This Row],[Aide Massif]]/Tableau_Lancer_la_requête_à_partir_de_Excel_Files10256[[#This Row],[''Coût total éligible'']]</f>
        <v>0.69661072177309014</v>
      </c>
      <c r="I16" s="54">
        <v>58968.55</v>
      </c>
      <c r="J16" s="54">
        <f>Tableau_Lancer_la_requête_à_partir_de_Excel_Files10256[[#This Row],[''FNADT '']]+Tableau_Lancer_la_requête_à_partir_de_Excel_Files10256[[#This Row],[''Agriculture'']]</f>
        <v>11494</v>
      </c>
      <c r="K16" s="54">
        <v>11494</v>
      </c>
      <c r="L16" s="54"/>
      <c r="M16"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9600</v>
      </c>
      <c r="N16" s="54"/>
      <c r="O16" s="54">
        <v>9600</v>
      </c>
      <c r="P16" s="54"/>
      <c r="Q16" s="54"/>
      <c r="R16"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6" s="54"/>
      <c r="T16" s="54"/>
      <c r="U16" s="54"/>
      <c r="V16" s="54"/>
      <c r="W16" s="54"/>
      <c r="X16" s="54"/>
      <c r="Y16" s="54"/>
      <c r="Z16" s="54"/>
      <c r="AA16" s="54"/>
      <c r="AB16" s="54"/>
      <c r="AC16" s="54"/>
      <c r="AD16" s="54"/>
      <c r="AE16" s="54"/>
      <c r="AF16" s="54"/>
      <c r="AG16" s="54"/>
      <c r="AH16" s="54"/>
      <c r="AI16" s="54"/>
      <c r="AJ16" s="54"/>
      <c r="AK16" s="54"/>
      <c r="AL16" s="54"/>
      <c r="AM16" s="54"/>
      <c r="AN16" s="54"/>
      <c r="AO16" s="54">
        <v>0</v>
      </c>
      <c r="AP16" s="10" t="s">
        <v>337</v>
      </c>
      <c r="AQ16" s="69">
        <v>42675</v>
      </c>
      <c r="AR16" s="10" t="s">
        <v>337</v>
      </c>
      <c r="AT16" s="26"/>
      <c r="CA16" s="4"/>
      <c r="CE16" s="3"/>
    </row>
    <row r="17" spans="1:83" s="7" customFormat="1" ht="30" x14ac:dyDescent="0.25">
      <c r="A17" s="6" t="s">
        <v>416</v>
      </c>
      <c r="B17" s="62" t="s">
        <v>114</v>
      </c>
      <c r="C17" s="62" t="s">
        <v>112</v>
      </c>
      <c r="D17" s="54">
        <v>120000</v>
      </c>
      <c r="E17" s="54">
        <f>Tableau_Lancer_la_requête_à_partir_de_Excel_Files10256[[#This Row],[Aide Massif]]+Tableau_Lancer_la_requête_à_partir_de_Excel_Files10256[[#This Row],[''Autre Public'']]</f>
        <v>84000</v>
      </c>
      <c r="F17" s="63">
        <f>Tableau_Lancer_la_requête_à_partir_de_Excel_Files10256[[#This Row],[Aide 
publique]]/Tableau_Lancer_la_requête_à_partir_de_Excel_Files10256[[#This Row],[''Coût total éligible'']]</f>
        <v>0.7</v>
      </c>
      <c r="G17"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84000</v>
      </c>
      <c r="H17" s="63">
        <f>Tableau_Lancer_la_requête_à_partir_de_Excel_Files10256[[#This Row],[Aide Massif]]/Tableau_Lancer_la_requête_à_partir_de_Excel_Files10256[[#This Row],[''Coût total éligible'']]</f>
        <v>0.7</v>
      </c>
      <c r="I17" s="54">
        <v>60000</v>
      </c>
      <c r="J17" s="54">
        <f>Tableau_Lancer_la_requête_à_partir_de_Excel_Files10256[[#This Row],[''FNADT '']]+Tableau_Lancer_la_requête_à_partir_de_Excel_Files10256[[#This Row],[''Agriculture'']]</f>
        <v>12000</v>
      </c>
      <c r="K17" s="54">
        <v>12000</v>
      </c>
      <c r="L17" s="54"/>
      <c r="M17"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12000</v>
      </c>
      <c r="N17" s="54"/>
      <c r="O17" s="54">
        <v>12000</v>
      </c>
      <c r="P17" s="54"/>
      <c r="Q17" s="54"/>
      <c r="R17"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7" s="54"/>
      <c r="T17" s="54"/>
      <c r="U17" s="54"/>
      <c r="V17" s="54"/>
      <c r="W17" s="54"/>
      <c r="X17" s="54"/>
      <c r="Y17" s="54"/>
      <c r="Z17" s="54"/>
      <c r="AA17" s="54"/>
      <c r="AB17" s="54"/>
      <c r="AC17" s="54"/>
      <c r="AD17" s="54"/>
      <c r="AE17" s="54"/>
      <c r="AF17" s="54"/>
      <c r="AG17" s="54"/>
      <c r="AH17" s="54"/>
      <c r="AI17" s="54"/>
      <c r="AJ17" s="54"/>
      <c r="AK17" s="54"/>
      <c r="AL17" s="54"/>
      <c r="AM17" s="54"/>
      <c r="AN17" s="54"/>
      <c r="AO17" s="54">
        <v>0</v>
      </c>
      <c r="AP17" s="10" t="s">
        <v>337</v>
      </c>
      <c r="AQ17" s="69">
        <v>42675</v>
      </c>
      <c r="AR17" s="10" t="s">
        <v>337</v>
      </c>
      <c r="AT17" s="24"/>
    </row>
    <row r="18" spans="1:83" s="10" customFormat="1" ht="30" x14ac:dyDescent="0.25">
      <c r="A18" s="6" t="s">
        <v>417</v>
      </c>
      <c r="B18" s="62" t="s">
        <v>71</v>
      </c>
      <c r="C18" s="62" t="s">
        <v>112</v>
      </c>
      <c r="D18" s="54">
        <v>107034.43</v>
      </c>
      <c r="E18" s="54">
        <f>Tableau_Lancer_la_requête_à_partir_de_Excel_Files10256[[#This Row],[Aide Massif]]+Tableau_Lancer_la_requête_à_partir_de_Excel_Files10256[[#This Row],[''Autre Public'']]</f>
        <v>74924.09</v>
      </c>
      <c r="F18" s="63">
        <f>Tableau_Lancer_la_requête_à_partir_de_Excel_Files10256[[#This Row],[Aide 
publique]]/Tableau_Lancer_la_requête_à_partir_de_Excel_Files10256[[#This Row],[''Coût total éligible'']]</f>
        <v>0.69999989722933076</v>
      </c>
      <c r="G18"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74924.09</v>
      </c>
      <c r="H18" s="63">
        <f>Tableau_Lancer_la_requête_à_partir_de_Excel_Files10256[[#This Row],[Aide Massif]]/Tableau_Lancer_la_requête_à_partir_de_Excel_Files10256[[#This Row],[''Coût total éligible'']]</f>
        <v>0.69999989722933076</v>
      </c>
      <c r="I18" s="54">
        <v>53517.21</v>
      </c>
      <c r="J18" s="54">
        <f>Tableau_Lancer_la_requête_à_partir_de_Excel_Files10256[[#This Row],[''FNADT '']]+Tableau_Lancer_la_requête_à_partir_de_Excel_Files10256[[#This Row],[''Agriculture'']]</f>
        <v>21406.880000000001</v>
      </c>
      <c r="K18" s="54">
        <v>21406.880000000001</v>
      </c>
      <c r="L18" s="54"/>
      <c r="M18"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8" s="54"/>
      <c r="O18" s="54"/>
      <c r="P18" s="54"/>
      <c r="Q18" s="54"/>
      <c r="R18"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8" s="54"/>
      <c r="T18" s="54"/>
      <c r="U18" s="54"/>
      <c r="V18" s="54"/>
      <c r="W18" s="54"/>
      <c r="X18" s="54"/>
      <c r="Y18" s="54"/>
      <c r="Z18" s="54"/>
      <c r="AA18" s="54"/>
      <c r="AB18" s="54"/>
      <c r="AC18" s="54"/>
      <c r="AD18" s="54"/>
      <c r="AE18" s="54"/>
      <c r="AF18" s="54"/>
      <c r="AG18" s="54"/>
      <c r="AH18" s="54"/>
      <c r="AI18" s="54"/>
      <c r="AJ18" s="54"/>
      <c r="AK18" s="54"/>
      <c r="AL18" s="54"/>
      <c r="AM18" s="54"/>
      <c r="AN18" s="54"/>
      <c r="AO18" s="54">
        <v>0</v>
      </c>
      <c r="AP18" s="10" t="s">
        <v>337</v>
      </c>
      <c r="AQ18" s="69">
        <v>42675</v>
      </c>
      <c r="AR18" s="10" t="s">
        <v>337</v>
      </c>
    </row>
    <row r="19" spans="1:83" ht="30.75" thickBot="1" x14ac:dyDescent="0.3">
      <c r="A19" s="6" t="s">
        <v>418</v>
      </c>
      <c r="B19" s="62" t="s">
        <v>92</v>
      </c>
      <c r="C19" s="62" t="s">
        <v>112</v>
      </c>
      <c r="D19" s="54">
        <v>93420</v>
      </c>
      <c r="E19" s="54">
        <f>Tableau_Lancer_la_requête_à_partir_de_Excel_Files10256[[#This Row],[Aide Massif]]+Tableau_Lancer_la_requête_à_partir_de_Excel_Files10256[[#This Row],[''Autre Public'']]</f>
        <v>65394</v>
      </c>
      <c r="F19" s="63">
        <f>Tableau_Lancer_la_requête_à_partir_de_Excel_Files10256[[#This Row],[Aide 
publique]]/Tableau_Lancer_la_requête_à_partir_de_Excel_Files10256[[#This Row],[''Coût total éligible'']]</f>
        <v>0.7</v>
      </c>
      <c r="G19" s="54">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65394</v>
      </c>
      <c r="H19" s="63">
        <f>Tableau_Lancer_la_requête_à_partir_de_Excel_Files10256[[#This Row],[Aide Massif]]/Tableau_Lancer_la_requête_à_partir_de_Excel_Files10256[[#This Row],[''Coût total éligible'']]</f>
        <v>0.7</v>
      </c>
      <c r="I19" s="54">
        <v>46710</v>
      </c>
      <c r="J19" s="54">
        <f>Tableau_Lancer_la_requête_à_partir_de_Excel_Files10256[[#This Row],[''FNADT '']]+Tableau_Lancer_la_requête_à_partir_de_Excel_Files10256[[#This Row],[''Agriculture'']]</f>
        <v>9130</v>
      </c>
      <c r="K19" s="54">
        <v>9130</v>
      </c>
      <c r="L19" s="54"/>
      <c r="M19" s="54">
        <f>Tableau_Lancer_la_requête_à_partir_de_Excel_Files10256[[#This Row],[''ALPC'']]+Tableau_Lancer_la_requête_à_partir_de_Excel_Files10256[[#This Row],[''AURA'']]+Tableau_Lancer_la_requête_à_partir_de_Excel_Files10256[[#This Row],[''BFC'']]+Tableau_Lancer_la_requête_à_partir_de_Excel_Files10256[[#This Row],[''LRMP'']]</f>
        <v>9554</v>
      </c>
      <c r="N19" s="54"/>
      <c r="O19" s="54">
        <v>9554</v>
      </c>
      <c r="P19" s="54"/>
      <c r="Q19" s="54"/>
      <c r="R19" s="54">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9" s="54"/>
      <c r="T19" s="54"/>
      <c r="U19" s="54"/>
      <c r="V19" s="54"/>
      <c r="W19" s="54"/>
      <c r="X19" s="54"/>
      <c r="Y19" s="54"/>
      <c r="Z19" s="54"/>
      <c r="AA19" s="54"/>
      <c r="AB19" s="54"/>
      <c r="AC19" s="54"/>
      <c r="AD19" s="54"/>
      <c r="AE19" s="54"/>
      <c r="AF19" s="54"/>
      <c r="AG19" s="54"/>
      <c r="AH19" s="54"/>
      <c r="AI19" s="54"/>
      <c r="AJ19" s="54"/>
      <c r="AK19" s="54"/>
      <c r="AL19" s="54"/>
      <c r="AM19" s="54"/>
      <c r="AN19" s="54"/>
      <c r="AO19" s="54">
        <v>0</v>
      </c>
      <c r="AP19" s="10" t="s">
        <v>337</v>
      </c>
      <c r="AQ19" s="69">
        <v>42675</v>
      </c>
      <c r="AR19" s="10" t="s">
        <v>337</v>
      </c>
      <c r="AT19" s="24"/>
      <c r="CD19" s="4"/>
      <c r="CE19" s="3"/>
    </row>
    <row r="20" spans="1:83" ht="15.75" thickTop="1" x14ac:dyDescent="0.25">
      <c r="A20" s="111" t="s">
        <v>8</v>
      </c>
      <c r="B20" s="112">
        <f>SUBTOTAL(103,Tableau_Lancer_la_requête_à_partir_de_Excel_Files10256[Nom_MO])</f>
        <v>13</v>
      </c>
      <c r="C20" s="112"/>
      <c r="D20" s="113">
        <f>SUBTOTAL(109,Tableau_Lancer_la_requête_à_partir_de_Excel_Files10256[''Coût total éligible''])</f>
        <v>1392582.5599999998</v>
      </c>
      <c r="E20" s="113">
        <f>SUBTOTAL(109,Tableau_Lancer_la_requête_à_partir_de_Excel_Files10256[Aide 
publique])</f>
        <v>972048.64</v>
      </c>
      <c r="F20" s="114"/>
      <c r="G20" s="113">
        <f>SUBTOTAL(109,Tableau_Lancer_la_requête_à_partir_de_Excel_Files10256[Aide Massif])</f>
        <v>972048.64</v>
      </c>
      <c r="H20" s="114"/>
      <c r="I20" s="113">
        <f>SUBTOTAL(109,Tableau_Lancer_la_requête_à_partir_de_Excel_Files10256[''FEDER''])</f>
        <v>398614.8</v>
      </c>
      <c r="J20" s="113">
        <f>SUBTOTAL(109,Tableau_Lancer_la_requête_à_partir_de_Excel_Files10256[Total Etat])</f>
        <v>453265.34</v>
      </c>
      <c r="K20" s="111"/>
      <c r="L20" s="113">
        <f>SUBTOTAL(109,Tableau_Lancer_la_requête_à_partir_de_Excel_Files10256[''Agriculture''])</f>
        <v>0</v>
      </c>
      <c r="M20" s="113">
        <f>SUBTOTAL(109,Tableau_Lancer_la_requête_à_partir_de_Excel_Files10256[Total Régions])</f>
        <v>120168.5</v>
      </c>
      <c r="N20" s="113">
        <f>SUBTOTAL(109,Tableau_Lancer_la_requête_à_partir_de_Excel_Files10256[''ALPC''])</f>
        <v>63944.5</v>
      </c>
      <c r="O20" s="113">
        <f>SUBTOTAL(109,Tableau_Lancer_la_requête_à_partir_de_Excel_Files10256[''AURA''])</f>
        <v>31154</v>
      </c>
      <c r="P20" s="113">
        <f>SUBTOTAL(109,Tableau_Lancer_la_requête_à_partir_de_Excel_Files10256[''BFC''])</f>
        <v>0</v>
      </c>
      <c r="Q20" s="113">
        <f>SUBTOTAL(109,Tableau_Lancer_la_requête_à_partir_de_Excel_Files10256[''LRMP''])</f>
        <v>25070</v>
      </c>
      <c r="R20" s="113">
        <f>SUBTOTAL(109,Tableau_Lancer_la_requête_à_partir_de_Excel_Files10256[Total Dpts])</f>
        <v>0</v>
      </c>
      <c r="S20" s="113">
        <f>SUBTOTAL(109,Tableau_Lancer_la_requête_à_partir_de_Excel_Files10256[''03''])</f>
        <v>0</v>
      </c>
      <c r="T20" s="113">
        <f>SUBTOTAL(109,Tableau_Lancer_la_requête_à_partir_de_Excel_Files10256[''07''])</f>
        <v>0</v>
      </c>
      <c r="U20" s="113">
        <f>SUBTOTAL(109,Tableau_Lancer_la_requête_à_partir_de_Excel_Files10256[''11''])</f>
        <v>0</v>
      </c>
      <c r="V20" s="113">
        <f>SUBTOTAL(109,Tableau_Lancer_la_requête_à_partir_de_Excel_Files10256[''12''])</f>
        <v>0</v>
      </c>
      <c r="W20" s="113">
        <f>SUBTOTAL(109,Tableau_Lancer_la_requête_à_partir_de_Excel_Files10256[''15''])</f>
        <v>0</v>
      </c>
      <c r="X20" s="113">
        <f>SUBTOTAL(109,Tableau_Lancer_la_requête_à_partir_de_Excel_Files10256[''19''])</f>
        <v>0</v>
      </c>
      <c r="Y20" s="113">
        <f>SUBTOTAL(109,Tableau_Lancer_la_requête_à_partir_de_Excel_Files10256[''21''])</f>
        <v>0</v>
      </c>
      <c r="Z20" s="113">
        <f>SUBTOTAL(109,Tableau_Lancer_la_requête_à_partir_de_Excel_Files10256[''23''])</f>
        <v>0</v>
      </c>
      <c r="AA20" s="113">
        <f>SUBTOTAL(109,Tableau_Lancer_la_requête_à_partir_de_Excel_Files10256[''30''])</f>
        <v>0</v>
      </c>
      <c r="AB20" s="113">
        <f>SUBTOTAL(109,Tableau_Lancer_la_requête_à_partir_de_Excel_Files10256[''34''])</f>
        <v>0</v>
      </c>
      <c r="AC20" s="113">
        <f>SUBTOTAL(109,Tableau_Lancer_la_requête_à_partir_de_Excel_Files10256[''42''])</f>
        <v>0</v>
      </c>
      <c r="AD20" s="113">
        <f>SUBTOTAL(109,Tableau_Lancer_la_requête_à_partir_de_Excel_Files10256[''43''])</f>
        <v>0</v>
      </c>
      <c r="AE20" s="113">
        <f>SUBTOTAL(109,Tableau_Lancer_la_requête_à_partir_de_Excel_Files10256[''46''])</f>
        <v>0</v>
      </c>
      <c r="AF20" s="113">
        <f>SUBTOTAL(109,Tableau_Lancer_la_requête_à_partir_de_Excel_Files10256[''48''])</f>
        <v>0</v>
      </c>
      <c r="AG20" s="113">
        <f>SUBTOTAL(109,Tableau_Lancer_la_requête_à_partir_de_Excel_Files10256[''58''])</f>
        <v>0</v>
      </c>
      <c r="AH20" s="113">
        <f>SUBTOTAL(109,Tableau_Lancer_la_requête_à_partir_de_Excel_Files10256[''63''])</f>
        <v>0</v>
      </c>
      <c r="AI20" s="113">
        <f>SUBTOTAL(109,Tableau_Lancer_la_requête_à_partir_de_Excel_Files10256[''69''])</f>
        <v>0</v>
      </c>
      <c r="AJ20" s="113">
        <f>SUBTOTAL(109,Tableau_Lancer_la_requête_à_partir_de_Excel_Files10256[''71''])</f>
        <v>0</v>
      </c>
      <c r="AK20" s="113">
        <f>SUBTOTAL(109,Tableau_Lancer_la_requête_à_partir_de_Excel_Files10256[''81''])</f>
        <v>0</v>
      </c>
      <c r="AL20" s="113">
        <f>SUBTOTAL(109,Tableau_Lancer_la_requête_à_partir_de_Excel_Files10256[''82''])</f>
        <v>0</v>
      </c>
      <c r="AM20" s="113">
        <f>SUBTOTAL(109,Tableau_Lancer_la_requête_à_partir_de_Excel_Files10256[''87''])</f>
        <v>0</v>
      </c>
      <c r="AN20" s="113">
        <f>SUBTOTAL(109,Tableau_Lancer_la_requête_à_partir_de_Excel_Files10256[''89''])</f>
        <v>0</v>
      </c>
      <c r="AO20" s="113">
        <f>SUBTOTAL(109,Tableau_Lancer_la_requête_à_partir_de_Excel_Files10256[''Autre Public''])</f>
        <v>0</v>
      </c>
      <c r="AP20" s="111"/>
      <c r="AQ20" s="111"/>
      <c r="AR20" s="116"/>
      <c r="AT20" s="29"/>
    </row>
    <row r="30" spans="1:83" hidden="1" x14ac:dyDescent="0.25">
      <c r="E30" s="3" t="s">
        <v>86</v>
      </c>
      <c r="F30" s="6" t="s">
        <v>84</v>
      </c>
    </row>
    <row r="31" spans="1:83" hidden="1" x14ac:dyDescent="0.25">
      <c r="D31" t="s">
        <v>58</v>
      </c>
      <c r="E31" s="3">
        <f>H31+I31</f>
        <v>398614.8</v>
      </c>
      <c r="F31" s="3">
        <f>M31+R31</f>
        <v>398614.8</v>
      </c>
      <c r="H31" s="3">
        <f>SUMIF(Tableau_Lancer_la_requête_à_partir_de_Excel_Files10256[Avis Prog],"1-Favorable",Tableau_Lancer_la_requête_à_partir_de_Excel_Files10256[''FEDER''])</f>
        <v>398614.8</v>
      </c>
      <c r="I31" s="3">
        <f>SUMIF(Tableau_Lancer_la_requête_à_partir_de_Excel_Files10256[Avis Prog],"2-Favorable sous réserve",Tableau_Lancer_la_requête_à_partir_de_Excel_Files10256[''FEDER''])</f>
        <v>0</v>
      </c>
      <c r="M31" s="3">
        <f>SUMIF(Tableau_Lancer_la_requête_à_partir_de_Excel_Files10256[Avis Cofimac],"1-Favorable",Tableau_Lancer_la_requête_à_partir_de_Excel_Files10256[''FEDER''])</f>
        <v>398614.8</v>
      </c>
      <c r="R31" s="3">
        <f>SUMIF(Tableau_Lancer_la_requête_à_partir_de_Excel_Files10256[Avis Cofimac],"2-Favorable sous réserve",Tableau_Lancer_la_requête_à_partir_de_Excel_Files10256[''FEDER''])</f>
        <v>0</v>
      </c>
    </row>
    <row r="32" spans="1:83" hidden="1" x14ac:dyDescent="0.25">
      <c r="D32" t="s">
        <v>46</v>
      </c>
      <c r="E32" s="3">
        <f t="shared" ref="E32:E59" si="0">H32+I32</f>
        <v>453265.34</v>
      </c>
      <c r="F32" s="3">
        <f t="shared" ref="F32:F60" si="1">M32+R32</f>
        <v>453265.34</v>
      </c>
      <c r="H32" s="3">
        <f>SUMIF(Tableau_Lancer_la_requête_à_partir_de_Excel_Files10256[Avis Prog],"1-Favorable",Tableau_Lancer_la_requête_à_partir_de_Excel_Files10256[Total Etat])</f>
        <v>453265.34</v>
      </c>
      <c r="I32" s="3">
        <f>SUMIF(Tableau_Lancer_la_requête_à_partir_de_Excel_Files10256[Avis Prog],"2-Favorable sous réserve",Tableau_Lancer_la_requête_à_partir_de_Excel_Files10256[Total Etat])</f>
        <v>0</v>
      </c>
      <c r="M32" s="3">
        <f>SUMIF(Tableau_Lancer_la_requête_à_partir_de_Excel_Files10256[Avis Cofimac],"1-Favorable",Tableau_Lancer_la_requête_à_partir_de_Excel_Files10256[Total Etat])</f>
        <v>129558.45000000001</v>
      </c>
      <c r="R32" s="3">
        <f>SUMIF(Tableau_Lancer_la_requête_à_partir_de_Excel_Files10256[Avis Cofimac],"2-Favorable sous réserve",Tableau_Lancer_la_requête_à_partir_de_Excel_Files10256[Total Etat])</f>
        <v>323706.89</v>
      </c>
    </row>
    <row r="33" spans="4:18" hidden="1" x14ac:dyDescent="0.25">
      <c r="D33" t="s">
        <v>47</v>
      </c>
      <c r="E33" s="3">
        <f t="shared" si="0"/>
        <v>120168.5</v>
      </c>
      <c r="F33" s="3">
        <f t="shared" si="1"/>
        <v>120168.5</v>
      </c>
      <c r="H33" s="3">
        <f>SUMIF(Tableau_Lancer_la_requête_à_partir_de_Excel_Files10256[Avis Prog],"1-Favorable",Tableau_Lancer_la_requête_à_partir_de_Excel_Files10256[Total Régions])</f>
        <v>120168.5</v>
      </c>
      <c r="I33" s="3">
        <f>SUMIF(Tableau_Lancer_la_requête_à_partir_de_Excel_Files10256[Avis Prog],"2-Favorable sous réserve",Tableau_Lancer_la_requête_à_partir_de_Excel_Files10256[Total Régions])</f>
        <v>0</v>
      </c>
      <c r="M33" s="3">
        <f>SUMIF(Tableau_Lancer_la_requête_à_partir_de_Excel_Files10256[Avis Cofimac],"1-Favorable",Tableau_Lancer_la_requête_à_partir_de_Excel_Files10256[Total Régions])</f>
        <v>56098.5</v>
      </c>
      <c r="R33" s="3">
        <f>SUMIF(Tableau_Lancer_la_requête_à_partir_de_Excel_Files10256[Avis Cofimac],"2-Favorable sous réserve",Tableau_Lancer_la_requête_à_partir_de_Excel_Files10256[Total Régions])</f>
        <v>64070</v>
      </c>
    </row>
    <row r="34" spans="4:18" hidden="1" x14ac:dyDescent="0.25">
      <c r="D34" s="3" t="s">
        <v>59</v>
      </c>
      <c r="E34" s="3">
        <f t="shared" si="0"/>
        <v>63944.5</v>
      </c>
      <c r="F34" s="3">
        <f t="shared" si="1"/>
        <v>63944.5</v>
      </c>
      <c r="H34" s="3">
        <f>SUMIF(Tableau_Lancer_la_requête_à_partir_de_Excel_Files10256[Avis Prog],"1-Favorable",Tableau_Lancer_la_requête_à_partir_de_Excel_Files10256[''ALPC''])</f>
        <v>63944.5</v>
      </c>
      <c r="I34" s="3">
        <f>SUMIF(Tableau_Lancer_la_requête_à_partir_de_Excel_Files10256[Avis Prog],"2-Favorable sous réserve",Tableau_Lancer_la_requête_à_partir_de_Excel_Files10256[''ALPC''])</f>
        <v>0</v>
      </c>
      <c r="M34" s="3">
        <f>SUMIF(Tableau_Lancer_la_requête_à_partir_de_Excel_Files10256[Avis Cofimac],"1-Favorable",Tableau_Lancer_la_requête_à_partir_de_Excel_Files10256[''ALPC''])</f>
        <v>24944.5</v>
      </c>
      <c r="R34" s="3">
        <f>SUMIF(Tableau_Lancer_la_requête_à_partir_de_Excel_Files10256[Avis Cofimac],"2-Favorable sous réserve",Tableau_Lancer_la_requête_à_partir_de_Excel_Files10256[''ALPC''])</f>
        <v>39000</v>
      </c>
    </row>
    <row r="35" spans="4:18" hidden="1" x14ac:dyDescent="0.25">
      <c r="D35" s="3" t="s">
        <v>60</v>
      </c>
      <c r="E35" s="3">
        <f t="shared" si="0"/>
        <v>31154</v>
      </c>
      <c r="F35" s="3">
        <f t="shared" si="1"/>
        <v>31154</v>
      </c>
      <c r="H35" s="3">
        <f>SUMIF(Tableau_Lancer_la_requête_à_partir_de_Excel_Files10256[Avis Prog],"1-Favorable",Tableau_Lancer_la_requête_à_partir_de_Excel_Files10256[''AURA''])</f>
        <v>31154</v>
      </c>
      <c r="I35" s="3">
        <f>SUMIF(Tableau_Lancer_la_requête_à_partir_de_Excel_Files10256[Avis Prog],"2-Favorable sous réserve",Tableau_Lancer_la_requête_à_partir_de_Excel_Files10256[''AURA''])</f>
        <v>0</v>
      </c>
      <c r="M35" s="3">
        <f>SUMIF(Tableau_Lancer_la_requête_à_partir_de_Excel_Files10256[Avis Cofimac],"1-Favorable",Tableau_Lancer_la_requête_à_partir_de_Excel_Files10256[''AURA''])</f>
        <v>31154</v>
      </c>
      <c r="R35" s="3">
        <f>SUMIF(Tableau_Lancer_la_requête_à_partir_de_Excel_Files10256[Avis Cofimac],"2-Favorable sous réserve",Tableau_Lancer_la_requête_à_partir_de_Excel_Files10256[''AURA''])</f>
        <v>0</v>
      </c>
    </row>
    <row r="36" spans="4:18" hidden="1" x14ac:dyDescent="0.25">
      <c r="D36" s="3" t="s">
        <v>61</v>
      </c>
      <c r="E36" s="3">
        <f t="shared" si="0"/>
        <v>0</v>
      </c>
      <c r="F36" s="3">
        <f t="shared" si="1"/>
        <v>0</v>
      </c>
      <c r="H36" s="3">
        <f>SUMIF(Tableau_Lancer_la_requête_à_partir_de_Excel_Files10256[Avis Prog],"1-Favorable",Tableau_Lancer_la_requête_à_partir_de_Excel_Files10256[''BFC''])</f>
        <v>0</v>
      </c>
      <c r="I36" s="3">
        <f>SUMIF(Tableau_Lancer_la_requête_à_partir_de_Excel_Files10256[Avis Prog],"2-Favorable sous réserve",Tableau_Lancer_la_requête_à_partir_de_Excel_Files10256[''BFC''])</f>
        <v>0</v>
      </c>
      <c r="M36" s="3">
        <f>SUMIF(Tableau_Lancer_la_requête_à_partir_de_Excel_Files10256[Avis Cofimac],"1-Favorable",Tableau_Lancer_la_requête_à_partir_de_Excel_Files10256[''BFC''])</f>
        <v>0</v>
      </c>
      <c r="R36" s="3">
        <f>SUMIF(Tableau_Lancer_la_requête_à_partir_de_Excel_Files10256[Avis Cofimac],"2-Favorable sous réserve",Tableau_Lancer_la_requête_à_partir_de_Excel_Files10256[''BFC''])</f>
        <v>0</v>
      </c>
    </row>
    <row r="37" spans="4:18" hidden="1" x14ac:dyDescent="0.25">
      <c r="D37" s="3" t="s">
        <v>62</v>
      </c>
      <c r="E37" s="3">
        <f t="shared" si="0"/>
        <v>25070</v>
      </c>
      <c r="F37" s="3">
        <f t="shared" si="1"/>
        <v>25070</v>
      </c>
      <c r="H37" s="3">
        <f>SUMIF(Tableau_Lancer_la_requête_à_partir_de_Excel_Files10256[Avis Prog],"1-Favorable",Tableau_Lancer_la_requête_à_partir_de_Excel_Files10256[''LRMP''])</f>
        <v>25070</v>
      </c>
      <c r="I37" s="3">
        <f>SUMIF(Tableau_Lancer_la_requête_à_partir_de_Excel_Files10256[Avis Prog],"2-Favorable sous réserve",Tableau_Lancer_la_requête_à_partir_de_Excel_Files10256[''LRMP''])</f>
        <v>0</v>
      </c>
      <c r="M37" s="3">
        <f>SUMIF(Tableau_Lancer_la_requête_à_partir_de_Excel_Files10256[Avis Cofimac],"1-Favorable",Tableau_Lancer_la_requête_à_partir_de_Excel_Files10256[''LRMP''])</f>
        <v>0</v>
      </c>
      <c r="R37" s="3">
        <f>SUMIF(Tableau_Lancer_la_requête_à_partir_de_Excel_Files10256[Avis Cofimac],"2-Favorable sous réserve",Tableau_Lancer_la_requête_à_partir_de_Excel_Files10256[''LRMP''])</f>
        <v>25070</v>
      </c>
    </row>
    <row r="38" spans="4:18" hidden="1" x14ac:dyDescent="0.25">
      <c r="D38" t="s">
        <v>48</v>
      </c>
      <c r="E38" s="3">
        <f t="shared" si="0"/>
        <v>0</v>
      </c>
      <c r="F38" s="3">
        <f t="shared" si="1"/>
        <v>0</v>
      </c>
      <c r="H38" s="3">
        <f>SUMIF(Tableau_Lancer_la_requête_à_partir_de_Excel_Files10256[Avis Prog],"1-Favorable",Tableau_Lancer_la_requête_à_partir_de_Excel_Files10256[Total Dpts])</f>
        <v>0</v>
      </c>
      <c r="I38" s="3">
        <f>SUMIF(Tableau_Lancer_la_requête_à_partir_de_Excel_Files10256[Avis Prog],"2-Favorable sous réserve",Tableau_Lancer_la_requête_à_partir_de_Excel_Files10256[Total Dpts])</f>
        <v>0</v>
      </c>
      <c r="M38" s="3">
        <f>SUMIF(Tableau_Lancer_la_requête_à_partir_de_Excel_Files10256[Avis Cofimac],"1-Favorable",Tableau_Lancer_la_requête_à_partir_de_Excel_Files10256[Total Dpts])</f>
        <v>0</v>
      </c>
      <c r="R38" s="3">
        <f>SUMIF(Tableau_Lancer_la_requête_à_partir_de_Excel_Files10256[Avis Cofimac],"2-Favorable sous réserve",Tableau_Lancer_la_requête_à_partir_de_Excel_Files10256[Total Dpts])</f>
        <v>0</v>
      </c>
    </row>
    <row r="39" spans="4:18" hidden="1" x14ac:dyDescent="0.25">
      <c r="D39" t="s">
        <v>22</v>
      </c>
      <c r="E39" s="3">
        <f t="shared" si="0"/>
        <v>0</v>
      </c>
      <c r="F39" s="3">
        <f t="shared" si="1"/>
        <v>0</v>
      </c>
      <c r="H39" s="3">
        <f>SUMIF(Tableau_Lancer_la_requête_à_partir_de_Excel_Files10256[Avis Prog],"1-Favorable",Tableau_Lancer_la_requête_à_partir_de_Excel_Files10256[''03''])</f>
        <v>0</v>
      </c>
      <c r="I39" s="3">
        <f>SUMIF(Tableau_Lancer_la_requête_à_partir_de_Excel_Files10256[Avis Prog],"2-Favorable sous réserve",Tableau_Lancer_la_requête_à_partir_de_Excel_Files10256[''03''])</f>
        <v>0</v>
      </c>
      <c r="M39" s="3">
        <f>SUMIF(Tableau_Lancer_la_requête_à_partir_de_Excel_Files10256[Avis Cofimac],"1-Favorable",Tableau_Lancer_la_requête_à_partir_de_Excel_Files10256[''03''])</f>
        <v>0</v>
      </c>
      <c r="R39" s="3">
        <f>SUMIF(Tableau_Lancer_la_requête_à_partir_de_Excel_Files10256[Avis Cofimac],"2-Favorable sous réserve",Tableau_Lancer_la_requête_à_partir_de_Excel_Files10256[''03''])</f>
        <v>0</v>
      </c>
    </row>
    <row r="40" spans="4:18" hidden="1" x14ac:dyDescent="0.25">
      <c r="D40" t="s">
        <v>23</v>
      </c>
      <c r="E40" s="3">
        <f t="shared" si="0"/>
        <v>0</v>
      </c>
      <c r="F40" s="3">
        <f t="shared" si="1"/>
        <v>0</v>
      </c>
      <c r="H40" s="3">
        <f>SUMIF(Tableau_Lancer_la_requête_à_partir_de_Excel_Files10256[Avis Prog],"1-Favorable",Tableau_Lancer_la_requête_à_partir_de_Excel_Files10256[''07''])</f>
        <v>0</v>
      </c>
      <c r="I40" s="3">
        <f>SUMIF(Tableau_Lancer_la_requête_à_partir_de_Excel_Files10256[Avis Prog],"2-Favorable sous réserve",Tableau_Lancer_la_requête_à_partir_de_Excel_Files10256[''07''])</f>
        <v>0</v>
      </c>
      <c r="M40" s="3">
        <f>SUMIF(Tableau_Lancer_la_requête_à_partir_de_Excel_Files10256[Avis Cofimac],"1-Favorable",Tableau_Lancer_la_requête_à_partir_de_Excel_Files10256[''07''])</f>
        <v>0</v>
      </c>
      <c r="R40" s="3">
        <f>SUMIF(Tableau_Lancer_la_requête_à_partir_de_Excel_Files10256[Avis Cofimac],"2-Favorable sous réserve",Tableau_Lancer_la_requête_à_partir_de_Excel_Files10256[''07''])</f>
        <v>0</v>
      </c>
    </row>
    <row r="41" spans="4:18" hidden="1" x14ac:dyDescent="0.25">
      <c r="D41" t="s">
        <v>24</v>
      </c>
      <c r="E41" s="3">
        <f t="shared" si="0"/>
        <v>0</v>
      </c>
      <c r="F41" s="3">
        <f t="shared" si="1"/>
        <v>0</v>
      </c>
      <c r="H41" s="3">
        <f>SUMIF(Tableau_Lancer_la_requête_à_partir_de_Excel_Files10256[Avis Prog],"1-Favorable",Tableau_Lancer_la_requête_à_partir_de_Excel_Files10256[''11''])</f>
        <v>0</v>
      </c>
      <c r="I41" s="3">
        <f>SUMIF(Tableau_Lancer_la_requête_à_partir_de_Excel_Files10256[Avis Prog],"2-Favorable sous réserve",Tableau_Lancer_la_requête_à_partir_de_Excel_Files10256[''11''])</f>
        <v>0</v>
      </c>
      <c r="M41" s="3">
        <f>SUMIF(Tableau_Lancer_la_requête_à_partir_de_Excel_Files10256[Avis Cofimac],"1-Favorable",Tableau_Lancer_la_requête_à_partir_de_Excel_Files10256[''11''])</f>
        <v>0</v>
      </c>
      <c r="R41" s="3">
        <f>SUMIF(Tableau_Lancer_la_requête_à_partir_de_Excel_Files10256[Avis Cofimac],"2-Favorable sous réserve",Tableau_Lancer_la_requête_à_partir_de_Excel_Files10256[''11''])</f>
        <v>0</v>
      </c>
    </row>
    <row r="42" spans="4:18" hidden="1" x14ac:dyDescent="0.25">
      <c r="D42" t="s">
        <v>25</v>
      </c>
      <c r="E42" s="3">
        <f t="shared" si="0"/>
        <v>0</v>
      </c>
      <c r="F42" s="3">
        <f t="shared" si="1"/>
        <v>0</v>
      </c>
      <c r="H42" s="3">
        <f>SUMIF(Tableau_Lancer_la_requête_à_partir_de_Excel_Files10256[Avis Prog],"1-Favorable",Tableau_Lancer_la_requête_à_partir_de_Excel_Files10256[''12''])</f>
        <v>0</v>
      </c>
      <c r="I42" s="3">
        <f>SUMIF(Tableau_Lancer_la_requête_à_partir_de_Excel_Files10256[Avis Prog],"2-Favorable sous réserve",Tableau_Lancer_la_requête_à_partir_de_Excel_Files10256[''12''])</f>
        <v>0</v>
      </c>
      <c r="M42" s="3">
        <f>SUMIF(Tableau_Lancer_la_requête_à_partir_de_Excel_Files10256[Avis Cofimac],"1-Favorable",Tableau_Lancer_la_requête_à_partir_de_Excel_Files10256[''12''])</f>
        <v>0</v>
      </c>
      <c r="R42" s="3">
        <f>SUMIF(Tableau_Lancer_la_requête_à_partir_de_Excel_Files10256[Avis Cofimac],"2-Favorable sous réserve",Tableau_Lancer_la_requête_à_partir_de_Excel_Files10256[''12''])</f>
        <v>0</v>
      </c>
    </row>
    <row r="43" spans="4:18" hidden="1" x14ac:dyDescent="0.25">
      <c r="D43" t="s">
        <v>26</v>
      </c>
      <c r="E43" s="3">
        <f t="shared" si="0"/>
        <v>0</v>
      </c>
      <c r="F43" s="3">
        <f t="shared" si="1"/>
        <v>0</v>
      </c>
      <c r="H43" s="3">
        <f>SUMIF(Tableau_Lancer_la_requête_à_partir_de_Excel_Files10256[Avis Prog],"1-Favorable",Tableau_Lancer_la_requête_à_partir_de_Excel_Files10256[''15''])</f>
        <v>0</v>
      </c>
      <c r="I43" s="3">
        <f>SUMIF(Tableau_Lancer_la_requête_à_partir_de_Excel_Files10256[Avis Prog],"2-Favorable sous réserve",Tableau_Lancer_la_requête_à_partir_de_Excel_Files10256[''15''])</f>
        <v>0</v>
      </c>
      <c r="M43" s="3">
        <f>SUMIF(Tableau_Lancer_la_requête_à_partir_de_Excel_Files10256[Avis Cofimac],"1-Favorable",Tableau_Lancer_la_requête_à_partir_de_Excel_Files10256[''15''])</f>
        <v>0</v>
      </c>
      <c r="R43" s="3">
        <f>SUMIF(Tableau_Lancer_la_requête_à_partir_de_Excel_Files10256[Avis Cofimac],"2-Favorable sous réserve",Tableau_Lancer_la_requête_à_partir_de_Excel_Files10256[''15''])</f>
        <v>0</v>
      </c>
    </row>
    <row r="44" spans="4:18" hidden="1" x14ac:dyDescent="0.25">
      <c r="D44" t="s">
        <v>27</v>
      </c>
      <c r="E44" s="3">
        <f t="shared" si="0"/>
        <v>0</v>
      </c>
      <c r="F44" s="3">
        <f t="shared" si="1"/>
        <v>0</v>
      </c>
      <c r="H44" s="3">
        <f>SUMIF(Tableau_Lancer_la_requête_à_partir_de_Excel_Files10256[Avis Prog],"1-Favorable",Tableau_Lancer_la_requête_à_partir_de_Excel_Files10256[''19''])</f>
        <v>0</v>
      </c>
      <c r="I44" s="3">
        <f>SUMIF(Tableau_Lancer_la_requête_à_partir_de_Excel_Files10256[Avis Prog],"2-Favorable sous réserve",Tableau_Lancer_la_requête_à_partir_de_Excel_Files10256[''19''])</f>
        <v>0</v>
      </c>
      <c r="M44" s="3">
        <f>SUMIF(Tableau_Lancer_la_requête_à_partir_de_Excel_Files10256[Avis Cofimac],"1-Favorable",Tableau_Lancer_la_requête_à_partir_de_Excel_Files10256[''19''])</f>
        <v>0</v>
      </c>
      <c r="R44" s="3">
        <f>SUMIF(Tableau_Lancer_la_requête_à_partir_de_Excel_Files10256[Avis Cofimac],"2-Favorable sous réserve",Tableau_Lancer_la_requête_à_partir_de_Excel_Files10256[''19''])</f>
        <v>0</v>
      </c>
    </row>
    <row r="45" spans="4:18" hidden="1" x14ac:dyDescent="0.25">
      <c r="D45" t="s">
        <v>28</v>
      </c>
      <c r="E45" s="3">
        <f t="shared" si="0"/>
        <v>0</v>
      </c>
      <c r="F45" s="3">
        <f t="shared" si="1"/>
        <v>0</v>
      </c>
      <c r="H45" s="3">
        <f>SUMIF(Tableau_Lancer_la_requête_à_partir_de_Excel_Files10256[Avis Prog],"1-Favorable",Tableau_Lancer_la_requête_à_partir_de_Excel_Files10256[''21''])</f>
        <v>0</v>
      </c>
      <c r="I45" s="3">
        <f>SUMIF(Tableau_Lancer_la_requête_à_partir_de_Excel_Files10256[Avis Prog],"2-Favorable sous réserve",Tableau_Lancer_la_requête_à_partir_de_Excel_Files10256[''21''])</f>
        <v>0</v>
      </c>
      <c r="M45" s="3">
        <f>SUMIF(Tableau_Lancer_la_requête_à_partir_de_Excel_Files10256[Avis Cofimac],"1-Favorable",Tableau_Lancer_la_requête_à_partir_de_Excel_Files10256[''21''])</f>
        <v>0</v>
      </c>
      <c r="R45" s="3">
        <f>SUMIF(Tableau_Lancer_la_requête_à_partir_de_Excel_Files10256[Avis Cofimac],"2-Favorable sous réserve",Tableau_Lancer_la_requête_à_partir_de_Excel_Files10256[''21''])</f>
        <v>0</v>
      </c>
    </row>
    <row r="46" spans="4:18" hidden="1" x14ac:dyDescent="0.25">
      <c r="D46" t="s">
        <v>29</v>
      </c>
      <c r="E46" s="3">
        <f t="shared" si="0"/>
        <v>0</v>
      </c>
      <c r="F46" s="3">
        <f t="shared" si="1"/>
        <v>0</v>
      </c>
      <c r="H46" s="3">
        <f>SUMIF(Tableau_Lancer_la_requête_à_partir_de_Excel_Files10256[Avis Prog],"1-Favorable",Tableau_Lancer_la_requête_à_partir_de_Excel_Files10256[''23''])</f>
        <v>0</v>
      </c>
      <c r="I46" s="3">
        <f>SUMIF(Tableau_Lancer_la_requête_à_partir_de_Excel_Files10256[Avis Prog],"2-Favorable sous réserve",Tableau_Lancer_la_requête_à_partir_de_Excel_Files10256[''23''])</f>
        <v>0</v>
      </c>
      <c r="M46" s="3">
        <f>SUMIF(Tableau_Lancer_la_requête_à_partir_de_Excel_Files10256[Avis Cofimac],"1-Favorable",Tableau_Lancer_la_requête_à_partir_de_Excel_Files10256[''23''])</f>
        <v>0</v>
      </c>
      <c r="R46" s="3">
        <f>SUMIF(Tableau_Lancer_la_requête_à_partir_de_Excel_Files10256[Avis Cofimac],"2-Favorable sous réserve",Tableau_Lancer_la_requête_à_partir_de_Excel_Files10256[''23''])</f>
        <v>0</v>
      </c>
    </row>
    <row r="47" spans="4:18" hidden="1" x14ac:dyDescent="0.25">
      <c r="D47" t="s">
        <v>30</v>
      </c>
      <c r="E47" s="3">
        <f t="shared" si="0"/>
        <v>0</v>
      </c>
      <c r="F47" s="3">
        <f t="shared" si="1"/>
        <v>0</v>
      </c>
      <c r="H47" s="3">
        <f>SUMIF(Tableau_Lancer_la_requête_à_partir_de_Excel_Files10256[Avis Prog],"1-Favorable",Tableau_Lancer_la_requête_à_partir_de_Excel_Files10256[''30''])</f>
        <v>0</v>
      </c>
      <c r="I47" s="3">
        <f>SUMIF(Tableau_Lancer_la_requête_à_partir_de_Excel_Files10256[Avis Prog],"2-Favorable sous réserve",Tableau_Lancer_la_requête_à_partir_de_Excel_Files10256[''30''])</f>
        <v>0</v>
      </c>
      <c r="M47" s="3">
        <f>SUMIF(Tableau_Lancer_la_requête_à_partir_de_Excel_Files10256[Avis Cofimac],"1-Favorable",Tableau_Lancer_la_requête_à_partir_de_Excel_Files10256[''30''])</f>
        <v>0</v>
      </c>
      <c r="R47" s="3">
        <f>SUMIF(Tableau_Lancer_la_requête_à_partir_de_Excel_Files10256[Avis Cofimac],"2-Favorable sous réserve",Tableau_Lancer_la_requête_à_partir_de_Excel_Files10256[''30''])</f>
        <v>0</v>
      </c>
    </row>
    <row r="48" spans="4:18" hidden="1" x14ac:dyDescent="0.25">
      <c r="D48" t="s">
        <v>31</v>
      </c>
      <c r="E48" s="3">
        <f t="shared" si="0"/>
        <v>0</v>
      </c>
      <c r="F48" s="3">
        <f t="shared" si="1"/>
        <v>0</v>
      </c>
      <c r="H48" s="3">
        <f>SUMIF(Tableau_Lancer_la_requête_à_partir_de_Excel_Files10256[Avis Prog],"1-Favorable",Tableau_Lancer_la_requête_à_partir_de_Excel_Files10256[''34''])</f>
        <v>0</v>
      </c>
      <c r="I48" s="3">
        <f>SUMIF(Tableau_Lancer_la_requête_à_partir_de_Excel_Files10256[Avis Prog],"2-Favorable sous réserve",Tableau_Lancer_la_requête_à_partir_de_Excel_Files10256[''34''])</f>
        <v>0</v>
      </c>
      <c r="M48" s="3">
        <f>SUMIF(Tableau_Lancer_la_requête_à_partir_de_Excel_Files10256[Avis Cofimac],"1-Favorable",Tableau_Lancer_la_requête_à_partir_de_Excel_Files10256[''34''])</f>
        <v>0</v>
      </c>
      <c r="R48" s="3">
        <f>SUMIF(Tableau_Lancer_la_requête_à_partir_de_Excel_Files10256[Avis Cofimac],"2-Favorable sous réserve",Tableau_Lancer_la_requête_à_partir_de_Excel_Files10256[''34''])</f>
        <v>0</v>
      </c>
    </row>
    <row r="49" spans="4:18" hidden="1" x14ac:dyDescent="0.25">
      <c r="D49" t="s">
        <v>32</v>
      </c>
      <c r="E49" s="3">
        <f t="shared" si="0"/>
        <v>0</v>
      </c>
      <c r="F49" s="3">
        <f t="shared" si="1"/>
        <v>0</v>
      </c>
      <c r="H49" s="3">
        <f>SUMIF(Tableau_Lancer_la_requête_à_partir_de_Excel_Files10256[Avis Prog],"1-Favorable",Tableau_Lancer_la_requête_à_partir_de_Excel_Files10256[''42''])</f>
        <v>0</v>
      </c>
      <c r="I49" s="3">
        <f>SUMIF(Tableau_Lancer_la_requête_à_partir_de_Excel_Files10256[Avis Prog],"2-Favorable sous réserve",Tableau_Lancer_la_requête_à_partir_de_Excel_Files10256[''42''])</f>
        <v>0</v>
      </c>
      <c r="M49" s="3">
        <f>SUMIF(Tableau_Lancer_la_requête_à_partir_de_Excel_Files10256[Avis Cofimac],"1-Favorable",Tableau_Lancer_la_requête_à_partir_de_Excel_Files10256[''42''])</f>
        <v>0</v>
      </c>
      <c r="R49" s="3">
        <f>SUMIF(Tableau_Lancer_la_requête_à_partir_de_Excel_Files10256[Avis Cofimac],"2-Favorable sous réserve",Tableau_Lancer_la_requête_à_partir_de_Excel_Files10256[''42''])</f>
        <v>0</v>
      </c>
    </row>
    <row r="50" spans="4:18" hidden="1" x14ac:dyDescent="0.25">
      <c r="D50" t="s">
        <v>33</v>
      </c>
      <c r="E50" s="3">
        <f t="shared" si="0"/>
        <v>0</v>
      </c>
      <c r="F50" s="3">
        <f t="shared" si="1"/>
        <v>0</v>
      </c>
      <c r="H50" s="3">
        <f>SUMIF(Tableau_Lancer_la_requête_à_partir_de_Excel_Files10256[Avis Prog],"1-Favorable",Tableau_Lancer_la_requête_à_partir_de_Excel_Files10256[''43''])</f>
        <v>0</v>
      </c>
      <c r="I50" s="3">
        <f>SUMIF(Tableau_Lancer_la_requête_à_partir_de_Excel_Files10256[Avis Prog],"2-Favorable sous réserve",Tableau_Lancer_la_requête_à_partir_de_Excel_Files10256[''43''])</f>
        <v>0</v>
      </c>
      <c r="M50" s="3">
        <f>SUMIF(Tableau_Lancer_la_requête_à_partir_de_Excel_Files10256[Avis Cofimac],"1-Favorable",Tableau_Lancer_la_requête_à_partir_de_Excel_Files10256[''43''])</f>
        <v>0</v>
      </c>
      <c r="R50" s="3">
        <f>SUMIF(Tableau_Lancer_la_requête_à_partir_de_Excel_Files10256[Avis Cofimac],"2-Favorable sous réserve",Tableau_Lancer_la_requête_à_partir_de_Excel_Files10256[''43''])</f>
        <v>0</v>
      </c>
    </row>
    <row r="51" spans="4:18" hidden="1" x14ac:dyDescent="0.25">
      <c r="D51" t="s">
        <v>34</v>
      </c>
      <c r="E51" s="3">
        <f t="shared" si="0"/>
        <v>0</v>
      </c>
      <c r="F51" s="3">
        <f t="shared" si="1"/>
        <v>0</v>
      </c>
      <c r="H51" s="3">
        <f>SUMIF(Tableau_Lancer_la_requête_à_partir_de_Excel_Files10256[Avis Prog],"1-Favorable",Tableau_Lancer_la_requête_à_partir_de_Excel_Files10256[''46''])</f>
        <v>0</v>
      </c>
      <c r="I51" s="3">
        <f>SUMIF(Tableau_Lancer_la_requête_à_partir_de_Excel_Files10256[Avis Prog],"2-Favorable sous réserve",Tableau_Lancer_la_requête_à_partir_de_Excel_Files10256[''46''])</f>
        <v>0</v>
      </c>
      <c r="M51" s="3">
        <f>SUMIF(Tableau_Lancer_la_requête_à_partir_de_Excel_Files10256[Avis Cofimac],"1-Favorable",Tableau_Lancer_la_requête_à_partir_de_Excel_Files10256[''46''])</f>
        <v>0</v>
      </c>
      <c r="R51" s="3">
        <f>SUMIF(Tableau_Lancer_la_requête_à_partir_de_Excel_Files10256[Avis Cofimac],"2-Favorable sous réserve",Tableau_Lancer_la_requête_à_partir_de_Excel_Files10256[''46''])</f>
        <v>0</v>
      </c>
    </row>
    <row r="52" spans="4:18" hidden="1" x14ac:dyDescent="0.25">
      <c r="D52" t="s">
        <v>35</v>
      </c>
      <c r="E52" s="3">
        <f t="shared" si="0"/>
        <v>0</v>
      </c>
      <c r="F52" s="3">
        <f t="shared" si="1"/>
        <v>0</v>
      </c>
      <c r="H52" s="3">
        <f>SUMIF(Tableau_Lancer_la_requête_à_partir_de_Excel_Files10256[Avis Prog],"1-Favorable",Tableau_Lancer_la_requête_à_partir_de_Excel_Files10256[''48''])</f>
        <v>0</v>
      </c>
      <c r="I52" s="3">
        <f>SUMIF(Tableau_Lancer_la_requête_à_partir_de_Excel_Files10256[Avis Prog],"2-Favorable sous réserve",Tableau_Lancer_la_requête_à_partir_de_Excel_Files10256[''48''])</f>
        <v>0</v>
      </c>
      <c r="M52" s="3">
        <f>SUMIF(Tableau_Lancer_la_requête_à_partir_de_Excel_Files10256[Avis Cofimac],"1-Favorable",Tableau_Lancer_la_requête_à_partir_de_Excel_Files10256[''48''])</f>
        <v>0</v>
      </c>
      <c r="R52" s="3">
        <f>SUMIF(Tableau_Lancer_la_requête_à_partir_de_Excel_Files10256[Avis Cofimac],"2-Favorable sous réserve",Tableau_Lancer_la_requête_à_partir_de_Excel_Files10256[''48''])</f>
        <v>0</v>
      </c>
    </row>
    <row r="53" spans="4:18" hidden="1" x14ac:dyDescent="0.25">
      <c r="D53" t="s">
        <v>36</v>
      </c>
      <c r="E53" s="3">
        <f t="shared" si="0"/>
        <v>0</v>
      </c>
      <c r="F53" s="3">
        <f t="shared" si="1"/>
        <v>0</v>
      </c>
      <c r="H53" s="3">
        <f>SUMIF(Tableau_Lancer_la_requête_à_partir_de_Excel_Files10256[Avis Prog],"1-Favorable",Tableau_Lancer_la_requête_à_partir_de_Excel_Files10256[''58''])</f>
        <v>0</v>
      </c>
      <c r="I53" s="3">
        <f>SUMIF(Tableau_Lancer_la_requête_à_partir_de_Excel_Files10256[Avis Prog],"2-Favorable sous réserve",Tableau_Lancer_la_requête_à_partir_de_Excel_Files10256[''58''])</f>
        <v>0</v>
      </c>
      <c r="M53" s="3">
        <f>SUMIF(Tableau_Lancer_la_requête_à_partir_de_Excel_Files10256[Avis Cofimac],"1-Favorable",Tableau_Lancer_la_requête_à_partir_de_Excel_Files10256[''58''])</f>
        <v>0</v>
      </c>
      <c r="R53" s="3">
        <f>SUMIF(Tableau_Lancer_la_requête_à_partir_de_Excel_Files10256[Avis Cofimac],"2-Favorable sous réserve",Tableau_Lancer_la_requête_à_partir_de_Excel_Files10256[''58''])</f>
        <v>0</v>
      </c>
    </row>
    <row r="54" spans="4:18" hidden="1" x14ac:dyDescent="0.25">
      <c r="D54" t="s">
        <v>37</v>
      </c>
      <c r="E54" s="3">
        <f t="shared" si="0"/>
        <v>0</v>
      </c>
      <c r="F54" s="3">
        <f t="shared" si="1"/>
        <v>0</v>
      </c>
      <c r="H54" s="3">
        <f>SUMIF(Tableau_Lancer_la_requête_à_partir_de_Excel_Files10256[Avis Prog],"1-Favorable",Tableau_Lancer_la_requête_à_partir_de_Excel_Files10256[''63''])</f>
        <v>0</v>
      </c>
      <c r="I54" s="3">
        <f>SUMIF(Tableau_Lancer_la_requête_à_partir_de_Excel_Files10256[Avis Prog],"2-Favorable sous réserve",Tableau_Lancer_la_requête_à_partir_de_Excel_Files10256[''63''])</f>
        <v>0</v>
      </c>
      <c r="M54" s="3">
        <f>SUMIF(Tableau_Lancer_la_requête_à_partir_de_Excel_Files10256[Avis Cofimac],"1-Favorable",Tableau_Lancer_la_requête_à_partir_de_Excel_Files10256[''63''])</f>
        <v>0</v>
      </c>
      <c r="R54" s="3">
        <f>SUMIF(Tableau_Lancer_la_requête_à_partir_de_Excel_Files10256[Avis Cofimac],"2-Favorable sous réserve",Tableau_Lancer_la_requête_à_partir_de_Excel_Files10256[''63''])</f>
        <v>0</v>
      </c>
    </row>
    <row r="55" spans="4:18" hidden="1" x14ac:dyDescent="0.25">
      <c r="D55" t="s">
        <v>38</v>
      </c>
      <c r="E55" s="3">
        <f t="shared" si="0"/>
        <v>0</v>
      </c>
      <c r="F55" s="3">
        <f t="shared" si="1"/>
        <v>0</v>
      </c>
      <c r="H55" s="3">
        <f>SUMIF(Tableau_Lancer_la_requête_à_partir_de_Excel_Files10256[Avis Prog],"1-Favorable",Tableau_Lancer_la_requête_à_partir_de_Excel_Files10256[''69''])</f>
        <v>0</v>
      </c>
      <c r="I55" s="3">
        <f>SUMIF(Tableau_Lancer_la_requête_à_partir_de_Excel_Files10256[Avis Prog],"2-Favorable sous réserve",Tableau_Lancer_la_requête_à_partir_de_Excel_Files10256[''69''])</f>
        <v>0</v>
      </c>
      <c r="M55" s="3">
        <f>SUMIF(Tableau_Lancer_la_requête_à_partir_de_Excel_Files10256[Avis Cofimac],"1-Favorable",Tableau_Lancer_la_requête_à_partir_de_Excel_Files10256[''69''])</f>
        <v>0</v>
      </c>
      <c r="R55" s="3">
        <f>SUMIF(Tableau_Lancer_la_requête_à_partir_de_Excel_Files10256[Avis Cofimac],"2-Favorable sous réserve",Tableau_Lancer_la_requête_à_partir_de_Excel_Files10256[''69''])</f>
        <v>0</v>
      </c>
    </row>
    <row r="56" spans="4:18" hidden="1" x14ac:dyDescent="0.25">
      <c r="D56" t="s">
        <v>39</v>
      </c>
      <c r="E56" s="3">
        <f t="shared" si="0"/>
        <v>0</v>
      </c>
      <c r="F56" s="3">
        <f t="shared" si="1"/>
        <v>0</v>
      </c>
      <c r="H56" s="3">
        <f>SUMIF(Tableau_Lancer_la_requête_à_partir_de_Excel_Files10256[Avis Prog],"1-Favorable",Tableau_Lancer_la_requête_à_partir_de_Excel_Files10256[''71''])</f>
        <v>0</v>
      </c>
      <c r="I56" s="3">
        <f>SUMIF(Tableau_Lancer_la_requête_à_partir_de_Excel_Files10256[Avis Prog],"2-Favorable sous réserve",Tableau_Lancer_la_requête_à_partir_de_Excel_Files10256[''71''])</f>
        <v>0</v>
      </c>
      <c r="M56" s="3">
        <f>SUMIF(Tableau_Lancer_la_requête_à_partir_de_Excel_Files10256[Avis Cofimac],"1-Favorable",Tableau_Lancer_la_requête_à_partir_de_Excel_Files10256[''71''])</f>
        <v>0</v>
      </c>
      <c r="R56" s="3">
        <f>SUMIF(Tableau_Lancer_la_requête_à_partir_de_Excel_Files10256[Avis Cofimac],"2-Favorable sous réserve",Tableau_Lancer_la_requête_à_partir_de_Excel_Files10256[''71''])</f>
        <v>0</v>
      </c>
    </row>
    <row r="57" spans="4:18" hidden="1" x14ac:dyDescent="0.25">
      <c r="D57" t="s">
        <v>40</v>
      </c>
      <c r="E57" s="3">
        <f t="shared" si="0"/>
        <v>0</v>
      </c>
      <c r="F57" s="3">
        <f t="shared" si="1"/>
        <v>0</v>
      </c>
      <c r="H57" s="3">
        <f>SUMIF(Tableau_Lancer_la_requête_à_partir_de_Excel_Files10256[Avis Prog],"1-Favorable",Tableau_Lancer_la_requête_à_partir_de_Excel_Files10256[''81''])</f>
        <v>0</v>
      </c>
      <c r="I57" s="3">
        <f>SUMIF(Tableau_Lancer_la_requête_à_partir_de_Excel_Files10256[Avis Prog],"2-Favorable sous réserve",Tableau_Lancer_la_requête_à_partir_de_Excel_Files10256[''81''])</f>
        <v>0</v>
      </c>
      <c r="M57" s="3">
        <f>SUMIF(Tableau_Lancer_la_requête_à_partir_de_Excel_Files10256[Avis Cofimac],"1-Favorable",Tableau_Lancer_la_requête_à_partir_de_Excel_Files10256[''81''])</f>
        <v>0</v>
      </c>
      <c r="R57" s="3">
        <f>SUMIF(Tableau_Lancer_la_requête_à_partir_de_Excel_Files10256[Avis Cofimac],"2-Favorable sous réserve",Tableau_Lancer_la_requête_à_partir_de_Excel_Files10256[''81''])</f>
        <v>0</v>
      </c>
    </row>
    <row r="58" spans="4:18" hidden="1" x14ac:dyDescent="0.25">
      <c r="D58" t="s">
        <v>41</v>
      </c>
      <c r="E58" s="3">
        <f t="shared" si="0"/>
        <v>0</v>
      </c>
      <c r="F58" s="3">
        <f t="shared" si="1"/>
        <v>0</v>
      </c>
      <c r="H58" s="3">
        <f>SUMIF(Tableau_Lancer_la_requête_à_partir_de_Excel_Files10256[Avis Prog],"1-Favorable",Tableau_Lancer_la_requête_à_partir_de_Excel_Files10256[''82''])</f>
        <v>0</v>
      </c>
      <c r="I58" s="3">
        <f>SUMIF(Tableau_Lancer_la_requête_à_partir_de_Excel_Files10256[Avis Prog],"2-Favorable sous réserve",Tableau_Lancer_la_requête_à_partir_de_Excel_Files10256[''82''])</f>
        <v>0</v>
      </c>
      <c r="M58" s="3">
        <f>SUMIF(Tableau_Lancer_la_requête_à_partir_de_Excel_Files10256[Avis Cofimac],"1-Favorable",Tableau_Lancer_la_requête_à_partir_de_Excel_Files10256[''82''])</f>
        <v>0</v>
      </c>
      <c r="R58" s="3">
        <f>SUMIF(Tableau_Lancer_la_requête_à_partir_de_Excel_Files10256[Avis Cofimac],"2-Favorable sous réserve",Tableau_Lancer_la_requête_à_partir_de_Excel_Files10256[''82''])</f>
        <v>0</v>
      </c>
    </row>
    <row r="59" spans="4:18" hidden="1" x14ac:dyDescent="0.25">
      <c r="D59" t="s">
        <v>42</v>
      </c>
      <c r="E59" s="3">
        <f t="shared" si="0"/>
        <v>0</v>
      </c>
      <c r="F59" s="3">
        <f t="shared" si="1"/>
        <v>0</v>
      </c>
      <c r="H59" s="3">
        <f>SUMIF(Tableau_Lancer_la_requête_à_partir_de_Excel_Files10256[Avis Prog],"1-Favorable",Tableau_Lancer_la_requête_à_partir_de_Excel_Files10256[''87''])</f>
        <v>0</v>
      </c>
      <c r="I59" s="3">
        <f>SUMIF(Tableau_Lancer_la_requête_à_partir_de_Excel_Files10256[Avis Prog],"2-Favorable sous réserve",Tableau_Lancer_la_requête_à_partir_de_Excel_Files10256[''87''])</f>
        <v>0</v>
      </c>
      <c r="M59" s="3">
        <f>SUMIF(Tableau_Lancer_la_requête_à_partir_de_Excel_Files10256[Avis Cofimac],"1-Favorable",Tableau_Lancer_la_requête_à_partir_de_Excel_Files10256[''87''])</f>
        <v>0</v>
      </c>
      <c r="R59" s="3">
        <f>SUMIF(Tableau_Lancer_la_requête_à_partir_de_Excel_Files10256[Avis Cofimac],"2-Favorable sous réserve",Tableau_Lancer_la_requête_à_partir_de_Excel_Files10256[''87''])</f>
        <v>0</v>
      </c>
    </row>
    <row r="60" spans="4:18" hidden="1" x14ac:dyDescent="0.25">
      <c r="D60" t="s">
        <v>43</v>
      </c>
      <c r="E60" s="3">
        <f>H60+I60</f>
        <v>0</v>
      </c>
      <c r="F60" s="3">
        <f t="shared" si="1"/>
        <v>0</v>
      </c>
      <c r="H60" s="3">
        <f>SUMIF(Tableau_Lancer_la_requête_à_partir_de_Excel_Files10256[Avis Prog],"1-Favorable",Tableau_Lancer_la_requête_à_partir_de_Excel_Files10256[''89''])</f>
        <v>0</v>
      </c>
      <c r="I60" s="3">
        <f>SUMIF(Tableau_Lancer_la_requête_à_partir_de_Excel_Files10256[Avis Prog],"2-Favorable sous réserve",Tableau_Lancer_la_requête_à_partir_de_Excel_Files10256[''89''])</f>
        <v>0</v>
      </c>
      <c r="M60" s="3">
        <f>SUMIF(Tableau_Lancer_la_requête_à_partir_de_Excel_Files10256[Avis Cofimac],"1-Favorable",Tableau_Lancer_la_requête_à_partir_de_Excel_Files10256[''89''])</f>
        <v>0</v>
      </c>
      <c r="R60" s="3">
        <f>SUMIF(Tableau_Lancer_la_requête_à_partir_de_Excel_Files10256[Avis Cofimac],"2-Favorable sous réserve",Tableau_Lancer_la_requête_à_partir_de_Excel_Files10256[''89''])</f>
        <v>0</v>
      </c>
    </row>
    <row r="61" spans="4:18" hidden="1" x14ac:dyDescent="0.25"/>
  </sheetData>
  <conditionalFormatting sqref="AT7 AT9:AT13">
    <cfRule type="cellIs" dxfId="758" priority="2" operator="equal">
      <formula>"6-Retiré/Abandon"</formula>
    </cfRule>
    <cfRule type="cellIs" dxfId="757" priority="3" operator="equal">
      <formula>"5-Défavorable"</formula>
    </cfRule>
    <cfRule type="cellIs" dxfId="756" priority="4" operator="equal">
      <formula>"4-Ajournement"</formula>
    </cfRule>
    <cfRule type="cellIs" dxfId="755" priority="5" operator="equal">
      <formula>"1-Favorable"</formula>
    </cfRule>
  </conditionalFormatting>
  <conditionalFormatting sqref="AP6:AP20 AR7:AR19">
    <cfRule type="cellIs" dxfId="754" priority="6" operator="equal">
      <formula>"6-Retiré/Abandon"</formula>
    </cfRule>
    <cfRule type="cellIs" dxfId="753" priority="7" operator="equal">
      <formula>"5-Défavorable"</formula>
    </cfRule>
    <cfRule type="cellIs" dxfId="752" priority="8" operator="equal">
      <formula>"4-Ajournement"</formula>
    </cfRule>
    <cfRule type="cellIs" dxfId="751" priority="9" operator="equal">
      <formula>"1-Favorable"</formula>
    </cfRule>
  </conditionalFormatting>
  <conditionalFormatting sqref="AP7:AP19 AR7:AR19">
    <cfRule type="cellIs" dxfId="750" priority="1" operator="equal">
      <formula>"2-Favorable sous réserve"</formula>
    </cfRule>
  </conditionalFormatting>
  <dataValidations count="1">
    <dataValidation type="list" allowBlank="1" showInputMessage="1" showErrorMessage="1" sqref="AR7:AR19">
      <formula1>"1-Favorable,2-Favorable sous réserve,4-Ajournement,5-Défavorable,6-Retiré/Abandon"</formula1>
    </dataValidation>
  </dataValidations>
  <printOptions horizontalCentered="1" verticalCentered="1"/>
  <pageMargins left="0.25" right="0.25" top="0.75" bottom="0.75" header="0.3" footer="0.3"/>
  <pageSetup paperSize="8" scale="58"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70"/>
  <sheetViews>
    <sheetView view="pageBreakPreview" topLeftCell="A4" zoomScale="70" zoomScaleNormal="60" zoomScaleSheetLayoutView="70" workbookViewId="0">
      <selection activeCell="K10" sqref="K10"/>
    </sheetView>
  </sheetViews>
  <sheetFormatPr baseColWidth="10" defaultRowHeight="15" outlineLevelCol="1" x14ac:dyDescent="0.25"/>
  <cols>
    <col min="1" max="1" width="17" style="91" customWidth="1"/>
    <col min="2" max="2" width="15.85546875" style="93" customWidth="1"/>
    <col min="3" max="3" width="37.140625" style="96" customWidth="1"/>
    <col min="4" max="4" width="54.42578125" style="91" customWidth="1"/>
    <col min="5" max="5" width="19.85546875" style="91" customWidth="1"/>
    <col min="6" max="6" width="19.7109375" style="92" bestFit="1" customWidth="1"/>
    <col min="7" max="7" width="13.5703125" style="91" customWidth="1"/>
    <col min="8" max="8" width="18.42578125" style="92" customWidth="1"/>
    <col min="9" max="9" width="14.5703125" style="91" customWidth="1"/>
    <col min="10" max="10" width="15" style="91" bestFit="1" customWidth="1"/>
    <col min="11" max="11" width="21.85546875" style="91" bestFit="1" customWidth="1"/>
    <col min="12" max="12" width="16.5703125" style="91" hidden="1" customWidth="1" outlineLevel="1"/>
    <col min="13" max="13" width="13.7109375" style="91" hidden="1" customWidth="1" outlineLevel="1"/>
    <col min="14" max="14" width="19.42578125" style="91" bestFit="1" customWidth="1" collapsed="1"/>
    <col min="15" max="15" width="18.28515625" style="91" hidden="1" customWidth="1" outlineLevel="1"/>
    <col min="16" max="16" width="18.42578125" style="91" hidden="1" customWidth="1" outlineLevel="1"/>
    <col min="17" max="17" width="11.7109375" style="91" hidden="1" customWidth="1" outlineLevel="1"/>
    <col min="18" max="18" width="16.140625" style="91" hidden="1" customWidth="1" outlineLevel="1"/>
    <col min="19" max="19" width="16.140625" style="91" bestFit="1" customWidth="1" collapsed="1"/>
    <col min="20" max="40" width="8.7109375" style="91" hidden="1" customWidth="1" outlineLevel="1"/>
    <col min="41" max="41" width="14.7109375" style="91" hidden="1" customWidth="1" outlineLevel="1"/>
    <col min="42" max="42" width="15.85546875" style="91" customWidth="1" collapsed="1"/>
    <col min="43" max="44" width="16.42578125" style="91" customWidth="1"/>
    <col min="45" max="45" width="11.5703125" style="91" customWidth="1"/>
    <col min="46" max="46" width="4.7109375" style="91" hidden="1" customWidth="1"/>
    <col min="47" max="47" width="70.42578125" style="93" customWidth="1"/>
    <col min="48" max="48" width="15.42578125" style="91" bestFit="1" customWidth="1"/>
    <col min="49" max="49" width="17.28515625" style="91" bestFit="1" customWidth="1"/>
    <col min="50" max="50" width="9.42578125" style="91" customWidth="1"/>
    <col min="51" max="65" width="9.7109375" style="91" customWidth="1"/>
    <col min="66" max="66" width="15.140625" style="91" customWidth="1"/>
    <col min="67" max="67" width="14.5703125" style="91" customWidth="1"/>
    <col min="68" max="68" width="18.5703125" style="91" customWidth="1"/>
    <col min="69" max="69" width="12.5703125" style="91" customWidth="1"/>
    <col min="70" max="70" width="20.42578125" style="91" customWidth="1"/>
    <col min="71" max="71" width="12.7109375" style="91" customWidth="1"/>
    <col min="72" max="72" width="9.28515625" style="91" customWidth="1"/>
    <col min="73" max="73" width="14.28515625" style="91" customWidth="1"/>
    <col min="74" max="74" width="11.42578125" style="91" customWidth="1"/>
    <col min="75" max="75" width="9" style="91" customWidth="1"/>
    <col min="76" max="76" width="9.5703125" style="91" customWidth="1"/>
    <col min="77" max="77" width="11" style="91" customWidth="1"/>
    <col min="78" max="78" width="12.7109375" style="91" customWidth="1"/>
    <col min="79" max="81" width="9.7109375" style="91" customWidth="1"/>
    <col min="82" max="82" width="15.140625" style="91" customWidth="1"/>
    <col min="83" max="83" width="17.28515625" style="91" customWidth="1"/>
    <col min="84" max="84" width="49.28515625" style="93" customWidth="1"/>
    <col min="85" max="85" width="17.28515625" style="91" customWidth="1"/>
    <col min="86" max="16384" width="11.42578125" style="91"/>
  </cols>
  <sheetData>
    <row r="1" spans="1:84" ht="18.75" x14ac:dyDescent="0.3">
      <c r="A1" s="128" t="s">
        <v>78</v>
      </c>
      <c r="B1" s="128"/>
      <c r="C1" s="90">
        <v>42663</v>
      </c>
    </row>
    <row r="5" spans="1:84" x14ac:dyDescent="0.25">
      <c r="A5" s="94" t="s">
        <v>241</v>
      </c>
      <c r="B5" s="95"/>
    </row>
    <row r="6" spans="1:84" s="106" customFormat="1" ht="30" x14ac:dyDescent="0.25">
      <c r="A6" s="106" t="s">
        <v>81</v>
      </c>
      <c r="B6" s="106" t="s">
        <v>7</v>
      </c>
      <c r="C6" s="106" t="s">
        <v>1</v>
      </c>
      <c r="D6" s="106" t="s">
        <v>2</v>
      </c>
      <c r="E6" s="106" t="s">
        <v>52</v>
      </c>
      <c r="F6" s="106" t="s">
        <v>55</v>
      </c>
      <c r="G6" s="106" t="s">
        <v>53</v>
      </c>
      <c r="H6" s="106" t="s">
        <v>50</v>
      </c>
      <c r="I6" s="106" t="s">
        <v>56</v>
      </c>
      <c r="J6" s="106" t="s">
        <v>44</v>
      </c>
      <c r="K6" s="106" t="s">
        <v>66</v>
      </c>
      <c r="L6" s="106" t="s">
        <v>70</v>
      </c>
      <c r="M6" s="106" t="s">
        <v>17</v>
      </c>
      <c r="N6" s="106" t="s">
        <v>67</v>
      </c>
      <c r="O6" s="106" t="s">
        <v>20</v>
      </c>
      <c r="P6" s="106" t="s">
        <v>18</v>
      </c>
      <c r="Q6" s="106" t="s">
        <v>19</v>
      </c>
      <c r="R6" s="106" t="s">
        <v>21</v>
      </c>
      <c r="S6" s="106" t="s">
        <v>68</v>
      </c>
      <c r="T6" s="106" t="s">
        <v>22</v>
      </c>
      <c r="U6" s="106" t="s">
        <v>23</v>
      </c>
      <c r="V6" s="106" t="s">
        <v>24</v>
      </c>
      <c r="W6" s="106" t="s">
        <v>25</v>
      </c>
      <c r="X6" s="106" t="s">
        <v>26</v>
      </c>
      <c r="Y6" s="106" t="s">
        <v>27</v>
      </c>
      <c r="Z6" s="106" t="s">
        <v>28</v>
      </c>
      <c r="AA6" s="106" t="s">
        <v>29</v>
      </c>
      <c r="AB6" s="106" t="s">
        <v>30</v>
      </c>
      <c r="AC6" s="106" t="s">
        <v>31</v>
      </c>
      <c r="AD6" s="106" t="s">
        <v>32</v>
      </c>
      <c r="AE6" s="106" t="s">
        <v>33</v>
      </c>
      <c r="AF6" s="106" t="s">
        <v>34</v>
      </c>
      <c r="AG6" s="106" t="s">
        <v>35</v>
      </c>
      <c r="AH6" s="106" t="s">
        <v>36</v>
      </c>
      <c r="AI6" s="106" t="s">
        <v>37</v>
      </c>
      <c r="AJ6" s="106" t="s">
        <v>38</v>
      </c>
      <c r="AK6" s="106" t="s">
        <v>39</v>
      </c>
      <c r="AL6" s="106" t="s">
        <v>40</v>
      </c>
      <c r="AM6" s="106" t="s">
        <v>41</v>
      </c>
      <c r="AN6" s="106" t="s">
        <v>42</v>
      </c>
      <c r="AO6" s="106" t="s">
        <v>43</v>
      </c>
      <c r="AP6" s="106" t="s">
        <v>45</v>
      </c>
      <c r="AQ6" s="106" t="s">
        <v>49</v>
      </c>
      <c r="AR6" s="106" t="s">
        <v>249</v>
      </c>
      <c r="AS6" s="106" t="s">
        <v>57</v>
      </c>
      <c r="AU6" s="31" t="s">
        <v>65</v>
      </c>
    </row>
    <row r="7" spans="1:84" s="101" customFormat="1" ht="30" x14ac:dyDescent="0.25">
      <c r="A7" s="98" t="s">
        <v>471</v>
      </c>
      <c r="B7" s="92" t="s">
        <v>400</v>
      </c>
      <c r="C7" s="96" t="s">
        <v>129</v>
      </c>
      <c r="D7" s="96" t="s">
        <v>130</v>
      </c>
      <c r="E7" s="99">
        <v>148064.93</v>
      </c>
      <c r="F7" s="99">
        <f>Tableau_Lancer_la_requête_à_partir_de_Excel_Files102567[[#This Row],[Aide Massif]]+Tableau_Lancer_la_requête_à_partir_de_Excel_Files102567[[#This Row],[''Autre Public'']]</f>
        <v>102265.05</v>
      </c>
      <c r="G7" s="100">
        <f>Tableau_Lancer_la_requête_à_partir_de_Excel_Files102567[[#This Row],[Aide 
publique]]/Tableau_Lancer_la_requête_à_partir_de_Excel_Files102567[[#This Row],[''Coût total éligible'']]</f>
        <v>0.69067705634278154</v>
      </c>
      <c r="H7"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102265.05</v>
      </c>
      <c r="I7" s="100">
        <f>Tableau_Lancer_la_requête_à_partir_de_Excel_Files102567[[#This Row],[Aide Massif]]/Tableau_Lancer_la_requête_à_partir_de_Excel_Files102567[[#This Row],[''Coût total éligible'']]</f>
        <v>0.69067705634278154</v>
      </c>
      <c r="J7" s="99">
        <v>72995.47</v>
      </c>
      <c r="K7" s="99">
        <f>Tableau_Lancer_la_requête_à_partir_de_Excel_Files102567[[#This Row],[''FNADT '']]+Tableau_Lancer_la_requête_à_partir_de_Excel_Files102567[[#This Row],[''Agriculture'']]</f>
        <v>0</v>
      </c>
      <c r="L7" s="99"/>
      <c r="M7" s="99"/>
      <c r="N7"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29269.58</v>
      </c>
      <c r="O7" s="99"/>
      <c r="P7" s="99">
        <v>29269.58</v>
      </c>
      <c r="Q7" s="99"/>
      <c r="R7" s="99"/>
      <c r="S7"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7" s="99">
        <v>0</v>
      </c>
      <c r="U7" s="99"/>
      <c r="V7" s="99"/>
      <c r="W7" s="99"/>
      <c r="X7" s="99"/>
      <c r="Y7" s="99"/>
      <c r="Z7" s="99"/>
      <c r="AA7" s="99"/>
      <c r="AB7" s="99"/>
      <c r="AC7" s="99"/>
      <c r="AD7" s="99">
        <v>0</v>
      </c>
      <c r="AE7" s="99"/>
      <c r="AF7" s="99"/>
      <c r="AG7" s="99"/>
      <c r="AH7" s="99"/>
      <c r="AI7" s="99"/>
      <c r="AJ7" s="99"/>
      <c r="AK7" s="99"/>
      <c r="AL7" s="99"/>
      <c r="AM7" s="99"/>
      <c r="AN7" s="99"/>
      <c r="AO7" s="99"/>
      <c r="AP7" s="99">
        <v>0</v>
      </c>
      <c r="AQ7" s="101" t="s">
        <v>337</v>
      </c>
      <c r="AR7" s="102">
        <v>42461</v>
      </c>
      <c r="AS7" s="101" t="s">
        <v>337</v>
      </c>
      <c r="AU7" s="103"/>
    </row>
    <row r="8" spans="1:84" s="101" customFormat="1" ht="30" x14ac:dyDescent="0.25">
      <c r="A8" s="98" t="s">
        <v>471</v>
      </c>
      <c r="B8" s="92" t="s">
        <v>401</v>
      </c>
      <c r="C8" s="96" t="s">
        <v>131</v>
      </c>
      <c r="D8" s="96" t="s">
        <v>132</v>
      </c>
      <c r="E8" s="99">
        <v>143042.89000000001</v>
      </c>
      <c r="F8" s="99">
        <f>Tableau_Lancer_la_requête_à_partir_de_Excel_Files102567[[#This Row],[Aide Massif]]+Tableau_Lancer_la_requête_à_partir_de_Excel_Files102567[[#This Row],[''Autre Public'']]</f>
        <v>127109.45</v>
      </c>
      <c r="G8" s="100">
        <f>Tableau_Lancer_la_requête_à_partir_de_Excel_Files102567[[#This Row],[Aide 
publique]]/Tableau_Lancer_la_requête_à_partir_de_Excel_Files102567[[#This Row],[''Coût total éligible'']]</f>
        <v>0.88861075164239189</v>
      </c>
      <c r="H8"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62762</v>
      </c>
      <c r="I8" s="100">
        <f>Tableau_Lancer_la_requête_à_partir_de_Excel_Files102567[[#This Row],[Aide Massif]]/Tableau_Lancer_la_requête_à_partir_de_Excel_Files102567[[#This Row],[''Coût total éligible'']]</f>
        <v>0.43876350652590979</v>
      </c>
      <c r="J8" s="99">
        <v>62762</v>
      </c>
      <c r="K8" s="99">
        <f>Tableau_Lancer_la_requête_à_partir_de_Excel_Files102567[[#This Row],[''FNADT '']]+Tableau_Lancer_la_requête_à_partir_de_Excel_Files102567[[#This Row],[''Agriculture'']]</f>
        <v>0</v>
      </c>
      <c r="L8" s="99"/>
      <c r="M8" s="99"/>
      <c r="N8"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8" s="99"/>
      <c r="P8" s="99"/>
      <c r="Q8" s="99"/>
      <c r="R8" s="99"/>
      <c r="S8"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8" s="99"/>
      <c r="U8" s="99"/>
      <c r="V8" s="99"/>
      <c r="W8" s="99"/>
      <c r="X8" s="99"/>
      <c r="Y8" s="99"/>
      <c r="Z8" s="99"/>
      <c r="AA8" s="99"/>
      <c r="AB8" s="99"/>
      <c r="AC8" s="99"/>
      <c r="AD8" s="99"/>
      <c r="AE8" s="99"/>
      <c r="AF8" s="99"/>
      <c r="AG8" s="99"/>
      <c r="AH8" s="99"/>
      <c r="AI8" s="99"/>
      <c r="AJ8" s="99"/>
      <c r="AK8" s="99"/>
      <c r="AL8" s="99"/>
      <c r="AM8" s="99"/>
      <c r="AN8" s="99"/>
      <c r="AO8" s="99"/>
      <c r="AP8" s="99">
        <v>64347.45</v>
      </c>
      <c r="AQ8" s="101" t="s">
        <v>402</v>
      </c>
      <c r="AR8" s="102">
        <v>42644</v>
      </c>
      <c r="AS8" s="101" t="s">
        <v>402</v>
      </c>
      <c r="AU8" s="104" t="s">
        <v>252</v>
      </c>
    </row>
    <row r="9" spans="1:84" s="101" customFormat="1" x14ac:dyDescent="0.25">
      <c r="A9" s="98" t="s">
        <v>470</v>
      </c>
      <c r="B9" s="92" t="s">
        <v>397</v>
      </c>
      <c r="C9" s="96" t="s">
        <v>242</v>
      </c>
      <c r="D9" s="96" t="s">
        <v>243</v>
      </c>
      <c r="E9" s="99">
        <v>81964.184550000005</v>
      </c>
      <c r="F9" s="99">
        <f>Tableau_Lancer_la_requête_à_partir_de_Excel_Files102567[[#This Row],[Aide Massif]]+Tableau_Lancer_la_requête_à_partir_de_Excel_Files102567[[#This Row],[''Autre Public'']]</f>
        <v>57374</v>
      </c>
      <c r="G9" s="100">
        <f>Tableau_Lancer_la_requête_à_partir_de_Excel_Files102567[[#This Row],[Aide 
publique]]/Tableau_Lancer_la_requête_à_partir_de_Excel_Files102567[[#This Row],[''Coût total éligible'']]</f>
        <v>0.69998866352413425</v>
      </c>
      <c r="H9"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57374</v>
      </c>
      <c r="I9" s="100">
        <f>Tableau_Lancer_la_requête_à_partir_de_Excel_Files102567[[#This Row],[Aide Massif]]/Tableau_Lancer_la_requête_à_partir_de_Excel_Files102567[[#This Row],[''Coût total éligible'']]</f>
        <v>0.69998866352413425</v>
      </c>
      <c r="J9" s="99">
        <v>0</v>
      </c>
      <c r="K9" s="99">
        <v>50702</v>
      </c>
      <c r="L9" s="99"/>
      <c r="M9" s="99"/>
      <c r="N9"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6672</v>
      </c>
      <c r="O9" s="99">
        <v>6672</v>
      </c>
      <c r="P9" s="99"/>
      <c r="Q9" s="99"/>
      <c r="R9" s="99"/>
      <c r="S9"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9" s="99"/>
      <c r="U9" s="99"/>
      <c r="V9" s="99"/>
      <c r="W9" s="99"/>
      <c r="X9" s="99"/>
      <c r="Y9" s="99"/>
      <c r="Z9" s="99"/>
      <c r="AA9" s="99"/>
      <c r="AB9" s="99"/>
      <c r="AC9" s="99"/>
      <c r="AD9" s="99"/>
      <c r="AE9" s="99"/>
      <c r="AF9" s="99"/>
      <c r="AG9" s="99"/>
      <c r="AH9" s="99"/>
      <c r="AI9" s="99"/>
      <c r="AJ9" s="99"/>
      <c r="AK9" s="99"/>
      <c r="AL9" s="99"/>
      <c r="AM9" s="99"/>
      <c r="AN9" s="99"/>
      <c r="AO9" s="99"/>
      <c r="AP9" s="99">
        <v>0</v>
      </c>
      <c r="AQ9" s="101" t="s">
        <v>339</v>
      </c>
      <c r="AR9" s="102"/>
      <c r="AS9" s="101" t="s">
        <v>337</v>
      </c>
      <c r="AU9" s="103"/>
    </row>
    <row r="10" spans="1:84" s="101" customFormat="1" ht="45" x14ac:dyDescent="0.25">
      <c r="A10" s="98" t="s">
        <v>80</v>
      </c>
      <c r="B10" s="92" t="s">
        <v>385</v>
      </c>
      <c r="C10" s="96" t="s">
        <v>115</v>
      </c>
      <c r="D10" s="96" t="s">
        <v>116</v>
      </c>
      <c r="E10" s="99">
        <v>67000.460000000006</v>
      </c>
      <c r="F10" s="99">
        <f>Tableau_Lancer_la_requête_à_partir_de_Excel_Files102567[[#This Row],[Aide Massif]]+Tableau_Lancer_la_requête_à_partir_de_Excel_Files102567[[#This Row],[''Autre Public'']]</f>
        <v>46900</v>
      </c>
      <c r="G10" s="100">
        <f>Tableau_Lancer_la_requête_à_partir_de_Excel_Files102567[[#This Row],[Aide 
publique]]/Tableau_Lancer_la_requête_à_partir_de_Excel_Files102567[[#This Row],[''Coût total éligible'']]</f>
        <v>0.69999519406284672</v>
      </c>
      <c r="H10"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46900</v>
      </c>
      <c r="I10" s="100">
        <f>Tableau_Lancer_la_requête_à_partir_de_Excel_Files102567[[#This Row],[Aide Massif]]/Tableau_Lancer_la_requête_à_partir_de_Excel_Files102567[[#This Row],[''Coût total éligible'']]</f>
        <v>0.69999519406284672</v>
      </c>
      <c r="J10" s="99">
        <v>0</v>
      </c>
      <c r="K10" s="99">
        <f>Tableau_Lancer_la_requête_à_partir_de_Excel_Files102567[[#This Row],[''FNADT '']]+Tableau_Lancer_la_requête_à_partir_de_Excel_Files102567[[#This Row],[''Agriculture'']]</f>
        <v>18550</v>
      </c>
      <c r="L10" s="99">
        <v>18550</v>
      </c>
      <c r="M10" s="99"/>
      <c r="N10"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28350</v>
      </c>
      <c r="O10" s="99">
        <v>28350</v>
      </c>
      <c r="P10" s="99"/>
      <c r="Q10" s="99"/>
      <c r="R10" s="99"/>
      <c r="S10"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0" s="99"/>
      <c r="U10" s="99"/>
      <c r="V10" s="99"/>
      <c r="W10" s="99"/>
      <c r="X10" s="99"/>
      <c r="Y10" s="99"/>
      <c r="Z10" s="99"/>
      <c r="AA10" s="99"/>
      <c r="AB10" s="99"/>
      <c r="AC10" s="99"/>
      <c r="AD10" s="99"/>
      <c r="AE10" s="99"/>
      <c r="AF10" s="99"/>
      <c r="AG10" s="99"/>
      <c r="AH10" s="99"/>
      <c r="AI10" s="99"/>
      <c r="AJ10" s="99"/>
      <c r="AK10" s="99"/>
      <c r="AL10" s="99"/>
      <c r="AM10" s="99"/>
      <c r="AN10" s="99"/>
      <c r="AO10" s="99"/>
      <c r="AP10" s="99">
        <v>0</v>
      </c>
      <c r="AQ10" s="101" t="s">
        <v>339</v>
      </c>
      <c r="AR10" s="102"/>
      <c r="AS10" s="101" t="s">
        <v>337</v>
      </c>
      <c r="AU10" s="104" t="s">
        <v>485</v>
      </c>
    </row>
    <row r="11" spans="1:84" s="101" customFormat="1" ht="45" x14ac:dyDescent="0.25">
      <c r="A11" s="98" t="s">
        <v>80</v>
      </c>
      <c r="B11" s="92" t="s">
        <v>386</v>
      </c>
      <c r="C11" s="96" t="s">
        <v>117</v>
      </c>
      <c r="D11" s="96" t="s">
        <v>116</v>
      </c>
      <c r="E11" s="99">
        <v>9009.41</v>
      </c>
      <c r="F11" s="99">
        <f>Tableau_Lancer_la_requête_à_partir_de_Excel_Files102567[[#This Row],[Aide Massif]]+Tableau_Lancer_la_requête_à_partir_de_Excel_Files102567[[#This Row],[''Autre Public'']]</f>
        <v>6300</v>
      </c>
      <c r="G11" s="100">
        <f>Tableau_Lancer_la_requête_à_partir_de_Excel_Files102567[[#This Row],[Aide 
publique]]/Tableau_Lancer_la_requête_à_partir_de_Excel_Files102567[[#This Row],[''Coût total éligible'']]</f>
        <v>0.69926887554234962</v>
      </c>
      <c r="H11"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6300</v>
      </c>
      <c r="I11" s="100">
        <f>Tableau_Lancer_la_requête_à_partir_de_Excel_Files102567[[#This Row],[Aide Massif]]/Tableau_Lancer_la_requête_à_partir_de_Excel_Files102567[[#This Row],[''Coût total éligible'']]</f>
        <v>0.69926887554234962</v>
      </c>
      <c r="J11" s="99">
        <v>0</v>
      </c>
      <c r="K11" s="99">
        <f>Tableau_Lancer_la_requête_à_partir_de_Excel_Files102567[[#This Row],[''FNADT '']]+Tableau_Lancer_la_requête_à_partir_de_Excel_Files102567[[#This Row],[''Agriculture'']]</f>
        <v>6300</v>
      </c>
      <c r="L11" s="99">
        <v>6300</v>
      </c>
      <c r="M11" s="99"/>
      <c r="N11"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1" s="99"/>
      <c r="P11" s="99"/>
      <c r="Q11" s="99"/>
      <c r="R11" s="99"/>
      <c r="S11"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1" s="99"/>
      <c r="U11" s="99"/>
      <c r="V11" s="99"/>
      <c r="W11" s="99"/>
      <c r="X11" s="99"/>
      <c r="Y11" s="99"/>
      <c r="Z11" s="99"/>
      <c r="AA11" s="99"/>
      <c r="AB11" s="99"/>
      <c r="AC11" s="99"/>
      <c r="AD11" s="99"/>
      <c r="AE11" s="99"/>
      <c r="AF11" s="99"/>
      <c r="AG11" s="99"/>
      <c r="AH11" s="99"/>
      <c r="AI11" s="99"/>
      <c r="AJ11" s="99"/>
      <c r="AK11" s="99"/>
      <c r="AL11" s="99"/>
      <c r="AM11" s="99"/>
      <c r="AN11" s="99"/>
      <c r="AO11" s="99"/>
      <c r="AP11" s="99">
        <v>0</v>
      </c>
      <c r="AQ11" s="101" t="s">
        <v>339</v>
      </c>
      <c r="AR11" s="102"/>
      <c r="AS11" s="101" t="s">
        <v>337</v>
      </c>
      <c r="AU11" s="103"/>
    </row>
    <row r="12" spans="1:84" ht="45" x14ac:dyDescent="0.25">
      <c r="A12" s="98" t="s">
        <v>80</v>
      </c>
      <c r="B12" s="92" t="s">
        <v>387</v>
      </c>
      <c r="C12" s="96" t="s">
        <v>118</v>
      </c>
      <c r="D12" s="96" t="s">
        <v>116</v>
      </c>
      <c r="E12" s="99">
        <v>11096.19</v>
      </c>
      <c r="F12" s="99">
        <f>Tableau_Lancer_la_requête_à_partir_de_Excel_Files102567[[#This Row],[Aide Massif]]+Tableau_Lancer_la_requête_à_partir_de_Excel_Files102567[[#This Row],[''Autre Public'']]</f>
        <v>7700</v>
      </c>
      <c r="G12" s="100">
        <f>Tableau_Lancer_la_requête_à_partir_de_Excel_Files102567[[#This Row],[Aide 
publique]]/Tableau_Lancer_la_requête_à_partir_de_Excel_Files102567[[#This Row],[''Coût total éligible'']]</f>
        <v>0.69393188112316029</v>
      </c>
      <c r="H12"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7700</v>
      </c>
      <c r="I12" s="100">
        <f>Tableau_Lancer_la_requête_à_partir_de_Excel_Files102567[[#This Row],[Aide Massif]]/Tableau_Lancer_la_requête_à_partir_de_Excel_Files102567[[#This Row],[''Coût total éligible'']]</f>
        <v>0.69393188112316029</v>
      </c>
      <c r="J12" s="99">
        <v>0</v>
      </c>
      <c r="K12" s="99">
        <f>Tableau_Lancer_la_requête_à_partir_de_Excel_Files102567[[#This Row],[''FNADT '']]+Tableau_Lancer_la_requête_à_partir_de_Excel_Files102567[[#This Row],[''Agriculture'']]</f>
        <v>7700</v>
      </c>
      <c r="L12" s="99">
        <v>7700</v>
      </c>
      <c r="M12" s="99"/>
      <c r="N12"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2" s="99"/>
      <c r="P12" s="99"/>
      <c r="Q12" s="99"/>
      <c r="R12" s="99"/>
      <c r="S12"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2" s="99"/>
      <c r="U12" s="99"/>
      <c r="V12" s="99"/>
      <c r="W12" s="99"/>
      <c r="X12" s="99"/>
      <c r="Y12" s="99"/>
      <c r="Z12" s="99"/>
      <c r="AA12" s="99"/>
      <c r="AB12" s="99"/>
      <c r="AC12" s="99"/>
      <c r="AD12" s="99"/>
      <c r="AE12" s="99"/>
      <c r="AF12" s="99"/>
      <c r="AG12" s="99"/>
      <c r="AH12" s="99"/>
      <c r="AI12" s="99"/>
      <c r="AJ12" s="99"/>
      <c r="AK12" s="99"/>
      <c r="AL12" s="99"/>
      <c r="AM12" s="99"/>
      <c r="AN12" s="99"/>
      <c r="AO12" s="99"/>
      <c r="AP12" s="99">
        <v>0</v>
      </c>
      <c r="AQ12" s="101" t="s">
        <v>339</v>
      </c>
      <c r="AR12" s="102"/>
      <c r="AS12" s="101" t="s">
        <v>337</v>
      </c>
      <c r="AU12" s="104"/>
      <c r="CA12" s="93"/>
      <c r="CF12" s="91"/>
    </row>
    <row r="13" spans="1:84" ht="45" x14ac:dyDescent="0.25">
      <c r="A13" s="98" t="s">
        <v>80</v>
      </c>
      <c r="B13" s="92" t="s">
        <v>388</v>
      </c>
      <c r="C13" s="96" t="s">
        <v>119</v>
      </c>
      <c r="D13" s="96" t="s">
        <v>116</v>
      </c>
      <c r="E13" s="99">
        <v>5515.12</v>
      </c>
      <c r="F13" s="99">
        <f>Tableau_Lancer_la_requête_à_partir_de_Excel_Files102567[[#This Row],[Aide Massif]]+Tableau_Lancer_la_requête_à_partir_de_Excel_Files102567[[#This Row],[''Autre Public'']]</f>
        <v>3850</v>
      </c>
      <c r="G13" s="100">
        <f>Tableau_Lancer_la_requête_à_partir_de_Excel_Files102567[[#This Row],[Aide 
publique]]/Tableau_Lancer_la_requête_à_partir_de_Excel_Files102567[[#This Row],[''Coût total éligible'']]</f>
        <v>0.69808091211070655</v>
      </c>
      <c r="H13"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3850</v>
      </c>
      <c r="I13" s="100">
        <f>Tableau_Lancer_la_requête_à_partir_de_Excel_Files102567[[#This Row],[Aide Massif]]/Tableau_Lancer_la_requête_à_partir_de_Excel_Files102567[[#This Row],[''Coût total éligible'']]</f>
        <v>0.69808091211070655</v>
      </c>
      <c r="J13" s="99">
        <v>0</v>
      </c>
      <c r="K13" s="99">
        <f>Tableau_Lancer_la_requête_à_partir_de_Excel_Files102567[[#This Row],[''FNADT '']]+Tableau_Lancer_la_requête_à_partir_de_Excel_Files102567[[#This Row],[''Agriculture'']]</f>
        <v>3850</v>
      </c>
      <c r="L13" s="99">
        <v>3850</v>
      </c>
      <c r="M13" s="99"/>
      <c r="N13"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3" s="99"/>
      <c r="P13" s="99"/>
      <c r="Q13" s="99"/>
      <c r="R13" s="99"/>
      <c r="S13"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3" s="99"/>
      <c r="U13" s="99"/>
      <c r="V13" s="99"/>
      <c r="W13" s="99"/>
      <c r="X13" s="99"/>
      <c r="Y13" s="99"/>
      <c r="Z13" s="99"/>
      <c r="AA13" s="99"/>
      <c r="AB13" s="99"/>
      <c r="AC13" s="99"/>
      <c r="AD13" s="99"/>
      <c r="AE13" s="99"/>
      <c r="AF13" s="99"/>
      <c r="AG13" s="99"/>
      <c r="AH13" s="99"/>
      <c r="AI13" s="99"/>
      <c r="AJ13" s="99"/>
      <c r="AK13" s="99"/>
      <c r="AL13" s="99"/>
      <c r="AM13" s="99"/>
      <c r="AN13" s="99"/>
      <c r="AO13" s="99"/>
      <c r="AP13" s="99">
        <v>0</v>
      </c>
      <c r="AQ13" s="101" t="s">
        <v>339</v>
      </c>
      <c r="AR13" s="102"/>
      <c r="AS13" s="101" t="s">
        <v>337</v>
      </c>
      <c r="AU13" s="103"/>
      <c r="CA13" s="93"/>
      <c r="CF13" s="91"/>
    </row>
    <row r="14" spans="1:84" ht="45" x14ac:dyDescent="0.25">
      <c r="A14" s="98" t="s">
        <v>80</v>
      </c>
      <c r="B14" s="92" t="s">
        <v>389</v>
      </c>
      <c r="C14" s="96" t="s">
        <v>120</v>
      </c>
      <c r="D14" s="96" t="s">
        <v>116</v>
      </c>
      <c r="E14" s="99">
        <v>5506.8</v>
      </c>
      <c r="F14" s="99">
        <f>Tableau_Lancer_la_requête_à_partir_de_Excel_Files102567[[#This Row],[Aide Massif]]+Tableau_Lancer_la_requête_à_partir_de_Excel_Files102567[[#This Row],[''Autre Public'']]</f>
        <v>3850</v>
      </c>
      <c r="G14" s="100">
        <f>Tableau_Lancer_la_requête_à_partir_de_Excel_Files102567[[#This Row],[Aide 
publique]]/Tableau_Lancer_la_requête_à_partir_de_Excel_Files102567[[#This Row],[''Coût total éligible'']]</f>
        <v>0.69913561414977843</v>
      </c>
      <c r="H14"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3850</v>
      </c>
      <c r="I14" s="100">
        <f>Tableau_Lancer_la_requête_à_partir_de_Excel_Files102567[[#This Row],[Aide Massif]]/Tableau_Lancer_la_requête_à_partir_de_Excel_Files102567[[#This Row],[''Coût total éligible'']]</f>
        <v>0.69913561414977843</v>
      </c>
      <c r="J14" s="99">
        <v>0</v>
      </c>
      <c r="K14" s="99">
        <f>Tableau_Lancer_la_requête_à_partir_de_Excel_Files102567[[#This Row],[''FNADT '']]+Tableau_Lancer_la_requête_à_partir_de_Excel_Files102567[[#This Row],[''Agriculture'']]</f>
        <v>3850</v>
      </c>
      <c r="L14" s="99">
        <v>3850</v>
      </c>
      <c r="M14" s="99"/>
      <c r="N14"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4" s="99"/>
      <c r="P14" s="99"/>
      <c r="Q14" s="99"/>
      <c r="R14" s="99"/>
      <c r="S14"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4" s="99"/>
      <c r="U14" s="99"/>
      <c r="V14" s="99"/>
      <c r="W14" s="99"/>
      <c r="X14" s="99"/>
      <c r="Y14" s="99"/>
      <c r="Z14" s="99"/>
      <c r="AA14" s="99"/>
      <c r="AB14" s="99"/>
      <c r="AC14" s="99"/>
      <c r="AD14" s="99"/>
      <c r="AE14" s="99"/>
      <c r="AF14" s="99"/>
      <c r="AG14" s="99"/>
      <c r="AH14" s="99"/>
      <c r="AI14" s="99"/>
      <c r="AJ14" s="99"/>
      <c r="AK14" s="99"/>
      <c r="AL14" s="99"/>
      <c r="AM14" s="99"/>
      <c r="AN14" s="99"/>
      <c r="AO14" s="99"/>
      <c r="AP14" s="99">
        <v>0</v>
      </c>
      <c r="AQ14" s="101" t="s">
        <v>339</v>
      </c>
      <c r="AR14" s="102"/>
      <c r="AS14" s="101" t="s">
        <v>337</v>
      </c>
      <c r="AU14" s="104"/>
      <c r="CA14" s="93"/>
      <c r="CF14" s="91"/>
    </row>
    <row r="15" spans="1:84" ht="45" x14ac:dyDescent="0.25">
      <c r="A15" s="98" t="s">
        <v>80</v>
      </c>
      <c r="B15" s="92" t="s">
        <v>390</v>
      </c>
      <c r="C15" s="96" t="s">
        <v>121</v>
      </c>
      <c r="D15" s="96" t="s">
        <v>116</v>
      </c>
      <c r="E15" s="99">
        <v>7023.77</v>
      </c>
      <c r="F15" s="99">
        <f>Tableau_Lancer_la_requête_à_partir_de_Excel_Files102567[[#This Row],[Aide Massif]]+Tableau_Lancer_la_requête_à_partir_de_Excel_Files102567[[#This Row],[''Autre Public'']]</f>
        <v>4900</v>
      </c>
      <c r="G15" s="100">
        <f>Tableau_Lancer_la_requête_à_partir_de_Excel_Files102567[[#This Row],[Aide 
publique]]/Tableau_Lancer_la_requête_à_partir_de_Excel_Files102567[[#This Row],[''Coût total éligible'']]</f>
        <v>0.69763104429672385</v>
      </c>
      <c r="H15"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4900</v>
      </c>
      <c r="I15" s="100">
        <f>Tableau_Lancer_la_requête_à_partir_de_Excel_Files102567[[#This Row],[Aide Massif]]/Tableau_Lancer_la_requête_à_partir_de_Excel_Files102567[[#This Row],[''Coût total éligible'']]</f>
        <v>0.69763104429672385</v>
      </c>
      <c r="J15" s="99">
        <v>0</v>
      </c>
      <c r="K15" s="99">
        <f>Tableau_Lancer_la_requête_à_partir_de_Excel_Files102567[[#This Row],[''FNADT '']]+Tableau_Lancer_la_requête_à_partir_de_Excel_Files102567[[#This Row],[''Agriculture'']]</f>
        <v>4900</v>
      </c>
      <c r="L15" s="99">
        <v>4900</v>
      </c>
      <c r="M15" s="99"/>
      <c r="N15"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5" s="99"/>
      <c r="P15" s="99"/>
      <c r="Q15" s="99"/>
      <c r="R15" s="99"/>
      <c r="S15"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5" s="99"/>
      <c r="U15" s="99"/>
      <c r="V15" s="99"/>
      <c r="W15" s="99"/>
      <c r="X15" s="99"/>
      <c r="Y15" s="99"/>
      <c r="Z15" s="99"/>
      <c r="AA15" s="99"/>
      <c r="AB15" s="99"/>
      <c r="AC15" s="99"/>
      <c r="AD15" s="99"/>
      <c r="AE15" s="99"/>
      <c r="AF15" s="99"/>
      <c r="AG15" s="99"/>
      <c r="AH15" s="99"/>
      <c r="AI15" s="99"/>
      <c r="AJ15" s="99"/>
      <c r="AK15" s="99"/>
      <c r="AL15" s="99"/>
      <c r="AM15" s="99"/>
      <c r="AN15" s="99"/>
      <c r="AO15" s="99"/>
      <c r="AP15" s="99">
        <v>0</v>
      </c>
      <c r="AQ15" s="101" t="s">
        <v>339</v>
      </c>
      <c r="AR15" s="102"/>
      <c r="AS15" s="101" t="s">
        <v>337</v>
      </c>
      <c r="AU15" s="103"/>
      <c r="CA15" s="93"/>
      <c r="CF15" s="91"/>
    </row>
    <row r="16" spans="1:84" ht="45" x14ac:dyDescent="0.25">
      <c r="A16" s="98" t="s">
        <v>80</v>
      </c>
      <c r="B16" s="92" t="s">
        <v>391</v>
      </c>
      <c r="C16" s="96" t="s">
        <v>122</v>
      </c>
      <c r="D16" s="96" t="s">
        <v>116</v>
      </c>
      <c r="E16" s="99">
        <v>41000.58</v>
      </c>
      <c r="F16" s="99">
        <f>Tableau_Lancer_la_requête_à_partir_de_Excel_Files102567[[#This Row],[Aide Massif]]+Tableau_Lancer_la_requête_à_partir_de_Excel_Files102567[[#This Row],[''Autre Public'']]</f>
        <v>32800.050000000003</v>
      </c>
      <c r="G16" s="100">
        <f>Tableau_Lancer_la_requête_à_partir_de_Excel_Files102567[[#This Row],[Aide 
publique]]/Tableau_Lancer_la_requête_à_partir_de_Excel_Files102567[[#This Row],[''Coût total éligible'']]</f>
        <v>0.79998990258186597</v>
      </c>
      <c r="H16"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28700</v>
      </c>
      <c r="I16" s="100">
        <f>Tableau_Lancer_la_requête_à_partir_de_Excel_Files102567[[#This Row],[Aide Massif]]/Tableau_Lancer_la_requête_à_partir_de_Excel_Files102567[[#This Row],[''Coût total éligible'']]</f>
        <v>0.69999009770105691</v>
      </c>
      <c r="J16" s="99">
        <v>0</v>
      </c>
      <c r="K16" s="99">
        <f>Tableau_Lancer_la_requête_à_partir_de_Excel_Files102567[[#This Row],[''FNADT '']]+Tableau_Lancer_la_requête_à_partir_de_Excel_Files102567[[#This Row],[''Agriculture'']]</f>
        <v>28700</v>
      </c>
      <c r="L16" s="99">
        <v>28700</v>
      </c>
      <c r="M16" s="99"/>
      <c r="N16"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6" s="99"/>
      <c r="P16" s="99"/>
      <c r="Q16" s="99"/>
      <c r="R16" s="99"/>
      <c r="S16"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6" s="99"/>
      <c r="U16" s="99"/>
      <c r="V16" s="99"/>
      <c r="W16" s="99"/>
      <c r="X16" s="99"/>
      <c r="Y16" s="99"/>
      <c r="Z16" s="99"/>
      <c r="AA16" s="99"/>
      <c r="AB16" s="99"/>
      <c r="AC16" s="99"/>
      <c r="AD16" s="99"/>
      <c r="AE16" s="99"/>
      <c r="AF16" s="99"/>
      <c r="AG16" s="99"/>
      <c r="AH16" s="99"/>
      <c r="AI16" s="99"/>
      <c r="AJ16" s="99"/>
      <c r="AK16" s="99"/>
      <c r="AL16" s="99"/>
      <c r="AM16" s="99"/>
      <c r="AN16" s="99"/>
      <c r="AO16" s="99"/>
      <c r="AP16" s="99">
        <v>4100.05</v>
      </c>
      <c r="AQ16" s="101" t="s">
        <v>339</v>
      </c>
      <c r="AR16" s="102"/>
      <c r="AS16" s="101" t="s">
        <v>337</v>
      </c>
      <c r="AU16" s="104"/>
      <c r="CA16" s="93"/>
      <c r="CF16" s="91"/>
    </row>
    <row r="17" spans="1:84" s="97" customFormat="1" ht="45" x14ac:dyDescent="0.25">
      <c r="A17" s="98" t="s">
        <v>80</v>
      </c>
      <c r="B17" s="92" t="s">
        <v>392</v>
      </c>
      <c r="C17" s="96" t="s">
        <v>123</v>
      </c>
      <c r="D17" s="96" t="s">
        <v>116</v>
      </c>
      <c r="E17" s="99">
        <v>5000.1499999999996</v>
      </c>
      <c r="F17" s="99">
        <f>Tableau_Lancer_la_requête_à_partir_de_Excel_Files102567[[#This Row],[Aide Massif]]+Tableau_Lancer_la_requête_à_partir_de_Excel_Files102567[[#This Row],[''Autre Public'']]</f>
        <v>3500</v>
      </c>
      <c r="G17" s="100">
        <f>Tableau_Lancer_la_requête_à_partir_de_Excel_Files102567[[#This Row],[Aide 
publique]]/Tableau_Lancer_la_requête_à_partir_de_Excel_Files102567[[#This Row],[''Coût total éligible'']]</f>
        <v>0.6999790006299812</v>
      </c>
      <c r="H17"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3500</v>
      </c>
      <c r="I17" s="100">
        <f>Tableau_Lancer_la_requête_à_partir_de_Excel_Files102567[[#This Row],[Aide Massif]]/Tableau_Lancer_la_requête_à_partir_de_Excel_Files102567[[#This Row],[''Coût total éligible'']]</f>
        <v>0.6999790006299812</v>
      </c>
      <c r="J17" s="99">
        <v>0</v>
      </c>
      <c r="K17" s="99">
        <f>Tableau_Lancer_la_requête_à_partir_de_Excel_Files102567[[#This Row],[''FNADT '']]+Tableau_Lancer_la_requête_à_partir_de_Excel_Files102567[[#This Row],[''Agriculture'']]</f>
        <v>3500</v>
      </c>
      <c r="L17" s="99">
        <v>3500</v>
      </c>
      <c r="M17" s="99"/>
      <c r="N17"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7" s="99"/>
      <c r="P17" s="99"/>
      <c r="Q17" s="99"/>
      <c r="R17" s="99"/>
      <c r="S17"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7" s="99"/>
      <c r="U17" s="99"/>
      <c r="V17" s="99"/>
      <c r="W17" s="99"/>
      <c r="X17" s="99"/>
      <c r="Y17" s="99"/>
      <c r="Z17" s="99"/>
      <c r="AA17" s="99"/>
      <c r="AB17" s="99"/>
      <c r="AC17" s="99"/>
      <c r="AD17" s="99"/>
      <c r="AE17" s="99"/>
      <c r="AF17" s="99"/>
      <c r="AG17" s="99"/>
      <c r="AH17" s="99"/>
      <c r="AI17" s="99"/>
      <c r="AJ17" s="99"/>
      <c r="AK17" s="99"/>
      <c r="AL17" s="99"/>
      <c r="AM17" s="99"/>
      <c r="AN17" s="99"/>
      <c r="AO17" s="99"/>
      <c r="AP17" s="99">
        <v>0</v>
      </c>
      <c r="AQ17" s="101" t="s">
        <v>339</v>
      </c>
      <c r="AR17" s="102"/>
      <c r="AS17" s="101" t="s">
        <v>337</v>
      </c>
      <c r="AU17" s="103"/>
    </row>
    <row r="18" spans="1:84" s="101" customFormat="1" ht="45" x14ac:dyDescent="0.25">
      <c r="A18" s="98" t="s">
        <v>80</v>
      </c>
      <c r="B18" s="92" t="s">
        <v>393</v>
      </c>
      <c r="C18" s="96" t="s">
        <v>124</v>
      </c>
      <c r="D18" s="96" t="s">
        <v>116</v>
      </c>
      <c r="E18" s="99">
        <v>5000.29</v>
      </c>
      <c r="F18" s="99">
        <f>Tableau_Lancer_la_requête_à_partir_de_Excel_Files102567[[#This Row],[Aide Massif]]+Tableau_Lancer_la_requête_à_partir_de_Excel_Files102567[[#This Row],[''Autre Public'']]</f>
        <v>3500</v>
      </c>
      <c r="G18" s="100">
        <f>Tableau_Lancer_la_requête_à_partir_de_Excel_Files102567[[#This Row],[Aide 
publique]]/Tableau_Lancer_la_requête_à_partir_de_Excel_Files102567[[#This Row],[''Coût total éligible'']]</f>
        <v>0.69995940235466347</v>
      </c>
      <c r="H18"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3500</v>
      </c>
      <c r="I18" s="100">
        <f>Tableau_Lancer_la_requête_à_partir_de_Excel_Files102567[[#This Row],[Aide Massif]]/Tableau_Lancer_la_requête_à_partir_de_Excel_Files102567[[#This Row],[''Coût total éligible'']]</f>
        <v>0.69995940235466347</v>
      </c>
      <c r="J18" s="99">
        <v>0</v>
      </c>
      <c r="K18" s="99">
        <f>Tableau_Lancer_la_requête_à_partir_de_Excel_Files102567[[#This Row],[''FNADT '']]+Tableau_Lancer_la_requête_à_partir_de_Excel_Files102567[[#This Row],[''Agriculture'']]</f>
        <v>3500</v>
      </c>
      <c r="L18" s="99">
        <v>3500</v>
      </c>
      <c r="M18" s="99"/>
      <c r="N18"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8" s="99"/>
      <c r="P18" s="99"/>
      <c r="Q18" s="99"/>
      <c r="R18" s="99"/>
      <c r="S18"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8" s="99"/>
      <c r="U18" s="99"/>
      <c r="V18" s="99"/>
      <c r="W18" s="99"/>
      <c r="X18" s="99"/>
      <c r="Y18" s="99"/>
      <c r="Z18" s="99"/>
      <c r="AA18" s="99"/>
      <c r="AB18" s="99"/>
      <c r="AC18" s="99"/>
      <c r="AD18" s="99"/>
      <c r="AE18" s="99"/>
      <c r="AF18" s="99"/>
      <c r="AG18" s="99"/>
      <c r="AH18" s="99"/>
      <c r="AI18" s="99"/>
      <c r="AJ18" s="99"/>
      <c r="AK18" s="99"/>
      <c r="AL18" s="99"/>
      <c r="AM18" s="99"/>
      <c r="AN18" s="99"/>
      <c r="AO18" s="99"/>
      <c r="AP18" s="99">
        <v>0</v>
      </c>
      <c r="AQ18" s="101" t="s">
        <v>339</v>
      </c>
      <c r="AR18" s="102"/>
      <c r="AS18" s="101" t="s">
        <v>337</v>
      </c>
      <c r="AU18" s="104"/>
    </row>
    <row r="19" spans="1:84" ht="45" x14ac:dyDescent="0.25">
      <c r="A19" s="98" t="s">
        <v>80</v>
      </c>
      <c r="B19" s="92" t="s">
        <v>394</v>
      </c>
      <c r="C19" s="96" t="s">
        <v>125</v>
      </c>
      <c r="D19" s="96" t="s">
        <v>116</v>
      </c>
      <c r="E19" s="99">
        <v>9000.2900000000009</v>
      </c>
      <c r="F19" s="99">
        <f>Tableau_Lancer_la_requête_à_partir_de_Excel_Files102567[[#This Row],[Aide Massif]]+Tableau_Lancer_la_requête_à_partir_de_Excel_Files102567[[#This Row],[''Autre Public'']]</f>
        <v>6300</v>
      </c>
      <c r="G19" s="100">
        <f>Tableau_Lancer_la_requête_à_partir_de_Excel_Files102567[[#This Row],[Aide 
publique]]/Tableau_Lancer_la_requête_à_partir_de_Excel_Files102567[[#This Row],[''Coût total éligible'']]</f>
        <v>0.69997744517121108</v>
      </c>
      <c r="H19"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6300</v>
      </c>
      <c r="I19" s="100">
        <f>Tableau_Lancer_la_requête_à_partir_de_Excel_Files102567[[#This Row],[Aide Massif]]/Tableau_Lancer_la_requête_à_partir_de_Excel_Files102567[[#This Row],[''Coût total éligible'']]</f>
        <v>0.69997744517121108</v>
      </c>
      <c r="J19" s="99">
        <v>0</v>
      </c>
      <c r="K19" s="99">
        <f>Tableau_Lancer_la_requête_à_partir_de_Excel_Files102567[[#This Row],[''FNADT '']]+Tableau_Lancer_la_requête_à_partir_de_Excel_Files102567[[#This Row],[''Agriculture'']]</f>
        <v>6300</v>
      </c>
      <c r="L19" s="99">
        <v>6300</v>
      </c>
      <c r="M19" s="99"/>
      <c r="N19"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9" s="99"/>
      <c r="P19" s="99"/>
      <c r="Q19" s="99"/>
      <c r="R19" s="99"/>
      <c r="S19"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9" s="99"/>
      <c r="U19" s="99"/>
      <c r="V19" s="99"/>
      <c r="W19" s="99"/>
      <c r="X19" s="99"/>
      <c r="Y19" s="99"/>
      <c r="Z19" s="99"/>
      <c r="AA19" s="99"/>
      <c r="AB19" s="99"/>
      <c r="AC19" s="99"/>
      <c r="AD19" s="99"/>
      <c r="AE19" s="99"/>
      <c r="AF19" s="99"/>
      <c r="AG19" s="99"/>
      <c r="AH19" s="99"/>
      <c r="AI19" s="99"/>
      <c r="AJ19" s="99"/>
      <c r="AK19" s="99"/>
      <c r="AL19" s="99"/>
      <c r="AM19" s="99"/>
      <c r="AN19" s="99"/>
      <c r="AO19" s="99"/>
      <c r="AP19" s="99">
        <v>0</v>
      </c>
      <c r="AQ19" s="101" t="s">
        <v>339</v>
      </c>
      <c r="AR19" s="102"/>
      <c r="AS19" s="101" t="s">
        <v>337</v>
      </c>
      <c r="AU19" s="103"/>
      <c r="CC19" s="93"/>
      <c r="CF19" s="91"/>
    </row>
    <row r="20" spans="1:84" ht="30" x14ac:dyDescent="0.25">
      <c r="A20" s="98" t="s">
        <v>80</v>
      </c>
      <c r="B20" s="92" t="s">
        <v>395</v>
      </c>
      <c r="C20" s="96" t="s">
        <v>126</v>
      </c>
      <c r="D20" s="96" t="s">
        <v>127</v>
      </c>
      <c r="E20" s="99">
        <v>12.74</v>
      </c>
      <c r="F20" s="99">
        <f>Tableau_Lancer_la_requête_à_partir_de_Excel_Files102567[[#This Row],[Aide Massif]]+Tableau_Lancer_la_requête_à_partir_de_Excel_Files102567[[#This Row],[''Autre Public'']]</f>
        <v>0</v>
      </c>
      <c r="G20" s="100">
        <f>Tableau_Lancer_la_requête_à_partir_de_Excel_Files102567[[#This Row],[Aide 
publique]]/Tableau_Lancer_la_requête_à_partir_de_Excel_Files102567[[#This Row],[''Coût total éligible'']]</f>
        <v>0</v>
      </c>
      <c r="H20"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0</v>
      </c>
      <c r="I20" s="100">
        <f>Tableau_Lancer_la_requête_à_partir_de_Excel_Files102567[[#This Row],[Aide Massif]]/Tableau_Lancer_la_requête_à_partir_de_Excel_Files102567[[#This Row],[''Coût total éligible'']]</f>
        <v>0</v>
      </c>
      <c r="J20" s="99">
        <v>0</v>
      </c>
      <c r="K20" s="99">
        <f>Tableau_Lancer_la_requête_à_partir_de_Excel_Files102567[[#This Row],[''FNADT '']]+Tableau_Lancer_la_requête_à_partir_de_Excel_Files102567[[#This Row],[''Agriculture'']]</f>
        <v>0</v>
      </c>
      <c r="L20" s="99"/>
      <c r="M20" s="99"/>
      <c r="N20"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0" s="99"/>
      <c r="P20" s="99"/>
      <c r="Q20" s="99"/>
      <c r="R20" s="99"/>
      <c r="S20"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0" s="99"/>
      <c r="U20" s="99"/>
      <c r="V20" s="99"/>
      <c r="W20" s="99"/>
      <c r="X20" s="99"/>
      <c r="Y20" s="99"/>
      <c r="Z20" s="99"/>
      <c r="AA20" s="99"/>
      <c r="AB20" s="99"/>
      <c r="AC20" s="99"/>
      <c r="AD20" s="99"/>
      <c r="AE20" s="99"/>
      <c r="AF20" s="99"/>
      <c r="AG20" s="99"/>
      <c r="AH20" s="99"/>
      <c r="AI20" s="99"/>
      <c r="AJ20" s="99"/>
      <c r="AK20" s="99"/>
      <c r="AL20" s="99"/>
      <c r="AM20" s="99"/>
      <c r="AN20" s="99"/>
      <c r="AO20" s="99"/>
      <c r="AP20" s="99">
        <v>0</v>
      </c>
      <c r="AQ20" s="101" t="s">
        <v>396</v>
      </c>
      <c r="AR20" s="102"/>
      <c r="AS20" s="101" t="s">
        <v>396</v>
      </c>
      <c r="AU20" s="104"/>
      <c r="CD20" s="93"/>
      <c r="CF20" s="91"/>
    </row>
    <row r="21" spans="1:84" ht="30" x14ac:dyDescent="0.25">
      <c r="A21" s="98" t="s">
        <v>80</v>
      </c>
      <c r="B21" s="92" t="s">
        <v>398</v>
      </c>
      <c r="C21" s="96" t="s">
        <v>76</v>
      </c>
      <c r="D21" s="96" t="s">
        <v>128</v>
      </c>
      <c r="E21" s="99">
        <v>215070</v>
      </c>
      <c r="F21" s="99">
        <f>Tableau_Lancer_la_requête_à_partir_de_Excel_Files102567[[#This Row],[Aide Massif]]+Tableau_Lancer_la_requête_à_partir_de_Excel_Files102567[[#This Row],[''Autre Public'']]</f>
        <v>215070</v>
      </c>
      <c r="G21" s="100">
        <f>Tableau_Lancer_la_requête_à_partir_de_Excel_Files102567[[#This Row],[Aide 
publique]]/Tableau_Lancer_la_requête_à_partir_de_Excel_Files102567[[#This Row],[''Coût total éligible'']]</f>
        <v>1</v>
      </c>
      <c r="H21"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215070</v>
      </c>
      <c r="I21" s="100">
        <f>Tableau_Lancer_la_requête_à_partir_de_Excel_Files102567[[#This Row],[Aide Massif]]/Tableau_Lancer_la_requête_à_partir_de_Excel_Files102567[[#This Row],[''Coût total éligible'']]</f>
        <v>1</v>
      </c>
      <c r="J21" s="99">
        <v>0</v>
      </c>
      <c r="K21" s="99">
        <f>Tableau_Lancer_la_requête_à_partir_de_Excel_Files102567[[#This Row],[''FNADT '']]+Tableau_Lancer_la_requête_à_partir_de_Excel_Files102567[[#This Row],[''Agriculture'']]</f>
        <v>205070</v>
      </c>
      <c r="L21" s="99"/>
      <c r="M21" s="99">
        <v>205070</v>
      </c>
      <c r="N21"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10000</v>
      </c>
      <c r="O21" s="99"/>
      <c r="P21" s="99">
        <v>10000</v>
      </c>
      <c r="Q21" s="99"/>
      <c r="R21" s="99"/>
      <c r="S21"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1" s="99"/>
      <c r="U21" s="99"/>
      <c r="V21" s="99"/>
      <c r="W21" s="99"/>
      <c r="X21" s="99"/>
      <c r="Y21" s="99"/>
      <c r="Z21" s="99"/>
      <c r="AA21" s="99"/>
      <c r="AB21" s="99"/>
      <c r="AC21" s="99"/>
      <c r="AD21" s="99"/>
      <c r="AE21" s="99"/>
      <c r="AF21" s="99"/>
      <c r="AG21" s="99"/>
      <c r="AH21" s="99"/>
      <c r="AI21" s="99"/>
      <c r="AJ21" s="99"/>
      <c r="AK21" s="99"/>
      <c r="AL21" s="99"/>
      <c r="AM21" s="99"/>
      <c r="AN21" s="99"/>
      <c r="AO21" s="99"/>
      <c r="AP21" s="99">
        <v>0</v>
      </c>
      <c r="AQ21" s="101" t="s">
        <v>339</v>
      </c>
      <c r="AR21" s="102"/>
      <c r="AS21" s="101" t="s">
        <v>337</v>
      </c>
      <c r="AU21" s="103"/>
      <c r="CD21" s="93"/>
      <c r="CF21" s="91"/>
    </row>
    <row r="22" spans="1:84" ht="30" x14ac:dyDescent="0.25">
      <c r="A22" s="98" t="s">
        <v>80</v>
      </c>
      <c r="B22" s="92" t="s">
        <v>463</v>
      </c>
      <c r="C22" s="96" t="s">
        <v>136</v>
      </c>
      <c r="D22" s="96" t="s">
        <v>464</v>
      </c>
      <c r="E22" s="99">
        <v>17017.404265593563</v>
      </c>
      <c r="F22" s="99">
        <f>Tableau_Lancer_la_requête_à_partir_de_Excel_Files102567[[#This Row],[Aide Massif]]+Tableau_Lancer_la_requête_à_partir_de_Excel_Files102567[[#This Row],[''Autre Public'']]</f>
        <v>11912.182985915493</v>
      </c>
      <c r="G22" s="100">
        <f>Tableau_Lancer_la_requête_à_partir_de_Excel_Files102567[[#This Row],[Aide 
publique]]/Tableau_Lancer_la_requête_à_partir_de_Excel_Files102567[[#This Row],[''Coût total éligible'']]</f>
        <v>0.7</v>
      </c>
      <c r="H22"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11912.182985915493</v>
      </c>
      <c r="I22" s="100">
        <f>Tableau_Lancer_la_requête_à_partir_de_Excel_Files102567[[#This Row],[Aide Massif]]/Tableau_Lancer_la_requête_à_partir_de_Excel_Files102567[[#This Row],[''Coût total éligible'']]</f>
        <v>0.7</v>
      </c>
      <c r="J22" s="99">
        <v>0</v>
      </c>
      <c r="K22" s="99">
        <f>Tableau_Lancer_la_requête_à_partir_de_Excel_Files102567[[#This Row],[''FNADT '']]+Tableau_Lancer_la_requête_à_partir_de_Excel_Files102567[[#This Row],[''Agriculture'']]</f>
        <v>11912.182985915493</v>
      </c>
      <c r="L22" s="99"/>
      <c r="M22" s="99">
        <v>11912.182985915493</v>
      </c>
      <c r="N22"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2" s="99"/>
      <c r="P22" s="99"/>
      <c r="Q22" s="99"/>
      <c r="R22" s="99"/>
      <c r="S22"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2" s="99"/>
      <c r="U22" s="99"/>
      <c r="V22" s="99"/>
      <c r="W22" s="99"/>
      <c r="X22" s="99"/>
      <c r="Y22" s="99"/>
      <c r="Z22" s="99"/>
      <c r="AA22" s="99"/>
      <c r="AB22" s="99"/>
      <c r="AC22" s="99"/>
      <c r="AD22" s="99"/>
      <c r="AE22" s="99"/>
      <c r="AF22" s="99"/>
      <c r="AG22" s="99"/>
      <c r="AH22" s="99"/>
      <c r="AI22" s="99"/>
      <c r="AJ22" s="99"/>
      <c r="AK22" s="99"/>
      <c r="AL22" s="99"/>
      <c r="AM22" s="99"/>
      <c r="AN22" s="99"/>
      <c r="AO22" s="99"/>
      <c r="AP22" s="99">
        <v>0</v>
      </c>
      <c r="AQ22" s="101" t="s">
        <v>337</v>
      </c>
      <c r="AR22" s="102"/>
      <c r="AS22" s="101" t="s">
        <v>337</v>
      </c>
      <c r="AU22" s="104"/>
      <c r="CD22" s="93"/>
      <c r="CF22" s="91"/>
    </row>
    <row r="23" spans="1:84" ht="30" x14ac:dyDescent="0.25">
      <c r="A23" s="98" t="s">
        <v>80</v>
      </c>
      <c r="B23" s="92" t="s">
        <v>405</v>
      </c>
      <c r="C23" s="96" t="s">
        <v>138</v>
      </c>
      <c r="D23" s="96" t="s">
        <v>139</v>
      </c>
      <c r="E23" s="99">
        <v>22000</v>
      </c>
      <c r="F23" s="99">
        <f>Tableau_Lancer_la_requête_à_partir_de_Excel_Files102567[[#This Row],[Aide Massif]]+Tableau_Lancer_la_requête_à_partir_de_Excel_Files102567[[#This Row],[''Autre Public'']]</f>
        <v>22000</v>
      </c>
      <c r="G23" s="100">
        <f>Tableau_Lancer_la_requête_à_partir_de_Excel_Files102567[[#This Row],[Aide 
publique]]/Tableau_Lancer_la_requête_à_partir_de_Excel_Files102567[[#This Row],[''Coût total éligible'']]</f>
        <v>1</v>
      </c>
      <c r="H23"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22000</v>
      </c>
      <c r="I23" s="100">
        <f>Tableau_Lancer_la_requête_à_partir_de_Excel_Files102567[[#This Row],[Aide Massif]]/Tableau_Lancer_la_requête_à_partir_de_Excel_Files102567[[#This Row],[''Coût total éligible'']]</f>
        <v>1</v>
      </c>
      <c r="J23" s="99">
        <v>0</v>
      </c>
      <c r="K23" s="99">
        <f>Tableau_Lancer_la_requête_à_partir_de_Excel_Files102567[[#This Row],[''FNADT '']]+Tableau_Lancer_la_requête_à_partir_de_Excel_Files102567[[#This Row],[''Agriculture'']]</f>
        <v>22000</v>
      </c>
      <c r="L23" s="99"/>
      <c r="M23" s="99">
        <v>22000</v>
      </c>
      <c r="N23"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3" s="99"/>
      <c r="P23" s="99"/>
      <c r="Q23" s="99"/>
      <c r="R23" s="99"/>
      <c r="S23"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3" s="99"/>
      <c r="U23" s="99"/>
      <c r="V23" s="99"/>
      <c r="W23" s="99"/>
      <c r="X23" s="99"/>
      <c r="Y23" s="99"/>
      <c r="Z23" s="99"/>
      <c r="AA23" s="99"/>
      <c r="AB23" s="99"/>
      <c r="AC23" s="99"/>
      <c r="AD23" s="99"/>
      <c r="AE23" s="99"/>
      <c r="AF23" s="99"/>
      <c r="AG23" s="99"/>
      <c r="AH23" s="99"/>
      <c r="AI23" s="99"/>
      <c r="AJ23" s="99"/>
      <c r="AK23" s="99"/>
      <c r="AL23" s="99"/>
      <c r="AM23" s="99"/>
      <c r="AN23" s="99"/>
      <c r="AO23" s="99"/>
      <c r="AP23" s="99">
        <v>0</v>
      </c>
      <c r="AQ23" s="101" t="s">
        <v>339</v>
      </c>
      <c r="AR23" s="102">
        <v>42628</v>
      </c>
      <c r="AS23" s="101" t="s">
        <v>337</v>
      </c>
      <c r="AU23" s="103"/>
    </row>
    <row r="24" spans="1:84" ht="45" x14ac:dyDescent="0.25">
      <c r="A24" s="98" t="s">
        <v>80</v>
      </c>
      <c r="B24" s="92" t="s">
        <v>465</v>
      </c>
      <c r="C24" s="96" t="s">
        <v>466</v>
      </c>
      <c r="D24" s="96" t="s">
        <v>467</v>
      </c>
      <c r="E24" s="99">
        <v>320141.84000000003</v>
      </c>
      <c r="F24" s="99">
        <f>Tableau_Lancer_la_requête_à_partir_de_Excel_Files102567[[#This Row],[Aide Massif]]+Tableau_Lancer_la_requête_à_partir_de_Excel_Files102567[[#This Row],[''Autre Public'']]</f>
        <v>299713.84000000003</v>
      </c>
      <c r="G24" s="100">
        <f>Tableau_Lancer_la_requête_à_partir_de_Excel_Files102567[[#This Row],[Aide 
publique]]/Tableau_Lancer_la_requête_à_partir_de_Excel_Files102567[[#This Row],[''Coût total éligible'']]</f>
        <v>0.93619078343524231</v>
      </c>
      <c r="H24"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299713.84000000003</v>
      </c>
      <c r="I24" s="100">
        <f>Tableau_Lancer_la_requête_à_partir_de_Excel_Files102567[[#This Row],[Aide Massif]]/Tableau_Lancer_la_requête_à_partir_de_Excel_Files102567[[#This Row],[''Coût total éligible'']]</f>
        <v>0.93619078343524231</v>
      </c>
      <c r="J24" s="99">
        <v>0</v>
      </c>
      <c r="K24" s="99">
        <f>Tableau_Lancer_la_requête_à_partir_de_Excel_Files102567[[#This Row],[''FNADT '']]+Tableau_Lancer_la_requête_à_partir_de_Excel_Files102567[[#This Row],[''Agriculture'']]</f>
        <v>264713.84000000003</v>
      </c>
      <c r="L24" s="99"/>
      <c r="M24" s="99">
        <v>264713.84000000003</v>
      </c>
      <c r="N24"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35000</v>
      </c>
      <c r="O24" s="99"/>
      <c r="P24" s="99">
        <v>35000</v>
      </c>
      <c r="Q24" s="99"/>
      <c r="R24" s="99"/>
      <c r="S24"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4" s="99"/>
      <c r="U24" s="99"/>
      <c r="V24" s="99"/>
      <c r="W24" s="99"/>
      <c r="X24" s="99"/>
      <c r="Y24" s="99"/>
      <c r="Z24" s="99"/>
      <c r="AA24" s="99"/>
      <c r="AB24" s="99"/>
      <c r="AC24" s="99"/>
      <c r="AD24" s="99"/>
      <c r="AE24" s="99"/>
      <c r="AF24" s="99"/>
      <c r="AG24" s="99"/>
      <c r="AH24" s="99"/>
      <c r="AI24" s="99"/>
      <c r="AJ24" s="99"/>
      <c r="AK24" s="99"/>
      <c r="AL24" s="99"/>
      <c r="AM24" s="99"/>
      <c r="AN24" s="99"/>
      <c r="AO24" s="99"/>
      <c r="AP24" s="99">
        <v>0</v>
      </c>
      <c r="AQ24" s="101" t="s">
        <v>337</v>
      </c>
      <c r="AR24" s="102">
        <v>42736</v>
      </c>
      <c r="AS24" s="101" t="s">
        <v>337</v>
      </c>
      <c r="AU24" s="104"/>
    </row>
    <row r="25" spans="1:84" ht="30" x14ac:dyDescent="0.25">
      <c r="A25" s="98" t="s">
        <v>80</v>
      </c>
      <c r="B25" s="92" t="s">
        <v>399</v>
      </c>
      <c r="C25" s="96" t="s">
        <v>250</v>
      </c>
      <c r="D25" s="96" t="s">
        <v>251</v>
      </c>
      <c r="E25" s="99">
        <v>326111.99</v>
      </c>
      <c r="F25" s="99">
        <f>Tableau_Lancer_la_requête_à_partir_de_Excel_Files102567[[#This Row],[Aide Massif]]+Tableau_Lancer_la_requête_à_partir_de_Excel_Files102567[[#This Row],[''Autre Public'']]</f>
        <v>222995.6</v>
      </c>
      <c r="G25" s="100">
        <f>Tableau_Lancer_la_requête_à_partir_de_Excel_Files102567[[#This Row],[Aide 
publique]]/Tableau_Lancer_la_requête_à_partir_de_Excel_Files102567[[#This Row],[''Coût total éligible'']]</f>
        <v>0.68380067841111891</v>
      </c>
      <c r="H25"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204995.6</v>
      </c>
      <c r="I25" s="100">
        <f>Tableau_Lancer_la_requête_à_partir_de_Excel_Files102567[[#This Row],[Aide Massif]]/Tableau_Lancer_la_requête_à_partir_de_Excel_Files102567[[#This Row],[''Coût total éligible'']]</f>
        <v>0.62860491575302091</v>
      </c>
      <c r="J25" s="99">
        <v>162162</v>
      </c>
      <c r="K25" s="99">
        <f>Tableau_Lancer_la_requête_à_partir_de_Excel_Files102567[[#This Row],[''FNADT '']]+Tableau_Lancer_la_requête_à_partir_de_Excel_Files102567[[#This Row],[''Agriculture'']]</f>
        <v>37833.599999999999</v>
      </c>
      <c r="L25" s="99">
        <v>37833.599999999999</v>
      </c>
      <c r="M25" s="99"/>
      <c r="N25"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5" s="99"/>
      <c r="P25" s="99"/>
      <c r="Q25" s="99"/>
      <c r="R25" s="99">
        <v>0</v>
      </c>
      <c r="S25"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5000</v>
      </c>
      <c r="T25" s="99"/>
      <c r="U25" s="99"/>
      <c r="V25" s="99"/>
      <c r="W25" s="99">
        <v>5000</v>
      </c>
      <c r="X25" s="99"/>
      <c r="Y25" s="99"/>
      <c r="Z25" s="99"/>
      <c r="AA25" s="99"/>
      <c r="AB25" s="99"/>
      <c r="AC25" s="99"/>
      <c r="AD25" s="99"/>
      <c r="AE25" s="99"/>
      <c r="AF25" s="99"/>
      <c r="AG25" s="99"/>
      <c r="AH25" s="99"/>
      <c r="AI25" s="99"/>
      <c r="AJ25" s="99"/>
      <c r="AK25" s="99"/>
      <c r="AL25" s="99"/>
      <c r="AM25" s="99"/>
      <c r="AN25" s="99"/>
      <c r="AO25" s="99"/>
      <c r="AP25" s="99">
        <v>18000</v>
      </c>
      <c r="AQ25" s="101" t="s">
        <v>337</v>
      </c>
      <c r="AR25" s="102">
        <v>42370</v>
      </c>
      <c r="AS25" s="101" t="s">
        <v>337</v>
      </c>
      <c r="AT25" s="101"/>
      <c r="AU25" s="103"/>
    </row>
    <row r="26" spans="1:84" x14ac:dyDescent="0.25">
      <c r="A26" s="98" t="s">
        <v>80</v>
      </c>
      <c r="B26" s="92" t="s">
        <v>403</v>
      </c>
      <c r="C26" s="96" t="s">
        <v>133</v>
      </c>
      <c r="D26" s="96" t="s">
        <v>134</v>
      </c>
      <c r="E26" s="99">
        <v>32100</v>
      </c>
      <c r="F26" s="99">
        <f>Tableau_Lancer_la_requête_à_partir_de_Excel_Files102567[[#This Row],[Aide Massif]]+Tableau_Lancer_la_requête_à_partir_de_Excel_Files102567[[#This Row],[''Autre Public'']]</f>
        <v>32100</v>
      </c>
      <c r="G26" s="100">
        <f>Tableau_Lancer_la_requête_à_partir_de_Excel_Files102567[[#This Row],[Aide 
publique]]/Tableau_Lancer_la_requête_à_partir_de_Excel_Files102567[[#This Row],[''Coût total éligible'']]</f>
        <v>1</v>
      </c>
      <c r="H26"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32100</v>
      </c>
      <c r="I26" s="100">
        <f>Tableau_Lancer_la_requête_à_partir_de_Excel_Files102567[[#This Row],[Aide Massif]]/Tableau_Lancer_la_requête_à_partir_de_Excel_Files102567[[#This Row],[''Coût total éligible'']]</f>
        <v>1</v>
      </c>
      <c r="J26" s="99">
        <v>16050</v>
      </c>
      <c r="K26" s="99">
        <f>Tableau_Lancer_la_requête_à_partir_de_Excel_Files102567[[#This Row],[''FNADT '']]+Tableau_Lancer_la_requête_à_partir_de_Excel_Files102567[[#This Row],[''Agriculture'']]</f>
        <v>0</v>
      </c>
      <c r="L26" s="99"/>
      <c r="M26" s="99"/>
      <c r="N26"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10050</v>
      </c>
      <c r="O26" s="99"/>
      <c r="P26" s="99">
        <v>10050</v>
      </c>
      <c r="Q26" s="99"/>
      <c r="R26" s="99"/>
      <c r="S26"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6000</v>
      </c>
      <c r="T26" s="99"/>
      <c r="U26" s="99"/>
      <c r="V26" s="99"/>
      <c r="W26" s="99"/>
      <c r="X26" s="99"/>
      <c r="Y26" s="99"/>
      <c r="Z26" s="99"/>
      <c r="AA26" s="99"/>
      <c r="AB26" s="99"/>
      <c r="AC26" s="99"/>
      <c r="AD26" s="99"/>
      <c r="AE26" s="99">
        <v>6000</v>
      </c>
      <c r="AF26" s="99"/>
      <c r="AG26" s="99"/>
      <c r="AH26" s="99"/>
      <c r="AI26" s="99"/>
      <c r="AJ26" s="99"/>
      <c r="AK26" s="99"/>
      <c r="AL26" s="99"/>
      <c r="AM26" s="99"/>
      <c r="AN26" s="99"/>
      <c r="AO26" s="99"/>
      <c r="AP26" s="99">
        <v>0</v>
      </c>
      <c r="AQ26" s="101" t="s">
        <v>337</v>
      </c>
      <c r="AR26" s="102">
        <v>42430</v>
      </c>
      <c r="AS26" s="101" t="s">
        <v>337</v>
      </c>
      <c r="AU26" s="91"/>
    </row>
    <row r="27" spans="1:84" ht="30" x14ac:dyDescent="0.25">
      <c r="A27" s="98" t="s">
        <v>80</v>
      </c>
      <c r="B27" s="92" t="s">
        <v>403</v>
      </c>
      <c r="C27" s="96" t="s">
        <v>135</v>
      </c>
      <c r="D27" s="96" t="s">
        <v>134</v>
      </c>
      <c r="E27" s="99">
        <v>11100</v>
      </c>
      <c r="F27" s="99">
        <f>Tableau_Lancer_la_requête_à_partir_de_Excel_Files102567[[#This Row],[Aide Massif]]+Tableau_Lancer_la_requête_à_partir_de_Excel_Files102567[[#This Row],[''Autre Public'']]</f>
        <v>9328.5</v>
      </c>
      <c r="G27" s="100">
        <f>Tableau_Lancer_la_requête_à_partir_de_Excel_Files102567[[#This Row],[Aide 
publique]]/Tableau_Lancer_la_requête_à_partir_de_Excel_Files102567[[#This Row],[''Coût total éligible'']]</f>
        <v>0.84040540540540543</v>
      </c>
      <c r="H27"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9328.5</v>
      </c>
      <c r="I27" s="100">
        <f>Tableau_Lancer_la_requête_à_partir_de_Excel_Files102567[[#This Row],[Aide Massif]]/Tableau_Lancer_la_requête_à_partir_de_Excel_Files102567[[#This Row],[''Coût total éligible'']]</f>
        <v>0.84040540540540543</v>
      </c>
      <c r="J27" s="99">
        <v>3778.5</v>
      </c>
      <c r="K27" s="99">
        <f>Tableau_Lancer_la_requête_à_partir_de_Excel_Files102567[[#This Row],[''FNADT '']]+Tableau_Lancer_la_requête_à_partir_de_Excel_Files102567[[#This Row],[''Agriculture'']]</f>
        <v>0</v>
      </c>
      <c r="L27" s="99"/>
      <c r="M27" s="99"/>
      <c r="N27"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5550</v>
      </c>
      <c r="O27" s="99"/>
      <c r="P27" s="99">
        <v>5550</v>
      </c>
      <c r="Q27" s="99"/>
      <c r="R27" s="99"/>
      <c r="S27"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7" s="99"/>
      <c r="U27" s="99"/>
      <c r="V27" s="99"/>
      <c r="W27" s="99"/>
      <c r="X27" s="99"/>
      <c r="Y27" s="99"/>
      <c r="Z27" s="99"/>
      <c r="AA27" s="99"/>
      <c r="AB27" s="99"/>
      <c r="AC27" s="99"/>
      <c r="AD27" s="99"/>
      <c r="AE27" s="99"/>
      <c r="AF27" s="99"/>
      <c r="AG27" s="99"/>
      <c r="AH27" s="99"/>
      <c r="AI27" s="99"/>
      <c r="AJ27" s="99"/>
      <c r="AK27" s="99"/>
      <c r="AL27" s="99"/>
      <c r="AM27" s="99"/>
      <c r="AN27" s="99"/>
      <c r="AO27" s="99"/>
      <c r="AP27" s="99">
        <v>0</v>
      </c>
      <c r="AQ27" s="101" t="s">
        <v>337</v>
      </c>
      <c r="AR27" s="102">
        <v>42430</v>
      </c>
      <c r="AS27" s="101" t="s">
        <v>337</v>
      </c>
      <c r="AU27" s="103"/>
    </row>
    <row r="28" spans="1:84" ht="30" x14ac:dyDescent="0.25">
      <c r="A28" s="98" t="s">
        <v>80</v>
      </c>
      <c r="B28" s="92" t="s">
        <v>404</v>
      </c>
      <c r="C28" s="96" t="s">
        <v>136</v>
      </c>
      <c r="D28" s="96" t="s">
        <v>137</v>
      </c>
      <c r="E28" s="99">
        <v>235665.6</v>
      </c>
      <c r="F28" s="99">
        <f>Tableau_Lancer_la_requête_à_partir_de_Excel_Files102567[[#This Row],[Aide Massif]]+Tableau_Lancer_la_requête_à_partir_de_Excel_Files102567[[#This Row],[''Autre Public'']]</f>
        <v>192841.68</v>
      </c>
      <c r="G28" s="100">
        <f>Tableau_Lancer_la_requête_à_partir_de_Excel_Files102567[[#This Row],[Aide 
publique]]/Tableau_Lancer_la_requête_à_partir_de_Excel_Files102567[[#This Row],[''Coût total éligible'']]</f>
        <v>0.81828523127686004</v>
      </c>
      <c r="H28"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192841.68</v>
      </c>
      <c r="I28" s="100">
        <f>Tableau_Lancer_la_requête_à_partir_de_Excel_Files102567[[#This Row],[Aide Massif]]/Tableau_Lancer_la_requête_à_partir_de_Excel_Files102567[[#This Row],[''Coût total éligible'']]</f>
        <v>0.81828523127686004</v>
      </c>
      <c r="J28" s="99">
        <v>70700</v>
      </c>
      <c r="K28" s="99">
        <f>Tableau_Lancer_la_requête_à_partir_de_Excel_Files102567[[#This Row],[''FNADT '']]+Tableau_Lancer_la_requête_à_partir_de_Excel_Files102567[[#This Row],[''Agriculture'']]</f>
        <v>70699.679999999993</v>
      </c>
      <c r="L28" s="99"/>
      <c r="M28" s="99">
        <v>70699.679999999993</v>
      </c>
      <c r="N28"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51442</v>
      </c>
      <c r="O28" s="99"/>
      <c r="P28" s="99">
        <v>0</v>
      </c>
      <c r="Q28" s="99"/>
      <c r="R28" s="99">
        <v>51442</v>
      </c>
      <c r="S28"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8" s="99"/>
      <c r="U28" s="99"/>
      <c r="V28" s="99"/>
      <c r="W28" s="99"/>
      <c r="X28" s="99"/>
      <c r="Y28" s="99"/>
      <c r="Z28" s="99"/>
      <c r="AA28" s="99"/>
      <c r="AB28" s="99"/>
      <c r="AC28" s="99"/>
      <c r="AD28" s="99"/>
      <c r="AE28" s="99"/>
      <c r="AF28" s="99"/>
      <c r="AG28" s="99"/>
      <c r="AH28" s="99"/>
      <c r="AI28" s="99"/>
      <c r="AJ28" s="99"/>
      <c r="AK28" s="99"/>
      <c r="AL28" s="99"/>
      <c r="AM28" s="99"/>
      <c r="AN28" s="99"/>
      <c r="AO28" s="99"/>
      <c r="AP28" s="99">
        <v>0</v>
      </c>
      <c r="AQ28" s="101" t="s">
        <v>337</v>
      </c>
      <c r="AR28" s="102">
        <v>42736</v>
      </c>
      <c r="AS28" s="101" t="s">
        <v>337</v>
      </c>
      <c r="AU28" s="104" t="s">
        <v>473</v>
      </c>
    </row>
    <row r="29" spans="1:84" ht="45.75" thickBot="1" x14ac:dyDescent="0.3">
      <c r="A29" s="98" t="s">
        <v>472</v>
      </c>
      <c r="B29" s="92" t="s">
        <v>468</v>
      </c>
      <c r="C29" s="96" t="s">
        <v>76</v>
      </c>
      <c r="D29" s="96" t="s">
        <v>469</v>
      </c>
      <c r="E29" s="99">
        <v>392776.01</v>
      </c>
      <c r="F29" s="99">
        <f>Tableau_Lancer_la_requête_à_partir_de_Excel_Files102567[[#This Row],[Aide Massif]]+Tableau_Lancer_la_requête_à_partir_de_Excel_Files102567[[#This Row],[''Autre Public'']]</f>
        <v>72512.490000000005</v>
      </c>
      <c r="G29" s="100">
        <f>Tableau_Lancer_la_requête_à_partir_de_Excel_Files102567[[#This Row],[Aide 
publique]]/Tableau_Lancer_la_requête_à_partir_de_Excel_Files102567[[#This Row],[''Coût total éligible'']]</f>
        <v>0.18461537403977399</v>
      </c>
      <c r="H29" s="99">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72512.490000000005</v>
      </c>
      <c r="I29" s="100">
        <f>Tableau_Lancer_la_requête_à_partir_de_Excel_Files102567[[#This Row],[Aide Massif]]/Tableau_Lancer_la_requête_à_partir_de_Excel_Files102567[[#This Row],[''Coût total éligible'']]</f>
        <v>0.18461537403977399</v>
      </c>
      <c r="J29" s="99">
        <v>0</v>
      </c>
      <c r="K29" s="99">
        <f>Tableau_Lancer_la_requête_à_partir_de_Excel_Files102567[[#This Row],[''FNADT '']]+Tableau_Lancer_la_requête_à_partir_de_Excel_Files102567[[#This Row],[''Agriculture'']]</f>
        <v>72512.490000000005</v>
      </c>
      <c r="L29" s="99"/>
      <c r="M29" s="99">
        <v>72512.490000000005</v>
      </c>
      <c r="N29" s="99">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9" s="99"/>
      <c r="P29" s="99"/>
      <c r="Q29" s="99"/>
      <c r="R29" s="99"/>
      <c r="S29" s="99">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9" s="99"/>
      <c r="U29" s="99"/>
      <c r="V29" s="99"/>
      <c r="W29" s="99"/>
      <c r="X29" s="99"/>
      <c r="Y29" s="99"/>
      <c r="Z29" s="99"/>
      <c r="AA29" s="99"/>
      <c r="AB29" s="99"/>
      <c r="AC29" s="99"/>
      <c r="AD29" s="99"/>
      <c r="AE29" s="99"/>
      <c r="AF29" s="99"/>
      <c r="AG29" s="99"/>
      <c r="AH29" s="99"/>
      <c r="AI29" s="99"/>
      <c r="AJ29" s="99"/>
      <c r="AK29" s="99"/>
      <c r="AL29" s="99"/>
      <c r="AM29" s="99"/>
      <c r="AN29" s="99"/>
      <c r="AO29" s="99"/>
      <c r="AP29" s="99">
        <v>0</v>
      </c>
      <c r="AQ29" s="101" t="s">
        <v>339</v>
      </c>
      <c r="AR29" s="102">
        <v>42614</v>
      </c>
      <c r="AS29" s="101" t="s">
        <v>337</v>
      </c>
      <c r="AU29" s="103"/>
    </row>
    <row r="30" spans="1:84" ht="15.75" thickTop="1" x14ac:dyDescent="0.25">
      <c r="A30" s="118"/>
      <c r="B30" s="118" t="s">
        <v>8</v>
      </c>
      <c r="C30" s="119">
        <f>SUBTOTAL(103,Tableau_Lancer_la_requête_à_partir_de_Excel_Files102567[Nom_MO])</f>
        <v>23</v>
      </c>
      <c r="D30" s="119"/>
      <c r="E30" s="120">
        <f>SUBTOTAL(109,Tableau_Lancer_la_requête_à_partir_de_Excel_Files102567[''Coût total éligible''])</f>
        <v>2110220.6488155937</v>
      </c>
      <c r="F30" s="120">
        <f>SUBTOTAL(109,Tableau_Lancer_la_requête_à_partir_de_Excel_Files102567[Aide 
publique])</f>
        <v>1484822.8429859155</v>
      </c>
      <c r="G30" s="121"/>
      <c r="H30" s="120">
        <f>SUBTOTAL(109,Tableau_Lancer_la_requête_à_partir_de_Excel_Files102567[Aide Massif])</f>
        <v>1398375.3429859155</v>
      </c>
      <c r="I30" s="121"/>
      <c r="J30" s="120">
        <f>SUBTOTAL(109,Tableau_Lancer_la_requête_à_partir_de_Excel_Files102567[''FEDER''])</f>
        <v>388447.97</v>
      </c>
      <c r="K30" s="120">
        <f>SUBTOTAL(109,Tableau_Lancer_la_requête_à_partir_de_Excel_Files102567[Total Etat])</f>
        <v>822593.79298591544</v>
      </c>
      <c r="L30" s="118"/>
      <c r="M30" s="120">
        <f>SUBTOTAL(109,Tableau_Lancer_la_requête_à_partir_de_Excel_Files102567[''Agriculture''])</f>
        <v>646908.19298591558</v>
      </c>
      <c r="N30" s="120">
        <f>SUBTOTAL(109,Tableau_Lancer_la_requête_à_partir_de_Excel_Files102567[Total Régions])</f>
        <v>176333.58000000002</v>
      </c>
      <c r="O30" s="120">
        <f>SUBTOTAL(109,Tableau_Lancer_la_requête_à_partir_de_Excel_Files102567[''ALPC''])</f>
        <v>35022</v>
      </c>
      <c r="P30" s="120">
        <f>SUBTOTAL(109,Tableau_Lancer_la_requête_à_partir_de_Excel_Files102567[''AURA''])</f>
        <v>89869.58</v>
      </c>
      <c r="Q30" s="120">
        <f>SUBTOTAL(109,Tableau_Lancer_la_requête_à_partir_de_Excel_Files102567[''BFC''])</f>
        <v>0</v>
      </c>
      <c r="R30" s="120">
        <f>SUBTOTAL(109,Tableau_Lancer_la_requête_à_partir_de_Excel_Files102567[''LRMP''])</f>
        <v>51442</v>
      </c>
      <c r="S30" s="120">
        <f>SUBTOTAL(109,Tableau_Lancer_la_requête_à_partir_de_Excel_Files102567[Total Dpts])</f>
        <v>11000</v>
      </c>
      <c r="T30" s="120">
        <f>SUBTOTAL(109,Tableau_Lancer_la_requête_à_partir_de_Excel_Files102567[''03''])</f>
        <v>0</v>
      </c>
      <c r="U30" s="120">
        <f>SUBTOTAL(109,Tableau_Lancer_la_requête_à_partir_de_Excel_Files102567[''07''])</f>
        <v>0</v>
      </c>
      <c r="V30" s="120">
        <f>SUBTOTAL(109,Tableau_Lancer_la_requête_à_partir_de_Excel_Files102567[''11''])</f>
        <v>0</v>
      </c>
      <c r="W30" s="120">
        <f>SUBTOTAL(109,Tableau_Lancer_la_requête_à_partir_de_Excel_Files102567[''12''])</f>
        <v>5000</v>
      </c>
      <c r="X30" s="120">
        <f>SUBTOTAL(109,Tableau_Lancer_la_requête_à_partir_de_Excel_Files102567[''15''])</f>
        <v>0</v>
      </c>
      <c r="Y30" s="120">
        <f>SUBTOTAL(109,Tableau_Lancer_la_requête_à_partir_de_Excel_Files102567[''19''])</f>
        <v>0</v>
      </c>
      <c r="Z30" s="120">
        <f>SUBTOTAL(109,Tableau_Lancer_la_requête_à_partir_de_Excel_Files102567[''21''])</f>
        <v>0</v>
      </c>
      <c r="AA30" s="120">
        <f>SUBTOTAL(109,Tableau_Lancer_la_requête_à_partir_de_Excel_Files102567[''23''])</f>
        <v>0</v>
      </c>
      <c r="AB30" s="120">
        <f>SUBTOTAL(109,Tableau_Lancer_la_requête_à_partir_de_Excel_Files102567[''30''])</f>
        <v>0</v>
      </c>
      <c r="AC30" s="120">
        <f>SUBTOTAL(109,Tableau_Lancer_la_requête_à_partir_de_Excel_Files102567[''34''])</f>
        <v>0</v>
      </c>
      <c r="AD30" s="120">
        <f>SUBTOTAL(109,Tableau_Lancer_la_requête_à_partir_de_Excel_Files102567[''42''])</f>
        <v>0</v>
      </c>
      <c r="AE30" s="120">
        <f>SUBTOTAL(109,Tableau_Lancer_la_requête_à_partir_de_Excel_Files102567[''43''])</f>
        <v>6000</v>
      </c>
      <c r="AF30" s="120">
        <f>SUBTOTAL(109,Tableau_Lancer_la_requête_à_partir_de_Excel_Files102567[''46''])</f>
        <v>0</v>
      </c>
      <c r="AG30" s="120">
        <f>SUBTOTAL(109,Tableau_Lancer_la_requête_à_partir_de_Excel_Files102567[''48''])</f>
        <v>0</v>
      </c>
      <c r="AH30" s="120">
        <f>SUBTOTAL(109,Tableau_Lancer_la_requête_à_partir_de_Excel_Files102567[''58''])</f>
        <v>0</v>
      </c>
      <c r="AI30" s="120">
        <f>SUBTOTAL(109,Tableau_Lancer_la_requête_à_partir_de_Excel_Files102567[''63''])</f>
        <v>0</v>
      </c>
      <c r="AJ30" s="120">
        <f>SUBTOTAL(109,Tableau_Lancer_la_requête_à_partir_de_Excel_Files102567[''69''])</f>
        <v>0</v>
      </c>
      <c r="AK30" s="120">
        <f>SUBTOTAL(109,Tableau_Lancer_la_requête_à_partir_de_Excel_Files102567[''71''])</f>
        <v>0</v>
      </c>
      <c r="AL30" s="120">
        <f>SUBTOTAL(109,Tableau_Lancer_la_requête_à_partir_de_Excel_Files102567[''81''])</f>
        <v>0</v>
      </c>
      <c r="AM30" s="120">
        <f>SUBTOTAL(109,Tableau_Lancer_la_requête_à_partir_de_Excel_Files102567[''82''])</f>
        <v>0</v>
      </c>
      <c r="AN30" s="120">
        <f>SUBTOTAL(109,Tableau_Lancer_la_requête_à_partir_de_Excel_Files102567[''87''])</f>
        <v>0</v>
      </c>
      <c r="AO30" s="120">
        <f>SUBTOTAL(109,Tableau_Lancer_la_requête_à_partir_de_Excel_Files102567[''89''])</f>
        <v>0</v>
      </c>
      <c r="AP30" s="120">
        <f>SUBTOTAL(109,Tableau_Lancer_la_requête_à_partir_de_Excel_Files102567[''Autre Public''])</f>
        <v>86447.5</v>
      </c>
      <c r="AQ30" s="118"/>
      <c r="AR30" s="118"/>
      <c r="AS30" s="122"/>
      <c r="AU30" s="105"/>
    </row>
    <row r="36" spans="4:14" hidden="1" x14ac:dyDescent="0.25"/>
    <row r="37" spans="4:14" hidden="1" x14ac:dyDescent="0.25"/>
    <row r="38" spans="4:14" hidden="1" x14ac:dyDescent="0.25"/>
    <row r="39" spans="4:14" hidden="1" x14ac:dyDescent="0.25"/>
    <row r="40" spans="4:14" hidden="1" x14ac:dyDescent="0.25">
      <c r="E40" s="91" t="s">
        <v>86</v>
      </c>
      <c r="F40" s="92" t="s">
        <v>87</v>
      </c>
    </row>
    <row r="41" spans="4:14" hidden="1" x14ac:dyDescent="0.25">
      <c r="D41" s="91" t="s">
        <v>58</v>
      </c>
      <c r="E41" s="91">
        <f>H41+I41</f>
        <v>325685.96999999997</v>
      </c>
      <c r="F41" s="91">
        <f>K41+N41</f>
        <v>325685.96999999997</v>
      </c>
      <c r="H41" s="91">
        <f>SUMIF(Tableau_Lancer_la_requête_à_partir_de_Excel_Files102567[Avis Prog],"1-Favorable",Tableau_Lancer_la_requête_à_partir_de_Excel_Files102567[''FEDER''])</f>
        <v>325685.96999999997</v>
      </c>
      <c r="I41" s="91">
        <f>SUMIF(Tableau_Lancer_la_requête_à_partir_de_Excel_Files102567[Avis Prog],"2-Favorable sous réserve",Tableau_Lancer_la_requête_à_partir_de_Excel_Files102567[''FEDER''])</f>
        <v>0</v>
      </c>
      <c r="K41" s="91">
        <f>SUMIF(Tableau_Lancer_la_requête_à_partir_de_Excel_Files102567[Avis Cofimac],"1-Favorable",Tableau_Lancer_la_requête_à_partir_de_Excel_Files102567[''FEDER''])</f>
        <v>325685.96999999997</v>
      </c>
      <c r="N41" s="91">
        <f>SUMIF(Tableau_Lancer_la_requête_à_partir_de_Excel_Files102567[Avis Cofimac],"2-Favorable sous réserve",Tableau_Lancer_la_requête_à_partir_de_Excel_Files102567[''FEDER''])</f>
        <v>0</v>
      </c>
    </row>
    <row r="42" spans="4:14" hidden="1" x14ac:dyDescent="0.25">
      <c r="D42" s="91" t="s">
        <v>46</v>
      </c>
      <c r="E42" s="91">
        <f t="shared" ref="E42:E70" si="0">H42+I42</f>
        <v>822593.79298591544</v>
      </c>
      <c r="F42" s="91">
        <f t="shared" ref="F42:F70" si="1">K42+N42</f>
        <v>822593.79298591544</v>
      </c>
      <c r="H42" s="91">
        <f>SUMIF(Tableau_Lancer_la_requête_à_partir_de_Excel_Files102567[Avis Prog],"1-Favorable",Tableau_Lancer_la_requête_à_partir_de_Excel_Files102567[Total Etat])</f>
        <v>822593.79298591544</v>
      </c>
      <c r="I42" s="91">
        <f>SUMIF(Tableau_Lancer_la_requête_à_partir_de_Excel_Files102567[Avis Prog],"2-Favorable sous réserve",Tableau_Lancer_la_requête_à_partir_de_Excel_Files102567[Total Etat])</f>
        <v>0</v>
      </c>
      <c r="K42" s="91">
        <f>SUMIF(Tableau_Lancer_la_requête_à_partir_de_Excel_Files102567[Avis Cofimac],"1-Favorable",Tableau_Lancer_la_requête_à_partir_de_Excel_Files102567[Total Etat])</f>
        <v>385159.30298591551</v>
      </c>
      <c r="N42" s="91">
        <f>SUMIF(Tableau_Lancer_la_requête_à_partir_de_Excel_Files102567[Avis Cofimac],"2-Favorable sous réserve",Tableau_Lancer_la_requête_à_partir_de_Excel_Files102567[Total Etat])</f>
        <v>437434.49</v>
      </c>
    </row>
    <row r="43" spans="4:14" hidden="1" x14ac:dyDescent="0.25">
      <c r="D43" s="91" t="s">
        <v>47</v>
      </c>
      <c r="E43" s="91">
        <f t="shared" si="0"/>
        <v>176333.58000000002</v>
      </c>
      <c r="F43" s="91">
        <f t="shared" si="1"/>
        <v>176333.58000000002</v>
      </c>
      <c r="H43" s="91">
        <f>SUMIF(Tableau_Lancer_la_requête_à_partir_de_Excel_Files102567[Avis Prog],"1-Favorable",Tableau_Lancer_la_requête_à_partir_de_Excel_Files102567[Total Régions])</f>
        <v>176333.58000000002</v>
      </c>
      <c r="I43" s="91">
        <f>SUMIF(Tableau_Lancer_la_requête_à_partir_de_Excel_Files102567[Avis Prog],"2-Favorable sous réserve",Tableau_Lancer_la_requête_à_partir_de_Excel_Files102567[Total Régions])</f>
        <v>0</v>
      </c>
      <c r="K43" s="91">
        <f>SUMIF(Tableau_Lancer_la_requête_à_partir_de_Excel_Files102567[Avis Cofimac],"1-Favorable",Tableau_Lancer_la_requête_à_partir_de_Excel_Files102567[Total Régions])</f>
        <v>131311.58000000002</v>
      </c>
      <c r="N43" s="91">
        <f>SUMIF(Tableau_Lancer_la_requête_à_partir_de_Excel_Files102567[Avis Cofimac],"2-Favorable sous réserve",Tableau_Lancer_la_requête_à_partir_de_Excel_Files102567[Total Régions])</f>
        <v>45022</v>
      </c>
    </row>
    <row r="44" spans="4:14" hidden="1" x14ac:dyDescent="0.25">
      <c r="D44" s="91" t="s">
        <v>59</v>
      </c>
      <c r="E44" s="91">
        <f t="shared" si="0"/>
        <v>35022</v>
      </c>
      <c r="F44" s="91">
        <f t="shared" si="1"/>
        <v>35022</v>
      </c>
      <c r="H44" s="91">
        <f>SUMIF(Tableau_Lancer_la_requête_à_partir_de_Excel_Files102567[Avis Prog],"1-Favorable",Tableau_Lancer_la_requête_à_partir_de_Excel_Files102567[''ALPC''])</f>
        <v>35022</v>
      </c>
      <c r="I44" s="91">
        <f>SUMIF(Tableau_Lancer_la_requête_à_partir_de_Excel_Files102567[Avis Prog],"2-Favorable sous réserve",Tableau_Lancer_la_requête_à_partir_de_Excel_Files102567[''ALPC''])</f>
        <v>0</v>
      </c>
      <c r="K44" s="91">
        <f>SUMIF(Tableau_Lancer_la_requête_à_partir_de_Excel_Files102567[Avis Cofimac],"1-Favorable",Tableau_Lancer_la_requête_à_partir_de_Excel_Files102567[''ALPC''])</f>
        <v>0</v>
      </c>
      <c r="N44" s="91">
        <f>SUMIF(Tableau_Lancer_la_requête_à_partir_de_Excel_Files102567[Avis Cofimac],"2-Favorable sous réserve",Tableau_Lancer_la_requête_à_partir_de_Excel_Files102567[''ALPC''])</f>
        <v>35022</v>
      </c>
    </row>
    <row r="45" spans="4:14" hidden="1" x14ac:dyDescent="0.25">
      <c r="D45" s="91" t="s">
        <v>60</v>
      </c>
      <c r="E45" s="91">
        <f t="shared" si="0"/>
        <v>89869.58</v>
      </c>
      <c r="F45" s="91">
        <f t="shared" si="1"/>
        <v>89869.58</v>
      </c>
      <c r="H45" s="91">
        <f>SUMIF(Tableau_Lancer_la_requête_à_partir_de_Excel_Files102567[Avis Prog],"1-Favorable",Tableau_Lancer_la_requête_à_partir_de_Excel_Files102567[''AURA''])</f>
        <v>89869.58</v>
      </c>
      <c r="I45" s="91">
        <f>SUMIF(Tableau_Lancer_la_requête_à_partir_de_Excel_Files102567[Avis Prog],"2-Favorable sous réserve",Tableau_Lancer_la_requête_à_partir_de_Excel_Files102567[''AURA''])</f>
        <v>0</v>
      </c>
      <c r="K45" s="91">
        <f>SUMIF(Tableau_Lancer_la_requête_à_partir_de_Excel_Files102567[Avis Cofimac],"1-Favorable",Tableau_Lancer_la_requête_à_partir_de_Excel_Files102567[''AURA''])</f>
        <v>79869.58</v>
      </c>
      <c r="N45" s="91">
        <f>SUMIF(Tableau_Lancer_la_requête_à_partir_de_Excel_Files102567[Avis Cofimac],"2-Favorable sous réserve",Tableau_Lancer_la_requête_à_partir_de_Excel_Files102567[''AURA''])</f>
        <v>10000</v>
      </c>
    </row>
    <row r="46" spans="4:14" hidden="1" x14ac:dyDescent="0.25">
      <c r="D46" s="91" t="s">
        <v>61</v>
      </c>
      <c r="E46" s="91">
        <f t="shared" si="0"/>
        <v>0</v>
      </c>
      <c r="F46" s="91">
        <f t="shared" si="1"/>
        <v>0</v>
      </c>
      <c r="H46" s="91">
        <f>SUMIF(Tableau_Lancer_la_requête_à_partir_de_Excel_Files102567[Avis Prog],"1-Favorable",Tableau_Lancer_la_requête_à_partir_de_Excel_Files102567[''BFC''])</f>
        <v>0</v>
      </c>
      <c r="I46" s="91">
        <f>SUMIF(Tableau_Lancer_la_requête_à_partir_de_Excel_Files102567[Avis Prog],"2-Favorable sous réserve",Tableau_Lancer_la_requête_à_partir_de_Excel_Files102567[''BFC''])</f>
        <v>0</v>
      </c>
      <c r="K46" s="91">
        <f>SUMIF(Tableau_Lancer_la_requête_à_partir_de_Excel_Files102567[Avis Cofimac],"1-Favorable",Tableau_Lancer_la_requête_à_partir_de_Excel_Files102567[''BFC''])</f>
        <v>0</v>
      </c>
      <c r="N46" s="91">
        <f>SUMIF(Tableau_Lancer_la_requête_à_partir_de_Excel_Files102567[Avis Cofimac],"2-Favorable sous réserve",Tableau_Lancer_la_requête_à_partir_de_Excel_Files102567[''BFC''])</f>
        <v>0</v>
      </c>
    </row>
    <row r="47" spans="4:14" hidden="1" x14ac:dyDescent="0.25">
      <c r="D47" s="91" t="s">
        <v>62</v>
      </c>
      <c r="E47" s="91">
        <f t="shared" si="0"/>
        <v>51442</v>
      </c>
      <c r="F47" s="91">
        <f t="shared" si="1"/>
        <v>51442</v>
      </c>
      <c r="H47" s="91">
        <f>SUMIF(Tableau_Lancer_la_requête_à_partir_de_Excel_Files102567[Avis Prog],"1-Favorable",Tableau_Lancer_la_requête_à_partir_de_Excel_Files102567[''LRMP''])</f>
        <v>51442</v>
      </c>
      <c r="I47" s="91">
        <f>SUMIF(Tableau_Lancer_la_requête_à_partir_de_Excel_Files102567[Avis Prog],"2-Favorable sous réserve",Tableau_Lancer_la_requête_à_partir_de_Excel_Files102567[''LRMP''])</f>
        <v>0</v>
      </c>
      <c r="K47" s="91">
        <f>SUMIF(Tableau_Lancer_la_requête_à_partir_de_Excel_Files102567[Avis Cofimac],"1-Favorable",Tableau_Lancer_la_requête_à_partir_de_Excel_Files102567[''LRMP''])</f>
        <v>51442</v>
      </c>
      <c r="N47" s="91">
        <f>SUMIF(Tableau_Lancer_la_requête_à_partir_de_Excel_Files102567[Avis Cofimac],"2-Favorable sous réserve",Tableau_Lancer_la_requête_à_partir_de_Excel_Files102567[''LRMP''])</f>
        <v>0</v>
      </c>
    </row>
    <row r="48" spans="4:14" hidden="1" x14ac:dyDescent="0.25">
      <c r="D48" s="91" t="s">
        <v>48</v>
      </c>
      <c r="E48" s="91">
        <f t="shared" si="0"/>
        <v>11000</v>
      </c>
      <c r="F48" s="91">
        <f t="shared" si="1"/>
        <v>11000</v>
      </c>
      <c r="H48" s="91">
        <f>SUMIF(Tableau_Lancer_la_requête_à_partir_de_Excel_Files102567[Avis Prog],"1-Favorable",Tableau_Lancer_la_requête_à_partir_de_Excel_Files102567[Total Dpts])</f>
        <v>11000</v>
      </c>
      <c r="I48" s="91">
        <f>SUMIF(Tableau_Lancer_la_requête_à_partir_de_Excel_Files102567[Avis Prog],"2-Favorable sous réserve",Tableau_Lancer_la_requête_à_partir_de_Excel_Files102567[Total Dpts])</f>
        <v>0</v>
      </c>
      <c r="K48" s="91">
        <f>SUMIF(Tableau_Lancer_la_requête_à_partir_de_Excel_Files102567[Avis Cofimac],"1-Favorable",Tableau_Lancer_la_requête_à_partir_de_Excel_Files102567[Total Dpts])</f>
        <v>11000</v>
      </c>
      <c r="N48" s="91">
        <f>SUMIF(Tableau_Lancer_la_requête_à_partir_de_Excel_Files102567[Avis Cofimac],"2-Favorable sous réserve",Tableau_Lancer_la_requête_à_partir_de_Excel_Files102567[Total Dpts])</f>
        <v>0</v>
      </c>
    </row>
    <row r="49" spans="4:14" hidden="1" x14ac:dyDescent="0.25">
      <c r="D49" s="91" t="s">
        <v>22</v>
      </c>
      <c r="E49" s="91">
        <f t="shared" si="0"/>
        <v>0</v>
      </c>
      <c r="F49" s="91">
        <f t="shared" si="1"/>
        <v>0</v>
      </c>
      <c r="H49" s="91">
        <f>SUMIF(Tableau_Lancer_la_requête_à_partir_de_Excel_Files102567[Avis Prog],"1-Favorable",Tableau_Lancer_la_requête_à_partir_de_Excel_Files102567[''03''])</f>
        <v>0</v>
      </c>
      <c r="I49" s="91">
        <f>SUMIF(Tableau_Lancer_la_requête_à_partir_de_Excel_Files102567[Avis Prog],"2-Favorable sous réserve",Tableau_Lancer_la_requête_à_partir_de_Excel_Files102567[''03''])</f>
        <v>0</v>
      </c>
      <c r="K49" s="91">
        <f>SUMIF(Tableau_Lancer_la_requête_à_partir_de_Excel_Files102567[Avis Cofimac],"1-Favorable",Tableau_Lancer_la_requête_à_partir_de_Excel_Files102567[''03''])</f>
        <v>0</v>
      </c>
      <c r="N49" s="91">
        <f>SUMIF(Tableau_Lancer_la_requête_à_partir_de_Excel_Files102567[Avis Cofimac],"2-Favorable sous réserve",Tableau_Lancer_la_requête_à_partir_de_Excel_Files102567[''03''])</f>
        <v>0</v>
      </c>
    </row>
    <row r="50" spans="4:14" hidden="1" x14ac:dyDescent="0.25">
      <c r="D50" s="91" t="s">
        <v>23</v>
      </c>
      <c r="E50" s="91">
        <f t="shared" si="0"/>
        <v>0</v>
      </c>
      <c r="F50" s="91">
        <f t="shared" si="1"/>
        <v>0</v>
      </c>
      <c r="H50" s="91">
        <f>SUMIF(Tableau_Lancer_la_requête_à_partir_de_Excel_Files102567[Avis Prog],"1-Favorable",Tableau_Lancer_la_requête_à_partir_de_Excel_Files102567[''07''])</f>
        <v>0</v>
      </c>
      <c r="I50" s="91">
        <f>SUMIF(Tableau_Lancer_la_requête_à_partir_de_Excel_Files102567[Avis Prog],"2-Favorable sous réserve",Tableau_Lancer_la_requête_à_partir_de_Excel_Files102567[''07''])</f>
        <v>0</v>
      </c>
      <c r="K50" s="91">
        <f>SUMIF(Tableau_Lancer_la_requête_à_partir_de_Excel_Files102567[Avis Cofimac],"1-Favorable",Tableau_Lancer_la_requête_à_partir_de_Excel_Files102567[''07''])</f>
        <v>0</v>
      </c>
      <c r="N50" s="91">
        <f>SUMIF(Tableau_Lancer_la_requête_à_partir_de_Excel_Files102567[Avis Cofimac],"2-Favorable sous réserve",Tableau_Lancer_la_requête_à_partir_de_Excel_Files102567[''07''])</f>
        <v>0</v>
      </c>
    </row>
    <row r="51" spans="4:14" hidden="1" x14ac:dyDescent="0.25">
      <c r="D51" s="91" t="s">
        <v>24</v>
      </c>
      <c r="E51" s="91">
        <f t="shared" si="0"/>
        <v>0</v>
      </c>
      <c r="F51" s="91">
        <f t="shared" si="1"/>
        <v>0</v>
      </c>
      <c r="H51" s="91">
        <f>SUMIF(Tableau_Lancer_la_requête_à_partir_de_Excel_Files102567[Avis Prog],"1-Favorable",Tableau_Lancer_la_requête_à_partir_de_Excel_Files102567[''11''])</f>
        <v>0</v>
      </c>
      <c r="I51" s="91">
        <f>SUMIF(Tableau_Lancer_la_requête_à_partir_de_Excel_Files102567[Avis Prog],"2-Favorable sous réserve",Tableau_Lancer_la_requête_à_partir_de_Excel_Files102567[''11''])</f>
        <v>0</v>
      </c>
      <c r="K51" s="91">
        <f>SUMIF(Tableau_Lancer_la_requête_à_partir_de_Excel_Files102567[Avis Cofimac],"1-Favorable",Tableau_Lancer_la_requête_à_partir_de_Excel_Files102567[''11''])</f>
        <v>0</v>
      </c>
      <c r="N51" s="91">
        <f>SUMIF(Tableau_Lancer_la_requête_à_partir_de_Excel_Files102567[Avis Cofimac],"2-Favorable sous réserve",Tableau_Lancer_la_requête_à_partir_de_Excel_Files102567[''11''])</f>
        <v>0</v>
      </c>
    </row>
    <row r="52" spans="4:14" hidden="1" x14ac:dyDescent="0.25">
      <c r="D52" s="91" t="s">
        <v>25</v>
      </c>
      <c r="E52" s="91">
        <f t="shared" si="0"/>
        <v>5000</v>
      </c>
      <c r="F52" s="91">
        <f t="shared" si="1"/>
        <v>5000</v>
      </c>
      <c r="H52" s="91">
        <f>SUMIF(Tableau_Lancer_la_requête_à_partir_de_Excel_Files102567[Avis Prog],"1-Favorable",Tableau_Lancer_la_requête_à_partir_de_Excel_Files102567[''12''])</f>
        <v>5000</v>
      </c>
      <c r="I52" s="91">
        <f>SUMIF(Tableau_Lancer_la_requête_à_partir_de_Excel_Files102567[Avis Prog],"2-Favorable sous réserve",Tableau_Lancer_la_requête_à_partir_de_Excel_Files102567[''12''])</f>
        <v>0</v>
      </c>
      <c r="K52" s="91">
        <f>SUMIF(Tableau_Lancer_la_requête_à_partir_de_Excel_Files102567[Avis Cofimac],"1-Favorable",Tableau_Lancer_la_requête_à_partir_de_Excel_Files102567[''12''])</f>
        <v>5000</v>
      </c>
      <c r="N52" s="91">
        <f>SUMIF(Tableau_Lancer_la_requête_à_partir_de_Excel_Files102567[Avis Cofimac],"2-Favorable sous réserve",Tableau_Lancer_la_requête_à_partir_de_Excel_Files102567[''12''])</f>
        <v>0</v>
      </c>
    </row>
    <row r="53" spans="4:14" hidden="1" x14ac:dyDescent="0.25">
      <c r="D53" s="91" t="s">
        <v>26</v>
      </c>
      <c r="E53" s="91">
        <f t="shared" si="0"/>
        <v>0</v>
      </c>
      <c r="F53" s="91">
        <f t="shared" si="1"/>
        <v>0</v>
      </c>
      <c r="H53" s="91">
        <f>SUMIF(Tableau_Lancer_la_requête_à_partir_de_Excel_Files102567[Avis Prog],"1-Favorable",Tableau_Lancer_la_requête_à_partir_de_Excel_Files102567[''15''])</f>
        <v>0</v>
      </c>
      <c r="I53" s="91">
        <f>SUMIF(Tableau_Lancer_la_requête_à_partir_de_Excel_Files102567[Avis Prog],"2-Favorable sous réserve",Tableau_Lancer_la_requête_à_partir_de_Excel_Files102567[''15''])</f>
        <v>0</v>
      </c>
      <c r="K53" s="91">
        <f>SUMIF(Tableau_Lancer_la_requête_à_partir_de_Excel_Files102567[Avis Cofimac],"1-Favorable",Tableau_Lancer_la_requête_à_partir_de_Excel_Files102567[''15''])</f>
        <v>0</v>
      </c>
      <c r="N53" s="91">
        <f>SUMIF(Tableau_Lancer_la_requête_à_partir_de_Excel_Files102567[Avis Cofimac],"2-Favorable sous réserve",Tableau_Lancer_la_requête_à_partir_de_Excel_Files102567[''15''])</f>
        <v>0</v>
      </c>
    </row>
    <row r="54" spans="4:14" hidden="1" x14ac:dyDescent="0.25">
      <c r="D54" s="91" t="s">
        <v>27</v>
      </c>
      <c r="E54" s="91">
        <f t="shared" si="0"/>
        <v>0</v>
      </c>
      <c r="F54" s="91">
        <f t="shared" si="1"/>
        <v>0</v>
      </c>
      <c r="H54" s="91">
        <f>SUMIF(Tableau_Lancer_la_requête_à_partir_de_Excel_Files102567[Avis Prog],"1-Favorable",Tableau_Lancer_la_requête_à_partir_de_Excel_Files102567[''19''])</f>
        <v>0</v>
      </c>
      <c r="I54" s="91">
        <f>SUMIF(Tableau_Lancer_la_requête_à_partir_de_Excel_Files102567[Avis Prog],"2-Favorable sous réserve",Tableau_Lancer_la_requête_à_partir_de_Excel_Files102567[''19''])</f>
        <v>0</v>
      </c>
      <c r="K54" s="91">
        <f>SUMIF(Tableau_Lancer_la_requête_à_partir_de_Excel_Files102567[Avis Cofimac],"1-Favorable",Tableau_Lancer_la_requête_à_partir_de_Excel_Files102567[''19''])</f>
        <v>0</v>
      </c>
      <c r="N54" s="91">
        <f>SUMIF(Tableau_Lancer_la_requête_à_partir_de_Excel_Files102567[Avis Cofimac],"2-Favorable sous réserve",Tableau_Lancer_la_requête_à_partir_de_Excel_Files102567[''19''])</f>
        <v>0</v>
      </c>
    </row>
    <row r="55" spans="4:14" hidden="1" x14ac:dyDescent="0.25">
      <c r="D55" s="91" t="s">
        <v>28</v>
      </c>
      <c r="E55" s="91">
        <f t="shared" si="0"/>
        <v>0</v>
      </c>
      <c r="F55" s="91">
        <f t="shared" si="1"/>
        <v>0</v>
      </c>
      <c r="H55" s="91">
        <f>SUMIF(Tableau_Lancer_la_requête_à_partir_de_Excel_Files102567[Avis Prog],"1-Favorable",Tableau_Lancer_la_requête_à_partir_de_Excel_Files102567[''21''])</f>
        <v>0</v>
      </c>
      <c r="I55" s="91">
        <f>SUMIF(Tableau_Lancer_la_requête_à_partir_de_Excel_Files102567[Avis Prog],"2-Favorable sous réserve",Tableau_Lancer_la_requête_à_partir_de_Excel_Files102567[''21''])</f>
        <v>0</v>
      </c>
      <c r="K55" s="91">
        <f>SUMIF(Tableau_Lancer_la_requête_à_partir_de_Excel_Files102567[Avis Cofimac],"1-Favorable",Tableau_Lancer_la_requête_à_partir_de_Excel_Files102567[''21''])</f>
        <v>0</v>
      </c>
      <c r="N55" s="91">
        <f>SUMIF(Tableau_Lancer_la_requête_à_partir_de_Excel_Files102567[Avis Cofimac],"2-Favorable sous réserve",Tableau_Lancer_la_requête_à_partir_de_Excel_Files102567[''21''])</f>
        <v>0</v>
      </c>
    </row>
    <row r="56" spans="4:14" hidden="1" x14ac:dyDescent="0.25">
      <c r="D56" s="91" t="s">
        <v>29</v>
      </c>
      <c r="E56" s="91">
        <f t="shared" si="0"/>
        <v>0</v>
      </c>
      <c r="F56" s="91">
        <f t="shared" si="1"/>
        <v>0</v>
      </c>
      <c r="H56" s="91">
        <f>SUMIF(Tableau_Lancer_la_requête_à_partir_de_Excel_Files102567[Avis Prog],"1-Favorable",Tableau_Lancer_la_requête_à_partir_de_Excel_Files102567[''23''])</f>
        <v>0</v>
      </c>
      <c r="I56" s="91">
        <f>SUMIF(Tableau_Lancer_la_requête_à_partir_de_Excel_Files102567[Avis Prog],"2-Favorable sous réserve",Tableau_Lancer_la_requête_à_partir_de_Excel_Files102567[''23''])</f>
        <v>0</v>
      </c>
      <c r="K56" s="91">
        <f>SUMIF(Tableau_Lancer_la_requête_à_partir_de_Excel_Files102567[Avis Cofimac],"1-Favorable",Tableau_Lancer_la_requête_à_partir_de_Excel_Files102567[''23''])</f>
        <v>0</v>
      </c>
      <c r="N56" s="91">
        <f>SUMIF(Tableau_Lancer_la_requête_à_partir_de_Excel_Files102567[Avis Cofimac],"2-Favorable sous réserve",Tableau_Lancer_la_requête_à_partir_de_Excel_Files102567[''23''])</f>
        <v>0</v>
      </c>
    </row>
    <row r="57" spans="4:14" hidden="1" x14ac:dyDescent="0.25">
      <c r="D57" s="91" t="s">
        <v>30</v>
      </c>
      <c r="E57" s="91">
        <f t="shared" si="0"/>
        <v>0</v>
      </c>
      <c r="F57" s="91">
        <f t="shared" si="1"/>
        <v>0</v>
      </c>
      <c r="H57" s="91">
        <f>SUMIF(Tableau_Lancer_la_requête_à_partir_de_Excel_Files102567[Avis Prog],"1-Favorable",Tableau_Lancer_la_requête_à_partir_de_Excel_Files102567[''30''])</f>
        <v>0</v>
      </c>
      <c r="I57" s="91">
        <f>SUMIF(Tableau_Lancer_la_requête_à_partir_de_Excel_Files102567[Avis Prog],"2-Favorable sous réserve",Tableau_Lancer_la_requête_à_partir_de_Excel_Files102567[''30''])</f>
        <v>0</v>
      </c>
      <c r="K57" s="91">
        <f>SUMIF(Tableau_Lancer_la_requête_à_partir_de_Excel_Files102567[Avis Cofimac],"1-Favorable",Tableau_Lancer_la_requête_à_partir_de_Excel_Files102567[''30''])</f>
        <v>0</v>
      </c>
      <c r="N57" s="91">
        <f>SUMIF(Tableau_Lancer_la_requête_à_partir_de_Excel_Files102567[Avis Cofimac],"2-Favorable sous réserve",Tableau_Lancer_la_requête_à_partir_de_Excel_Files102567[''30''])</f>
        <v>0</v>
      </c>
    </row>
    <row r="58" spans="4:14" hidden="1" x14ac:dyDescent="0.25">
      <c r="D58" s="91" t="s">
        <v>31</v>
      </c>
      <c r="E58" s="91">
        <f t="shared" si="0"/>
        <v>0</v>
      </c>
      <c r="F58" s="91">
        <f t="shared" si="1"/>
        <v>0</v>
      </c>
      <c r="H58" s="91">
        <f>SUMIF(Tableau_Lancer_la_requête_à_partir_de_Excel_Files102567[Avis Prog],"1-Favorable",Tableau_Lancer_la_requête_à_partir_de_Excel_Files102567[''34''])</f>
        <v>0</v>
      </c>
      <c r="I58" s="91">
        <f>SUMIF(Tableau_Lancer_la_requête_à_partir_de_Excel_Files102567[Avis Prog],"2-Favorable sous réserve",Tableau_Lancer_la_requête_à_partir_de_Excel_Files102567[''34''])</f>
        <v>0</v>
      </c>
      <c r="K58" s="91">
        <f>SUMIF(Tableau_Lancer_la_requête_à_partir_de_Excel_Files102567[Avis Cofimac],"1-Favorable",Tableau_Lancer_la_requête_à_partir_de_Excel_Files102567[''34''])</f>
        <v>0</v>
      </c>
      <c r="N58" s="91">
        <f>SUMIF(Tableau_Lancer_la_requête_à_partir_de_Excel_Files102567[Avis Cofimac],"2-Favorable sous réserve",Tableau_Lancer_la_requête_à_partir_de_Excel_Files102567[''34''])</f>
        <v>0</v>
      </c>
    </row>
    <row r="59" spans="4:14" hidden="1" x14ac:dyDescent="0.25">
      <c r="D59" s="91" t="s">
        <v>32</v>
      </c>
      <c r="E59" s="91">
        <f t="shared" si="0"/>
        <v>0</v>
      </c>
      <c r="F59" s="91">
        <f t="shared" si="1"/>
        <v>0</v>
      </c>
      <c r="H59" s="91">
        <f>SUMIF(Tableau_Lancer_la_requête_à_partir_de_Excel_Files102567[Avis Prog],"1-Favorable",Tableau_Lancer_la_requête_à_partir_de_Excel_Files102567[''42''])</f>
        <v>0</v>
      </c>
      <c r="I59" s="91">
        <f>SUMIF(Tableau_Lancer_la_requête_à_partir_de_Excel_Files102567[Avis Prog],"2-Favorable sous réserve",Tableau_Lancer_la_requête_à_partir_de_Excel_Files102567[''42''])</f>
        <v>0</v>
      </c>
      <c r="K59" s="91">
        <f>SUMIF(Tableau_Lancer_la_requête_à_partir_de_Excel_Files102567[Avis Cofimac],"1-Favorable",Tableau_Lancer_la_requête_à_partir_de_Excel_Files102567[''42''])</f>
        <v>0</v>
      </c>
      <c r="N59" s="91">
        <f>SUMIF(Tableau_Lancer_la_requête_à_partir_de_Excel_Files102567[Avis Cofimac],"2-Favorable sous réserve",Tableau_Lancer_la_requête_à_partir_de_Excel_Files102567[''42''])</f>
        <v>0</v>
      </c>
    </row>
    <row r="60" spans="4:14" hidden="1" x14ac:dyDescent="0.25">
      <c r="D60" s="91" t="s">
        <v>33</v>
      </c>
      <c r="E60" s="91">
        <f t="shared" si="0"/>
        <v>6000</v>
      </c>
      <c r="F60" s="91">
        <f t="shared" si="1"/>
        <v>6000</v>
      </c>
      <c r="H60" s="91">
        <f>SUMIF(Tableau_Lancer_la_requête_à_partir_de_Excel_Files102567[Avis Prog],"1-Favorable",Tableau_Lancer_la_requête_à_partir_de_Excel_Files102567[''43''])</f>
        <v>6000</v>
      </c>
      <c r="I60" s="91">
        <f>SUMIF(Tableau_Lancer_la_requête_à_partir_de_Excel_Files102567[Avis Prog],"2-Favorable sous réserve",Tableau_Lancer_la_requête_à_partir_de_Excel_Files102567[''43''])</f>
        <v>0</v>
      </c>
      <c r="K60" s="91">
        <f>SUMIF(Tableau_Lancer_la_requête_à_partir_de_Excel_Files102567[Avis Cofimac],"1-Favorable",Tableau_Lancer_la_requête_à_partir_de_Excel_Files102567[''43''])</f>
        <v>6000</v>
      </c>
      <c r="N60" s="91">
        <f>SUMIF(Tableau_Lancer_la_requête_à_partir_de_Excel_Files102567[Avis Cofimac],"2-Favorable sous réserve",Tableau_Lancer_la_requête_à_partir_de_Excel_Files102567[''43''])</f>
        <v>0</v>
      </c>
    </row>
    <row r="61" spans="4:14" hidden="1" x14ac:dyDescent="0.25">
      <c r="D61" s="91" t="s">
        <v>34</v>
      </c>
      <c r="E61" s="91">
        <f t="shared" si="0"/>
        <v>0</v>
      </c>
      <c r="F61" s="91">
        <f t="shared" si="1"/>
        <v>0</v>
      </c>
      <c r="H61" s="91">
        <f>SUMIF(Tableau_Lancer_la_requête_à_partir_de_Excel_Files102567[Avis Prog],"1-Favorable",Tableau_Lancer_la_requête_à_partir_de_Excel_Files102567[''46''])</f>
        <v>0</v>
      </c>
      <c r="I61" s="91">
        <f>SUMIF(Tableau_Lancer_la_requête_à_partir_de_Excel_Files102567[Avis Prog],"2-Favorable sous réserve",Tableau_Lancer_la_requête_à_partir_de_Excel_Files102567[''46''])</f>
        <v>0</v>
      </c>
      <c r="K61" s="91">
        <f>SUMIF(Tableau_Lancer_la_requête_à_partir_de_Excel_Files102567[Avis Cofimac],"1-Favorable",Tableau_Lancer_la_requête_à_partir_de_Excel_Files102567[''46''])</f>
        <v>0</v>
      </c>
      <c r="N61" s="91">
        <f>SUMIF(Tableau_Lancer_la_requête_à_partir_de_Excel_Files102567[Avis Cofimac],"2-Favorable sous réserve",Tableau_Lancer_la_requête_à_partir_de_Excel_Files102567[''46''])</f>
        <v>0</v>
      </c>
    </row>
    <row r="62" spans="4:14" hidden="1" x14ac:dyDescent="0.25">
      <c r="D62" s="91" t="s">
        <v>35</v>
      </c>
      <c r="E62" s="91">
        <f t="shared" si="0"/>
        <v>0</v>
      </c>
      <c r="F62" s="91">
        <f t="shared" si="1"/>
        <v>0</v>
      </c>
      <c r="H62" s="91">
        <f>SUMIF(Tableau_Lancer_la_requête_à_partir_de_Excel_Files102567[Avis Prog],"1-Favorable",Tableau_Lancer_la_requête_à_partir_de_Excel_Files102567[''48''])</f>
        <v>0</v>
      </c>
      <c r="I62" s="91">
        <f>SUMIF(Tableau_Lancer_la_requête_à_partir_de_Excel_Files102567[Avis Prog],"2-Favorable sous réserve",Tableau_Lancer_la_requête_à_partir_de_Excel_Files102567[''48''])</f>
        <v>0</v>
      </c>
      <c r="K62" s="91">
        <f>SUMIF(Tableau_Lancer_la_requête_à_partir_de_Excel_Files102567[Avis Cofimac],"1-Favorable",Tableau_Lancer_la_requête_à_partir_de_Excel_Files102567[''48''])</f>
        <v>0</v>
      </c>
      <c r="N62" s="91">
        <f>SUMIF(Tableau_Lancer_la_requête_à_partir_de_Excel_Files102567[Avis Cofimac],"2-Favorable sous réserve",Tableau_Lancer_la_requête_à_partir_de_Excel_Files102567[''48''])</f>
        <v>0</v>
      </c>
    </row>
    <row r="63" spans="4:14" hidden="1" x14ac:dyDescent="0.25">
      <c r="D63" s="91" t="s">
        <v>36</v>
      </c>
      <c r="E63" s="91">
        <f t="shared" si="0"/>
        <v>0</v>
      </c>
      <c r="F63" s="91">
        <f t="shared" si="1"/>
        <v>0</v>
      </c>
      <c r="H63" s="91">
        <f>SUMIF(Tableau_Lancer_la_requête_à_partir_de_Excel_Files102567[Avis Prog],"1-Favorable",Tableau_Lancer_la_requête_à_partir_de_Excel_Files102567[''58''])</f>
        <v>0</v>
      </c>
      <c r="I63" s="91">
        <f>SUMIF(Tableau_Lancer_la_requête_à_partir_de_Excel_Files102567[Avis Prog],"2-Favorable sous réserve",Tableau_Lancer_la_requête_à_partir_de_Excel_Files102567[''58''])</f>
        <v>0</v>
      </c>
      <c r="K63" s="91">
        <f>SUMIF(Tableau_Lancer_la_requête_à_partir_de_Excel_Files102567[Avis Cofimac],"1-Favorable",Tableau_Lancer_la_requête_à_partir_de_Excel_Files102567[''58''])</f>
        <v>0</v>
      </c>
      <c r="N63" s="91">
        <f>SUMIF(Tableau_Lancer_la_requête_à_partir_de_Excel_Files102567[Avis Cofimac],"2-Favorable sous réserve",Tableau_Lancer_la_requête_à_partir_de_Excel_Files102567[''58''])</f>
        <v>0</v>
      </c>
    </row>
    <row r="64" spans="4:14" hidden="1" x14ac:dyDescent="0.25">
      <c r="D64" s="91" t="s">
        <v>37</v>
      </c>
      <c r="E64" s="91">
        <f t="shared" si="0"/>
        <v>0</v>
      </c>
      <c r="F64" s="91">
        <f t="shared" si="1"/>
        <v>0</v>
      </c>
      <c r="H64" s="91">
        <f>SUMIF(Tableau_Lancer_la_requête_à_partir_de_Excel_Files102567[Avis Prog],"1-Favorable",Tableau_Lancer_la_requête_à_partir_de_Excel_Files102567[''63''])</f>
        <v>0</v>
      </c>
      <c r="I64" s="91">
        <f>SUMIF(Tableau_Lancer_la_requête_à_partir_de_Excel_Files102567[Avis Prog],"2-Favorable sous réserve",Tableau_Lancer_la_requête_à_partir_de_Excel_Files102567[''63''])</f>
        <v>0</v>
      </c>
      <c r="K64" s="91">
        <f>SUMIF(Tableau_Lancer_la_requête_à_partir_de_Excel_Files102567[Avis Cofimac],"1-Favorable",Tableau_Lancer_la_requête_à_partir_de_Excel_Files102567[''63''])</f>
        <v>0</v>
      </c>
      <c r="N64" s="91">
        <f>SUMIF(Tableau_Lancer_la_requête_à_partir_de_Excel_Files102567[Avis Cofimac],"2-Favorable sous réserve",Tableau_Lancer_la_requête_à_partir_de_Excel_Files102567[''63''])</f>
        <v>0</v>
      </c>
    </row>
    <row r="65" spans="4:14" hidden="1" x14ac:dyDescent="0.25">
      <c r="D65" s="91" t="s">
        <v>38</v>
      </c>
      <c r="E65" s="91">
        <f t="shared" si="0"/>
        <v>0</v>
      </c>
      <c r="F65" s="91">
        <f t="shared" si="1"/>
        <v>0</v>
      </c>
      <c r="H65" s="91">
        <f>SUMIF(Tableau_Lancer_la_requête_à_partir_de_Excel_Files102567[Avis Prog],"1-Favorable",Tableau_Lancer_la_requête_à_partir_de_Excel_Files102567[''69''])</f>
        <v>0</v>
      </c>
      <c r="I65" s="91">
        <f>SUMIF(Tableau_Lancer_la_requête_à_partir_de_Excel_Files102567[Avis Prog],"2-Favorable sous réserve",Tableau_Lancer_la_requête_à_partir_de_Excel_Files102567[''69''])</f>
        <v>0</v>
      </c>
      <c r="K65" s="91">
        <f>SUMIF(Tableau_Lancer_la_requête_à_partir_de_Excel_Files102567[Avis Cofimac],"1-Favorable",Tableau_Lancer_la_requête_à_partir_de_Excel_Files102567[''69''])</f>
        <v>0</v>
      </c>
      <c r="N65" s="91">
        <f>SUMIF(Tableau_Lancer_la_requête_à_partir_de_Excel_Files102567[Avis Cofimac],"2-Favorable sous réserve",Tableau_Lancer_la_requête_à_partir_de_Excel_Files102567[''69''])</f>
        <v>0</v>
      </c>
    </row>
    <row r="66" spans="4:14" hidden="1" x14ac:dyDescent="0.25">
      <c r="D66" s="91" t="s">
        <v>39</v>
      </c>
      <c r="E66" s="91">
        <f t="shared" si="0"/>
        <v>0</v>
      </c>
      <c r="F66" s="91">
        <f t="shared" si="1"/>
        <v>0</v>
      </c>
      <c r="H66" s="91">
        <f>SUMIF(Tableau_Lancer_la_requête_à_partir_de_Excel_Files102567[Avis Prog],"1-Favorable",Tableau_Lancer_la_requête_à_partir_de_Excel_Files102567[''71''])</f>
        <v>0</v>
      </c>
      <c r="I66" s="91">
        <f>SUMIF(Tableau_Lancer_la_requête_à_partir_de_Excel_Files102567[Avis Prog],"2-Favorable sous réserve",Tableau_Lancer_la_requête_à_partir_de_Excel_Files102567[''71''])</f>
        <v>0</v>
      </c>
      <c r="K66" s="91">
        <f>SUMIF(Tableau_Lancer_la_requête_à_partir_de_Excel_Files102567[Avis Cofimac],"1-Favorable",Tableau_Lancer_la_requête_à_partir_de_Excel_Files102567[''71''])</f>
        <v>0</v>
      </c>
      <c r="N66" s="91">
        <f>SUMIF(Tableau_Lancer_la_requête_à_partir_de_Excel_Files102567[Avis Cofimac],"2-Favorable sous réserve",Tableau_Lancer_la_requête_à_partir_de_Excel_Files102567[''71''])</f>
        <v>0</v>
      </c>
    </row>
    <row r="67" spans="4:14" hidden="1" x14ac:dyDescent="0.25">
      <c r="D67" s="91" t="s">
        <v>40</v>
      </c>
      <c r="E67" s="91">
        <f t="shared" si="0"/>
        <v>0</v>
      </c>
      <c r="F67" s="91">
        <f t="shared" si="1"/>
        <v>0</v>
      </c>
      <c r="H67" s="91">
        <f>SUMIF(Tableau_Lancer_la_requête_à_partir_de_Excel_Files102567[Avis Prog],"1-Favorable",Tableau_Lancer_la_requête_à_partir_de_Excel_Files102567[''81''])</f>
        <v>0</v>
      </c>
      <c r="I67" s="91">
        <f>SUMIF(Tableau_Lancer_la_requête_à_partir_de_Excel_Files102567[Avis Prog],"2-Favorable sous réserve",Tableau_Lancer_la_requête_à_partir_de_Excel_Files102567[''81''])</f>
        <v>0</v>
      </c>
      <c r="K67" s="91">
        <f>SUMIF(Tableau_Lancer_la_requête_à_partir_de_Excel_Files102567[Avis Cofimac],"1-Favorable",Tableau_Lancer_la_requête_à_partir_de_Excel_Files102567[''81''])</f>
        <v>0</v>
      </c>
      <c r="N67" s="91">
        <f>SUMIF(Tableau_Lancer_la_requête_à_partir_de_Excel_Files102567[Avis Cofimac],"2-Favorable sous réserve",Tableau_Lancer_la_requête_à_partir_de_Excel_Files102567[''81''])</f>
        <v>0</v>
      </c>
    </row>
    <row r="68" spans="4:14" hidden="1" x14ac:dyDescent="0.25">
      <c r="D68" s="91" t="s">
        <v>41</v>
      </c>
      <c r="E68" s="91">
        <f t="shared" si="0"/>
        <v>0</v>
      </c>
      <c r="F68" s="91">
        <f t="shared" si="1"/>
        <v>0</v>
      </c>
      <c r="H68" s="91">
        <f>SUMIF(Tableau_Lancer_la_requête_à_partir_de_Excel_Files102567[Avis Prog],"1-Favorable",Tableau_Lancer_la_requête_à_partir_de_Excel_Files102567[''82''])</f>
        <v>0</v>
      </c>
      <c r="I68" s="91">
        <f>SUMIF(Tableau_Lancer_la_requête_à_partir_de_Excel_Files102567[Avis Prog],"2-Favorable sous réserve",Tableau_Lancer_la_requête_à_partir_de_Excel_Files102567[''82''])</f>
        <v>0</v>
      </c>
      <c r="K68" s="91">
        <f>SUMIF(Tableau_Lancer_la_requête_à_partir_de_Excel_Files102567[Avis Cofimac],"1-Favorable",Tableau_Lancer_la_requête_à_partir_de_Excel_Files102567[''82''])</f>
        <v>0</v>
      </c>
      <c r="N68" s="91">
        <f>SUMIF(Tableau_Lancer_la_requête_à_partir_de_Excel_Files102567[Avis Cofimac],"2-Favorable sous réserve",Tableau_Lancer_la_requête_à_partir_de_Excel_Files102567[''82''])</f>
        <v>0</v>
      </c>
    </row>
    <row r="69" spans="4:14" hidden="1" x14ac:dyDescent="0.25">
      <c r="D69" s="91" t="s">
        <v>42</v>
      </c>
      <c r="E69" s="91">
        <f t="shared" si="0"/>
        <v>0</v>
      </c>
      <c r="F69" s="91">
        <f t="shared" si="1"/>
        <v>0</v>
      </c>
      <c r="H69" s="91">
        <f>SUMIF(Tableau_Lancer_la_requête_à_partir_de_Excel_Files102567[Avis Prog],"1-Favorable",Tableau_Lancer_la_requête_à_partir_de_Excel_Files102567[''87''])</f>
        <v>0</v>
      </c>
      <c r="I69" s="91">
        <f>SUMIF(Tableau_Lancer_la_requête_à_partir_de_Excel_Files102567[Avis Prog],"2-Favorable sous réserve",Tableau_Lancer_la_requête_à_partir_de_Excel_Files102567[''87''])</f>
        <v>0</v>
      </c>
      <c r="K69" s="91">
        <f>SUMIF(Tableau_Lancer_la_requête_à_partir_de_Excel_Files102567[Avis Cofimac],"1-Favorable",Tableau_Lancer_la_requête_à_partir_de_Excel_Files102567[''87''])</f>
        <v>0</v>
      </c>
      <c r="N69" s="91">
        <f>SUMIF(Tableau_Lancer_la_requête_à_partir_de_Excel_Files102567[Avis Cofimac],"2-Favorable sous réserve",Tableau_Lancer_la_requête_à_partir_de_Excel_Files102567[''87''])</f>
        <v>0</v>
      </c>
    </row>
    <row r="70" spans="4:14" x14ac:dyDescent="0.25">
      <c r="D70" s="91" t="s">
        <v>43</v>
      </c>
      <c r="E70" s="91">
        <f t="shared" si="0"/>
        <v>0</v>
      </c>
      <c r="F70" s="91">
        <f t="shared" si="1"/>
        <v>0</v>
      </c>
      <c r="H70" s="91">
        <f>SUMIF(Tableau_Lancer_la_requête_à_partir_de_Excel_Files102567[Avis Prog],"1-Favorable",Tableau_Lancer_la_requête_à_partir_de_Excel_Files102567[''89''])</f>
        <v>0</v>
      </c>
      <c r="I70" s="91">
        <f>SUMIF(Tableau_Lancer_la_requête_à_partir_de_Excel_Files102567[Avis Prog],"2-Favorable sous réserve",Tableau_Lancer_la_requête_à_partir_de_Excel_Files102567[''89''])</f>
        <v>0</v>
      </c>
      <c r="K70" s="91">
        <f>SUMIF(Tableau_Lancer_la_requête_à_partir_de_Excel_Files102567[Avis Cofimac],"1-Favorable",Tableau_Lancer_la_requête_à_partir_de_Excel_Files102567[''89''])</f>
        <v>0</v>
      </c>
      <c r="N70" s="91">
        <f>SUMIF(Tableau_Lancer_la_requête_à_partir_de_Excel_Files102567[Avis Cofimac],"2-Favorable sous réserve",Tableau_Lancer_la_requête_à_partir_de_Excel_Files102567[''89''])</f>
        <v>0</v>
      </c>
    </row>
  </sheetData>
  <mergeCells count="1">
    <mergeCell ref="A1:B1"/>
  </mergeCells>
  <conditionalFormatting sqref="AQ7:AQ29 AU27:AU29 AU8:AU25 AS7:AS29">
    <cfRule type="cellIs" dxfId="658" priority="6" operator="equal">
      <formula>"2-Favorable sous réserve"</formula>
    </cfRule>
    <cfRule type="cellIs" dxfId="657" priority="19" operator="equal">
      <formula>"6-Retiré/Abandon"</formula>
    </cfRule>
    <cfRule type="cellIs" dxfId="656" priority="20" operator="equal">
      <formula>"5-Défavorable"</formula>
    </cfRule>
    <cfRule type="cellIs" dxfId="655" priority="21" operator="equal">
      <formula>"4-Ajournement"</formula>
    </cfRule>
    <cfRule type="cellIs" dxfId="654" priority="22" operator="equal">
      <formula>"1-Favorable"</formula>
    </cfRule>
  </conditionalFormatting>
  <conditionalFormatting sqref="AU7">
    <cfRule type="cellIs" dxfId="653" priority="1" operator="equal">
      <formula>"2-Favorable sous réserve"</formula>
    </cfRule>
    <cfRule type="cellIs" dxfId="652" priority="2" operator="equal">
      <formula>"6-Retiré/Abandon"</formula>
    </cfRule>
    <cfRule type="cellIs" dxfId="651" priority="3" operator="equal">
      <formula>"5-Défavorable"</formula>
    </cfRule>
    <cfRule type="cellIs" dxfId="650" priority="4" operator="equal">
      <formula>"4-Ajournement"</formula>
    </cfRule>
    <cfRule type="cellIs" dxfId="649" priority="5" operator="equal">
      <formula>"1-Favorable"</formula>
    </cfRule>
  </conditionalFormatting>
  <dataValidations count="2">
    <dataValidation type="list" allowBlank="1" showInputMessage="1" showErrorMessage="1" sqref="AT25">
      <formula1>"1-Favorable,4-Ajournement,5-Défavorable,6-Retiré/Abandon"</formula1>
    </dataValidation>
    <dataValidation type="list" allowBlank="1" showInputMessage="1" showErrorMessage="1" sqref="AS7:AS29">
      <formula1>"1-Favorable,2-Favorable sous réserve,4-Ajournement,5-Défavorable,6-Retiré/Abandon"</formula1>
    </dataValidation>
  </dataValidations>
  <printOptions horizontalCentered="1" verticalCentered="1"/>
  <pageMargins left="0.25" right="0.25" top="0.75" bottom="0.75" header="0.3" footer="0.3"/>
  <pageSetup paperSize="8" scale="49"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95"/>
  <sheetViews>
    <sheetView view="pageBreakPreview" topLeftCell="E1" zoomScale="80" zoomScaleNormal="60" zoomScaleSheetLayoutView="80" workbookViewId="0">
      <selection activeCell="AT53" sqref="AT53"/>
    </sheetView>
  </sheetViews>
  <sheetFormatPr baseColWidth="10" defaultRowHeight="15" outlineLevelCol="1" x14ac:dyDescent="0.25"/>
  <cols>
    <col min="1" max="1" width="13.85546875" style="3" customWidth="1"/>
    <col min="2" max="2" width="35" style="4" customWidth="1"/>
    <col min="3" max="3" width="48" style="5" customWidth="1"/>
    <col min="4" max="4" width="14.85546875" style="3" bestFit="1" customWidth="1"/>
    <col min="5" max="5" width="13.5703125" style="3" bestFit="1"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1.5703125" style="3" bestFit="1" customWidth="1" collapsed="1"/>
    <col min="42" max="43" width="11.5703125" style="3" customWidth="1"/>
    <col min="44" max="44" width="15.42578125" style="3" bestFit="1" customWidth="1"/>
    <col min="45" max="45" width="15.42578125" style="3" hidden="1" customWidth="1"/>
    <col min="46" max="46" width="61.85546875" style="3" customWidth="1"/>
    <col min="47" max="47" width="15.42578125" style="3" bestFit="1" customWidth="1"/>
    <col min="48" max="48" width="17.28515625" style="3" bestFit="1" customWidth="1"/>
    <col min="49" max="49" width="9.42578125" style="3" customWidth="1"/>
    <col min="50" max="64" width="9.7109375" style="3" customWidth="1"/>
    <col min="65" max="65" width="15.140625" style="3" customWidth="1"/>
    <col min="66" max="66" width="14.5703125" style="3" customWidth="1"/>
    <col min="67" max="67" width="18.5703125" style="3" customWidth="1"/>
    <col min="68" max="68" width="12.5703125" style="3" customWidth="1"/>
    <col min="69" max="69" width="20.42578125" style="3" customWidth="1"/>
    <col min="70" max="70" width="12.7109375" style="3" customWidth="1"/>
    <col min="71" max="71" width="9.28515625" style="3" customWidth="1"/>
    <col min="72" max="72" width="14.28515625" style="3" customWidth="1"/>
    <col min="73" max="73" width="11.42578125" style="3" customWidth="1"/>
    <col min="74" max="74" width="9" style="3" customWidth="1"/>
    <col min="75" max="75" width="9.5703125" style="3" customWidth="1"/>
    <col min="76" max="76" width="11" style="3" customWidth="1"/>
    <col min="77" max="77" width="12.7109375" style="3" customWidth="1"/>
    <col min="78" max="80" width="9.7109375" style="3" customWidth="1"/>
    <col min="81" max="81" width="15.140625" style="3" customWidth="1"/>
    <col min="82" max="82" width="17.28515625" style="3" customWidth="1"/>
    <col min="83" max="83" width="49.28515625" style="4" customWidth="1"/>
    <col min="84" max="84" width="17.28515625" style="3" customWidth="1"/>
    <col min="85" max="16384" width="11.42578125" style="3"/>
  </cols>
  <sheetData>
    <row r="1" spans="1:83" ht="18.75" x14ac:dyDescent="0.3">
      <c r="B1" s="21" t="s">
        <v>78</v>
      </c>
      <c r="C1" s="22">
        <v>42663</v>
      </c>
    </row>
    <row r="5" spans="1:83" x14ac:dyDescent="0.25">
      <c r="A5" s="1" t="s">
        <v>74</v>
      </c>
      <c r="B5" s="2"/>
    </row>
    <row r="6" spans="1:83" s="7" customFormat="1" ht="30"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7" t="s">
        <v>249</v>
      </c>
      <c r="AR6" s="17" t="s">
        <v>57</v>
      </c>
      <c r="AT6" s="64" t="s">
        <v>65</v>
      </c>
    </row>
    <row r="7" spans="1:83" s="10" customFormat="1" ht="45" x14ac:dyDescent="0.25">
      <c r="A7" s="13" t="s">
        <v>338</v>
      </c>
      <c r="B7" s="5" t="s">
        <v>140</v>
      </c>
      <c r="C7" s="12" t="s">
        <v>141</v>
      </c>
      <c r="D7" s="15">
        <v>54095.94</v>
      </c>
      <c r="E7" s="15">
        <f>Tableau_Lancer_la_requête_à_partir_de_Excel_Files1025678[[#This Row],[Aide Massif]]+Tableau_Lancer_la_requête_à_partir_de_Excel_Files1025678[[#This Row],[''Autre Public'']]</f>
        <v>30349.38</v>
      </c>
      <c r="F7" s="16">
        <f>Tableau_Lancer_la_requête_à_partir_de_Excel_Files1025678[[#This Row],[Aide 
publique]]/Tableau_Lancer_la_requête_à_partir_de_Excel_Files1025678[[#This Row],[''Coût total éligible'']]</f>
        <v>0.5610287943975093</v>
      </c>
      <c r="G7" s="15">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30349.38</v>
      </c>
      <c r="H7" s="16">
        <f>Tableau_Lancer_la_requête_à_partir_de_Excel_Files1025678[[#This Row],[Aide Massif]]/Tableau_Lancer_la_requête_à_partir_de_Excel_Files1025678[[#This Row],[''Coût total éligible'']]</f>
        <v>0.5610287943975093</v>
      </c>
      <c r="I7" s="15">
        <v>0</v>
      </c>
      <c r="J7" s="15">
        <f>Tableau_Lancer_la_requête_à_partir_de_Excel_Files1025678[[#This Row],[''FNADT '']]+Tableau_Lancer_la_requête_à_partir_de_Excel_Files1025678[[#This Row],[''Agriculture'']]</f>
        <v>30349.38</v>
      </c>
      <c r="K7" s="15">
        <v>30349.38</v>
      </c>
      <c r="L7" s="15"/>
      <c r="M7" s="15">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7" s="15"/>
      <c r="O7" s="15"/>
      <c r="P7" s="15"/>
      <c r="Q7" s="15"/>
      <c r="R7" s="15">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7" s="15"/>
      <c r="T7" s="15"/>
      <c r="U7" s="15"/>
      <c r="V7" s="15"/>
      <c r="W7" s="15"/>
      <c r="X7" s="15"/>
      <c r="Y7" s="15"/>
      <c r="Z7" s="15"/>
      <c r="AA7" s="15"/>
      <c r="AB7" s="15"/>
      <c r="AC7" s="15"/>
      <c r="AD7" s="15"/>
      <c r="AE7" s="15"/>
      <c r="AF7" s="15"/>
      <c r="AG7" s="15"/>
      <c r="AH7" s="15"/>
      <c r="AI7" s="15"/>
      <c r="AJ7" s="15"/>
      <c r="AK7" s="15"/>
      <c r="AL7" s="15"/>
      <c r="AM7" s="15"/>
      <c r="AN7" s="15"/>
      <c r="AO7" s="15">
        <v>0</v>
      </c>
      <c r="AP7" s="11" t="s">
        <v>339</v>
      </c>
      <c r="AQ7" s="69"/>
      <c r="AR7" s="11" t="s">
        <v>337</v>
      </c>
      <c r="AT7" s="65" t="s">
        <v>486</v>
      </c>
    </row>
    <row r="8" spans="1:83" s="10" customFormat="1" ht="45" x14ac:dyDescent="0.25">
      <c r="A8" s="6" t="s">
        <v>340</v>
      </c>
      <c r="B8" s="5" t="s">
        <v>142</v>
      </c>
      <c r="C8" s="5" t="s">
        <v>141</v>
      </c>
      <c r="D8" s="8">
        <v>41381.339999999997</v>
      </c>
      <c r="E8" s="8">
        <f>Tableau_Lancer_la_requête_à_partir_de_Excel_Files1025678[[#This Row],[Aide Massif]]+Tableau_Lancer_la_requête_à_partir_de_Excel_Files1025678[[#This Row],[''Autre Public'']]</f>
        <v>27461.95</v>
      </c>
      <c r="F8" s="9">
        <f>Tableau_Lancer_la_requête_à_partir_de_Excel_Files1025678[[#This Row],[Aide 
publique]]/Tableau_Lancer_la_requête_à_partir_de_Excel_Files1025678[[#This Row],[''Coût total éligible'']]</f>
        <v>0.66363124055431755</v>
      </c>
      <c r="G8"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27461.95</v>
      </c>
      <c r="H8" s="9">
        <f>Tableau_Lancer_la_requête_à_partir_de_Excel_Files1025678[[#This Row],[Aide Massif]]/Tableau_Lancer_la_requête_à_partir_de_Excel_Files1025678[[#This Row],[''Coût total éligible'']]</f>
        <v>0.66363124055431755</v>
      </c>
      <c r="I8" s="8">
        <v>0</v>
      </c>
      <c r="J8" s="8">
        <f>Tableau_Lancer_la_requête_à_partir_de_Excel_Files1025678[[#This Row],[''FNADT '']]+Tableau_Lancer_la_requête_à_partir_de_Excel_Files1025678[[#This Row],[''Agriculture'']]</f>
        <v>27461.95</v>
      </c>
      <c r="K8" s="8">
        <v>27461.95</v>
      </c>
      <c r="L8" s="8"/>
      <c r="M8"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8" s="8"/>
      <c r="O8" s="8"/>
      <c r="P8" s="8"/>
      <c r="Q8" s="8"/>
      <c r="R8"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8" s="8"/>
      <c r="T8" s="8"/>
      <c r="U8" s="8"/>
      <c r="V8" s="8"/>
      <c r="W8" s="8"/>
      <c r="X8" s="8"/>
      <c r="Y8" s="8"/>
      <c r="Z8" s="8"/>
      <c r="AA8" s="8"/>
      <c r="AB8" s="8"/>
      <c r="AC8" s="8"/>
      <c r="AD8" s="8"/>
      <c r="AE8" s="8"/>
      <c r="AF8" s="8"/>
      <c r="AG8" s="8"/>
      <c r="AH8" s="8"/>
      <c r="AI8" s="8"/>
      <c r="AJ8" s="8"/>
      <c r="AK8" s="8"/>
      <c r="AL8" s="8"/>
      <c r="AM8" s="8"/>
      <c r="AN8" s="8"/>
      <c r="AO8" s="8">
        <v>0</v>
      </c>
      <c r="AP8" s="10" t="s">
        <v>339</v>
      </c>
      <c r="AQ8" s="69"/>
      <c r="AR8" s="11" t="s">
        <v>337</v>
      </c>
      <c r="AT8" s="66"/>
    </row>
    <row r="9" spans="1:83" s="10" customFormat="1" ht="45" x14ac:dyDescent="0.25">
      <c r="A9" s="6" t="s">
        <v>342</v>
      </c>
      <c r="B9" s="5" t="s">
        <v>144</v>
      </c>
      <c r="C9" s="5" t="s">
        <v>141</v>
      </c>
      <c r="D9" s="8">
        <v>72267.11</v>
      </c>
      <c r="E9" s="8">
        <f>Tableau_Lancer_la_requête_à_partir_de_Excel_Files1025678[[#This Row],[Aide Massif]]+Tableau_Lancer_la_requête_à_partir_de_Excel_Files1025678[[#This Row],[''Autre Public'']]</f>
        <v>50585.5</v>
      </c>
      <c r="F9" s="9">
        <f>Tableau_Lancer_la_requête_à_partir_de_Excel_Files1025678[[#This Row],[Aide 
publique]]/Tableau_Lancer_la_requête_à_partir_de_Excel_Files1025678[[#This Row],[''Coût total éligible'']]</f>
        <v>0.69997956193349919</v>
      </c>
      <c r="G9"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50585.5</v>
      </c>
      <c r="H9" s="9">
        <f>Tableau_Lancer_la_requête_à_partir_de_Excel_Files1025678[[#This Row],[Aide Massif]]/Tableau_Lancer_la_requête_à_partir_de_Excel_Files1025678[[#This Row],[''Coût total éligible'']]</f>
        <v>0.69997956193349919</v>
      </c>
      <c r="I9" s="8">
        <v>0</v>
      </c>
      <c r="J9" s="8">
        <f>Tableau_Lancer_la_requête_à_partir_de_Excel_Files1025678[[#This Row],[''FNADT '']]+Tableau_Lancer_la_requête_à_partir_de_Excel_Files1025678[[#This Row],[''Agriculture'']]</f>
        <v>50585.5</v>
      </c>
      <c r="K9" s="8">
        <v>50585.5</v>
      </c>
      <c r="L9" s="8"/>
      <c r="M9"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9" s="8"/>
      <c r="O9" s="8"/>
      <c r="P9" s="8"/>
      <c r="Q9" s="8"/>
      <c r="R9"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9" s="8"/>
      <c r="T9" s="8"/>
      <c r="U9" s="8"/>
      <c r="V9" s="8"/>
      <c r="W9" s="8"/>
      <c r="X9" s="8"/>
      <c r="Y9" s="8"/>
      <c r="Z9" s="8"/>
      <c r="AA9" s="8"/>
      <c r="AB9" s="8"/>
      <c r="AC9" s="8"/>
      <c r="AD9" s="8"/>
      <c r="AE9" s="8"/>
      <c r="AF9" s="8"/>
      <c r="AG9" s="8"/>
      <c r="AH9" s="8"/>
      <c r="AI9" s="8"/>
      <c r="AJ9" s="8"/>
      <c r="AK9" s="8"/>
      <c r="AL9" s="8"/>
      <c r="AM9" s="8"/>
      <c r="AN9" s="8"/>
      <c r="AO9" s="8">
        <v>0</v>
      </c>
      <c r="AP9" s="10" t="s">
        <v>339</v>
      </c>
      <c r="AQ9" s="69"/>
      <c r="AR9" s="11" t="s">
        <v>337</v>
      </c>
      <c r="AS9" s="3"/>
      <c r="AT9" s="65"/>
    </row>
    <row r="10" spans="1:83" s="10" customFormat="1" ht="45" x14ac:dyDescent="0.25">
      <c r="A10" s="6" t="s">
        <v>343</v>
      </c>
      <c r="B10" s="5" t="s">
        <v>145</v>
      </c>
      <c r="C10" s="5" t="s">
        <v>141</v>
      </c>
      <c r="D10" s="8">
        <v>92919.14</v>
      </c>
      <c r="E10" s="8">
        <f>Tableau_Lancer_la_requête_à_partir_de_Excel_Files1025678[[#This Row],[Aide Massif]]+Tableau_Lancer_la_requête_à_partir_de_Excel_Files1025678[[#This Row],[''Autre Public'']]</f>
        <v>45938.01</v>
      </c>
      <c r="F10" s="9">
        <f>Tableau_Lancer_la_requête_à_partir_de_Excel_Files1025678[[#This Row],[Aide 
publique]]/Tableau_Lancer_la_requête_à_partir_de_Excel_Files1025678[[#This Row],[''Coût total éligible'']]</f>
        <v>0.49438694761918806</v>
      </c>
      <c r="G10"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45938.01</v>
      </c>
      <c r="H10" s="9">
        <f>Tableau_Lancer_la_requête_à_partir_de_Excel_Files1025678[[#This Row],[Aide Massif]]/Tableau_Lancer_la_requête_à_partir_de_Excel_Files1025678[[#This Row],[''Coût total éligible'']]</f>
        <v>0.49438694761918806</v>
      </c>
      <c r="I10" s="8">
        <v>0</v>
      </c>
      <c r="J10" s="8">
        <f>Tableau_Lancer_la_requête_à_partir_de_Excel_Files1025678[[#This Row],[''FNADT '']]+Tableau_Lancer_la_requête_à_partir_de_Excel_Files1025678[[#This Row],[''Agriculture'']]</f>
        <v>45938.01</v>
      </c>
      <c r="K10" s="8">
        <v>45938.01</v>
      </c>
      <c r="L10" s="8"/>
      <c r="M10"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10" s="8"/>
      <c r="O10" s="8"/>
      <c r="P10" s="8"/>
      <c r="Q10" s="8"/>
      <c r="R10"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0" s="8"/>
      <c r="T10" s="8"/>
      <c r="U10" s="8"/>
      <c r="V10" s="8"/>
      <c r="W10" s="8"/>
      <c r="X10" s="8"/>
      <c r="Y10" s="8"/>
      <c r="Z10" s="8"/>
      <c r="AA10" s="8"/>
      <c r="AB10" s="8"/>
      <c r="AC10" s="8"/>
      <c r="AD10" s="8"/>
      <c r="AE10" s="8"/>
      <c r="AF10" s="8"/>
      <c r="AG10" s="8"/>
      <c r="AH10" s="8"/>
      <c r="AI10" s="8"/>
      <c r="AJ10" s="8"/>
      <c r="AK10" s="8"/>
      <c r="AL10" s="8"/>
      <c r="AM10" s="8"/>
      <c r="AN10" s="8"/>
      <c r="AO10" s="8">
        <v>0</v>
      </c>
      <c r="AP10" s="10" t="s">
        <v>339</v>
      </c>
      <c r="AQ10" s="69"/>
      <c r="AR10" s="11" t="s">
        <v>337</v>
      </c>
      <c r="AS10" s="3"/>
      <c r="AT10" s="66"/>
    </row>
    <row r="11" spans="1:83" s="10" customFormat="1" ht="45" x14ac:dyDescent="0.25">
      <c r="A11" s="6" t="s">
        <v>344</v>
      </c>
      <c r="B11" s="5" t="s">
        <v>146</v>
      </c>
      <c r="C11" s="5" t="s">
        <v>141</v>
      </c>
      <c r="D11" s="8">
        <v>41056.400000000001</v>
      </c>
      <c r="E11" s="8">
        <f>Tableau_Lancer_la_requête_à_partir_de_Excel_Files1025678[[#This Row],[Aide Massif]]+Tableau_Lancer_la_requête_à_partir_de_Excel_Files1025678[[#This Row],[''Autre Public'']]</f>
        <v>28739.48</v>
      </c>
      <c r="F11" s="9">
        <f>Tableau_Lancer_la_requête_à_partir_de_Excel_Files1025678[[#This Row],[Aide 
publique]]/Tableau_Lancer_la_requête_à_partir_de_Excel_Files1025678[[#This Row],[''Coût total éligible'']]</f>
        <v>0.7</v>
      </c>
      <c r="G11"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28739.48</v>
      </c>
      <c r="H11" s="9">
        <f>Tableau_Lancer_la_requête_à_partir_de_Excel_Files1025678[[#This Row],[Aide Massif]]/Tableau_Lancer_la_requête_à_partir_de_Excel_Files1025678[[#This Row],[''Coût total éligible'']]</f>
        <v>0.7</v>
      </c>
      <c r="I11" s="8">
        <v>0</v>
      </c>
      <c r="J11" s="8">
        <f>Tableau_Lancer_la_requête_à_partir_de_Excel_Files1025678[[#This Row],[''FNADT '']]+Tableau_Lancer_la_requête_à_partir_de_Excel_Files1025678[[#This Row],[''Agriculture'']]</f>
        <v>28739.48</v>
      </c>
      <c r="K11" s="8">
        <v>28739.48</v>
      </c>
      <c r="L11" s="8"/>
      <c r="M11"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11" s="8"/>
      <c r="O11" s="8"/>
      <c r="P11" s="8"/>
      <c r="Q11" s="8"/>
      <c r="R11"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1" s="8"/>
      <c r="T11" s="8"/>
      <c r="U11" s="8"/>
      <c r="V11" s="8"/>
      <c r="W11" s="8"/>
      <c r="X11" s="8"/>
      <c r="Y11" s="8"/>
      <c r="Z11" s="8"/>
      <c r="AA11" s="8"/>
      <c r="AB11" s="8"/>
      <c r="AC11" s="8"/>
      <c r="AD11" s="8"/>
      <c r="AE11" s="8"/>
      <c r="AF11" s="8"/>
      <c r="AG11" s="8"/>
      <c r="AH11" s="8"/>
      <c r="AI11" s="8"/>
      <c r="AJ11" s="8"/>
      <c r="AK11" s="8"/>
      <c r="AL11" s="8"/>
      <c r="AM11" s="8"/>
      <c r="AN11" s="8"/>
      <c r="AO11" s="8">
        <v>0</v>
      </c>
      <c r="AP11" s="10" t="s">
        <v>339</v>
      </c>
      <c r="AQ11" s="69"/>
      <c r="AR11" s="11" t="s">
        <v>337</v>
      </c>
      <c r="AS11" s="3"/>
      <c r="AT11" s="65"/>
    </row>
    <row r="12" spans="1:83" ht="45" x14ac:dyDescent="0.25">
      <c r="A12" s="6" t="s">
        <v>345</v>
      </c>
      <c r="B12" s="124" t="s">
        <v>147</v>
      </c>
      <c r="C12" s="5" t="s">
        <v>141</v>
      </c>
      <c r="D12" s="8">
        <v>27878.1</v>
      </c>
      <c r="E12" s="8">
        <f>Tableau_Lancer_la_requête_à_partir_de_Excel_Files1025678[[#This Row],[Aide Massif]]+Tableau_Lancer_la_requête_à_partir_de_Excel_Files1025678[[#This Row],[''Autre Public'']]</f>
        <v>20150.97</v>
      </c>
      <c r="F12" s="9">
        <f>Tableau_Lancer_la_requête_à_partir_de_Excel_Files1025678[[#This Row],[Aide 
publique]]/Tableau_Lancer_la_requête_à_partir_de_Excel_Files1025678[[#This Row],[''Coût total éligible'']]</f>
        <v>0.72282436751428547</v>
      </c>
      <c r="G12"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20150.97</v>
      </c>
      <c r="H12" s="9">
        <f>Tableau_Lancer_la_requête_à_partir_de_Excel_Files1025678[[#This Row],[Aide Massif]]/Tableau_Lancer_la_requête_à_partir_de_Excel_Files1025678[[#This Row],[''Coût total éligible'']]</f>
        <v>0.72282436751428547</v>
      </c>
      <c r="I12" s="8">
        <v>0</v>
      </c>
      <c r="J12" s="8">
        <f>Tableau_Lancer_la_requête_à_partir_de_Excel_Files1025678[[#This Row],[''FNADT '']]+Tableau_Lancer_la_requête_à_partir_de_Excel_Files1025678[[#This Row],[''Agriculture'']]</f>
        <v>20150.97</v>
      </c>
      <c r="K12" s="8">
        <v>20150.97</v>
      </c>
      <c r="L12" s="8"/>
      <c r="M12"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12" s="8"/>
      <c r="O12" s="8"/>
      <c r="P12" s="8"/>
      <c r="Q12" s="8"/>
      <c r="R12"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2" s="8"/>
      <c r="T12" s="8"/>
      <c r="U12" s="8"/>
      <c r="V12" s="8"/>
      <c r="W12" s="8"/>
      <c r="X12" s="8"/>
      <c r="Y12" s="8"/>
      <c r="Z12" s="8"/>
      <c r="AA12" s="8"/>
      <c r="AB12" s="8"/>
      <c r="AC12" s="8"/>
      <c r="AD12" s="8"/>
      <c r="AE12" s="8"/>
      <c r="AF12" s="8"/>
      <c r="AG12" s="8"/>
      <c r="AH12" s="8"/>
      <c r="AI12" s="8"/>
      <c r="AJ12" s="8"/>
      <c r="AK12" s="8"/>
      <c r="AL12" s="8"/>
      <c r="AM12" s="8"/>
      <c r="AN12" s="8"/>
      <c r="AO12" s="8">
        <v>0</v>
      </c>
      <c r="AP12" s="10" t="s">
        <v>339</v>
      </c>
      <c r="AQ12" s="69"/>
      <c r="AR12" s="11" t="s">
        <v>337</v>
      </c>
      <c r="AT12" s="66">
        <v>19514.57</v>
      </c>
      <c r="CB12" s="4"/>
      <c r="CE12" s="3"/>
    </row>
    <row r="13" spans="1:83" ht="45" x14ac:dyDescent="0.25">
      <c r="A13" s="6" t="s">
        <v>346</v>
      </c>
      <c r="B13" s="5" t="s">
        <v>148</v>
      </c>
      <c r="C13" s="5" t="s">
        <v>141</v>
      </c>
      <c r="D13" s="8">
        <v>41198.449999999997</v>
      </c>
      <c r="E13" s="8">
        <f>Tableau_Lancer_la_requête_à_partir_de_Excel_Files1025678[[#This Row],[Aide Massif]]+Tableau_Lancer_la_requête_à_partir_de_Excel_Files1025678[[#This Row],[''Autre Public'']]</f>
        <v>30898.84</v>
      </c>
      <c r="F13" s="9">
        <f>Tableau_Lancer_la_requête_à_partir_de_Excel_Files1025678[[#This Row],[Aide 
publique]]/Tableau_Lancer_la_requête_à_partir_de_Excel_Files1025678[[#This Row],[''Coût total éligible'']]</f>
        <v>0.75000006068189462</v>
      </c>
      <c r="G13"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30898.84</v>
      </c>
      <c r="H13" s="9">
        <f>Tableau_Lancer_la_requête_à_partir_de_Excel_Files1025678[[#This Row],[Aide Massif]]/Tableau_Lancer_la_requête_à_partir_de_Excel_Files1025678[[#This Row],[''Coût total éligible'']]</f>
        <v>0.75000006068189462</v>
      </c>
      <c r="I13" s="8">
        <v>0</v>
      </c>
      <c r="J13" s="8">
        <f>Tableau_Lancer_la_requête_à_partir_de_Excel_Files1025678[[#This Row],[''FNADT '']]+Tableau_Lancer_la_requête_à_partir_de_Excel_Files1025678[[#This Row],[''Agriculture'']]</f>
        <v>30898.84</v>
      </c>
      <c r="K13" s="8">
        <v>30898.84</v>
      </c>
      <c r="L13" s="8"/>
      <c r="M13"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13" s="8"/>
      <c r="O13" s="8"/>
      <c r="P13" s="8"/>
      <c r="Q13" s="8"/>
      <c r="R13"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3" s="8"/>
      <c r="T13" s="8"/>
      <c r="U13" s="8"/>
      <c r="V13" s="8"/>
      <c r="W13" s="8"/>
      <c r="X13" s="8"/>
      <c r="Y13" s="8"/>
      <c r="Z13" s="8"/>
      <c r="AA13" s="8"/>
      <c r="AB13" s="8"/>
      <c r="AC13" s="8"/>
      <c r="AD13" s="8"/>
      <c r="AE13" s="8"/>
      <c r="AF13" s="8"/>
      <c r="AG13" s="8"/>
      <c r="AH13" s="8"/>
      <c r="AI13" s="8"/>
      <c r="AJ13" s="8"/>
      <c r="AK13" s="8"/>
      <c r="AL13" s="8"/>
      <c r="AM13" s="8"/>
      <c r="AN13" s="8"/>
      <c r="AO13" s="8">
        <v>0</v>
      </c>
      <c r="AP13" s="10" t="s">
        <v>339</v>
      </c>
      <c r="AQ13" s="69"/>
      <c r="AR13" s="11" t="s">
        <v>337</v>
      </c>
      <c r="AT13" s="65"/>
      <c r="CB13" s="4"/>
      <c r="CE13" s="3"/>
    </row>
    <row r="14" spans="1:83" ht="45" x14ac:dyDescent="0.25">
      <c r="A14" s="6" t="s">
        <v>347</v>
      </c>
      <c r="B14" s="5" t="s">
        <v>149</v>
      </c>
      <c r="C14" s="5" t="s">
        <v>141</v>
      </c>
      <c r="D14" s="8">
        <v>73646.14</v>
      </c>
      <c r="E14" s="8">
        <f>Tableau_Lancer_la_requête_à_partir_de_Excel_Files1025678[[#This Row],[Aide Massif]]+Tableau_Lancer_la_requête_à_partir_de_Excel_Files1025678[[#This Row],[''Autre Public'']]</f>
        <v>26665.01</v>
      </c>
      <c r="F14" s="9">
        <f>Tableau_Lancer_la_requête_à_partir_de_Excel_Files1025678[[#This Row],[Aide 
publique]]/Tableau_Lancer_la_requête_à_partir_de_Excel_Files1025678[[#This Row],[''Coût total éligible'']]</f>
        <v>0.36206934945945568</v>
      </c>
      <c r="G14"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26665.01</v>
      </c>
      <c r="H14" s="9">
        <f>Tableau_Lancer_la_requête_à_partir_de_Excel_Files1025678[[#This Row],[Aide Massif]]/Tableau_Lancer_la_requête_à_partir_de_Excel_Files1025678[[#This Row],[''Coût total éligible'']]</f>
        <v>0.36206934945945568</v>
      </c>
      <c r="I14" s="8">
        <v>0</v>
      </c>
      <c r="J14" s="8">
        <f>Tableau_Lancer_la_requête_à_partir_de_Excel_Files1025678[[#This Row],[''FNADT '']]+Tableau_Lancer_la_requête_à_partir_de_Excel_Files1025678[[#This Row],[''Agriculture'']]</f>
        <v>26665.01</v>
      </c>
      <c r="K14" s="8">
        <v>26665.01</v>
      </c>
      <c r="L14" s="8"/>
      <c r="M14"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14" s="8"/>
      <c r="O14" s="8"/>
      <c r="P14" s="8"/>
      <c r="Q14" s="8"/>
      <c r="R14"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4" s="8"/>
      <c r="T14" s="8"/>
      <c r="U14" s="8"/>
      <c r="V14" s="8"/>
      <c r="W14" s="8"/>
      <c r="X14" s="8"/>
      <c r="Y14" s="8"/>
      <c r="Z14" s="8"/>
      <c r="AA14" s="8"/>
      <c r="AB14" s="8"/>
      <c r="AC14" s="8"/>
      <c r="AD14" s="8"/>
      <c r="AE14" s="8"/>
      <c r="AF14" s="8"/>
      <c r="AG14" s="8"/>
      <c r="AH14" s="8"/>
      <c r="AI14" s="8"/>
      <c r="AJ14" s="8"/>
      <c r="AK14" s="8"/>
      <c r="AL14" s="8"/>
      <c r="AM14" s="8"/>
      <c r="AN14" s="8"/>
      <c r="AO14" s="8">
        <v>0</v>
      </c>
      <c r="AP14" s="10" t="s">
        <v>339</v>
      </c>
      <c r="AQ14" s="69"/>
      <c r="AR14" s="11" t="s">
        <v>337</v>
      </c>
      <c r="AT14" s="66" t="s">
        <v>487</v>
      </c>
      <c r="CB14" s="4"/>
      <c r="CE14" s="3"/>
    </row>
    <row r="15" spans="1:83" ht="45" x14ac:dyDescent="0.25">
      <c r="A15" s="6" t="s">
        <v>348</v>
      </c>
      <c r="B15" s="5" t="s">
        <v>72</v>
      </c>
      <c r="C15" s="5" t="s">
        <v>141</v>
      </c>
      <c r="D15" s="8">
        <v>54975.88</v>
      </c>
      <c r="E15" s="8">
        <f>Tableau_Lancer_la_requête_à_partir_de_Excel_Files1025678[[#This Row],[Aide Massif]]+Tableau_Lancer_la_requête_à_partir_de_Excel_Files1025678[[#This Row],[''Autre Public'']]</f>
        <v>38483.120000000003</v>
      </c>
      <c r="F15" s="9">
        <f>Tableau_Lancer_la_requête_à_partir_de_Excel_Files1025678[[#This Row],[Aide 
publique]]/Tableau_Lancer_la_requête_à_partir_de_Excel_Files1025678[[#This Row],[''Coût total éligible'']]</f>
        <v>0.70000007275918097</v>
      </c>
      <c r="G15"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38483.120000000003</v>
      </c>
      <c r="H15" s="9">
        <f>Tableau_Lancer_la_requête_à_partir_de_Excel_Files1025678[[#This Row],[Aide Massif]]/Tableau_Lancer_la_requête_à_partir_de_Excel_Files1025678[[#This Row],[''Coût total éligible'']]</f>
        <v>0.70000007275918097</v>
      </c>
      <c r="I15" s="8">
        <v>0</v>
      </c>
      <c r="J15" s="8">
        <f>Tableau_Lancer_la_requête_à_partir_de_Excel_Files1025678[[#This Row],[''FNADT '']]+Tableau_Lancer_la_requête_à_partir_de_Excel_Files1025678[[#This Row],[''Agriculture'']]</f>
        <v>38483.120000000003</v>
      </c>
      <c r="K15" s="8">
        <v>38483.120000000003</v>
      </c>
      <c r="L15" s="8"/>
      <c r="M15"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15" s="8"/>
      <c r="O15" s="8"/>
      <c r="P15" s="8"/>
      <c r="Q15" s="8"/>
      <c r="R15"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5" s="8"/>
      <c r="T15" s="8"/>
      <c r="U15" s="8"/>
      <c r="V15" s="8"/>
      <c r="W15" s="8"/>
      <c r="X15" s="8"/>
      <c r="Y15" s="8"/>
      <c r="Z15" s="8"/>
      <c r="AA15" s="8"/>
      <c r="AB15" s="8"/>
      <c r="AC15" s="8"/>
      <c r="AD15" s="8"/>
      <c r="AE15" s="8"/>
      <c r="AF15" s="8"/>
      <c r="AG15" s="8"/>
      <c r="AH15" s="8"/>
      <c r="AI15" s="8"/>
      <c r="AJ15" s="8"/>
      <c r="AK15" s="8"/>
      <c r="AL15" s="8"/>
      <c r="AM15" s="8"/>
      <c r="AN15" s="8"/>
      <c r="AO15" s="8">
        <v>0</v>
      </c>
      <c r="AP15" s="10" t="s">
        <v>339</v>
      </c>
      <c r="AQ15" s="69"/>
      <c r="AR15" s="11" t="s">
        <v>337</v>
      </c>
      <c r="AT15" s="65"/>
      <c r="CB15" s="4"/>
      <c r="CE15" s="3"/>
    </row>
    <row r="16" spans="1:83" ht="45" x14ac:dyDescent="0.25">
      <c r="A16" s="6" t="s">
        <v>349</v>
      </c>
      <c r="B16" s="5" t="s">
        <v>233</v>
      </c>
      <c r="C16" s="5" t="s">
        <v>234</v>
      </c>
      <c r="D16" s="8">
        <v>148572.90999999997</v>
      </c>
      <c r="E16" s="8">
        <f>Tableau_Lancer_la_requête_à_partir_de_Excel_Files1025678[[#This Row],[Aide Massif]]+Tableau_Lancer_la_requête_à_partir_de_Excel_Files1025678[[#This Row],[''Autre Public'']]</f>
        <v>66399</v>
      </c>
      <c r="F16" s="9">
        <f>Tableau_Lancer_la_requête_à_partir_de_Excel_Files1025678[[#This Row],[Aide 
publique]]/Tableau_Lancer_la_requête_à_partir_de_Excel_Files1025678[[#This Row],[''Coût total éligible'']]</f>
        <v>0.44691188992663611</v>
      </c>
      <c r="G16"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66399</v>
      </c>
      <c r="H16" s="9">
        <f>Tableau_Lancer_la_requête_à_partir_de_Excel_Files1025678[[#This Row],[Aide Massif]]/Tableau_Lancer_la_requête_à_partir_de_Excel_Files1025678[[#This Row],[''Coût total éligible'']]</f>
        <v>0.44691188992663611</v>
      </c>
      <c r="I16" s="8">
        <v>0</v>
      </c>
      <c r="J16" s="8">
        <f>Tableau_Lancer_la_requête_à_partir_de_Excel_Files1025678[[#This Row],[''FNADT '']]+Tableau_Lancer_la_requête_à_partir_de_Excel_Files1025678[[#This Row],[''Agriculture'']]</f>
        <v>51500</v>
      </c>
      <c r="K16" s="8"/>
      <c r="L16" s="8">
        <v>51500</v>
      </c>
      <c r="M16"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14899</v>
      </c>
      <c r="N16" s="8"/>
      <c r="O16" s="8">
        <v>6487</v>
      </c>
      <c r="P16" s="8"/>
      <c r="Q16" s="8">
        <v>8412</v>
      </c>
      <c r="R16"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6" s="8"/>
      <c r="T16" s="8"/>
      <c r="U16" s="8"/>
      <c r="V16" s="8"/>
      <c r="W16" s="8"/>
      <c r="X16" s="8"/>
      <c r="Y16" s="8"/>
      <c r="Z16" s="8"/>
      <c r="AA16" s="8"/>
      <c r="AB16" s="8"/>
      <c r="AC16" s="8"/>
      <c r="AD16" s="8"/>
      <c r="AE16" s="8"/>
      <c r="AF16" s="8"/>
      <c r="AG16" s="8"/>
      <c r="AH16" s="8"/>
      <c r="AI16" s="8"/>
      <c r="AJ16" s="8"/>
      <c r="AK16" s="8"/>
      <c r="AL16" s="8"/>
      <c r="AM16" s="8"/>
      <c r="AN16" s="8"/>
      <c r="AO16" s="8">
        <v>0</v>
      </c>
      <c r="AP16" s="10" t="s">
        <v>337</v>
      </c>
      <c r="AQ16" s="69"/>
      <c r="AR16" s="10" t="s">
        <v>337</v>
      </c>
      <c r="AT16" s="66" t="s">
        <v>488</v>
      </c>
      <c r="CB16" s="4"/>
      <c r="CE16" s="3"/>
    </row>
    <row r="17" spans="1:83" s="7" customFormat="1" ht="45" x14ac:dyDescent="0.25">
      <c r="A17" s="6" t="s">
        <v>350</v>
      </c>
      <c r="B17" s="5" t="s">
        <v>235</v>
      </c>
      <c r="C17" s="5" t="s">
        <v>234</v>
      </c>
      <c r="D17" s="8">
        <v>196203.47999999998</v>
      </c>
      <c r="E17" s="8">
        <f>Tableau_Lancer_la_requête_à_partir_de_Excel_Files1025678[[#This Row],[Aide Massif]]+Tableau_Lancer_la_requête_à_partir_de_Excel_Files1025678[[#This Row],[''Autre Public'']]</f>
        <v>126829</v>
      </c>
      <c r="F17" s="9">
        <f>Tableau_Lancer_la_requête_à_partir_de_Excel_Files1025678[[#This Row],[Aide 
publique]]/Tableau_Lancer_la_requête_à_partir_de_Excel_Files1025678[[#This Row],[''Coût total éligible'']]</f>
        <v>0.64641564971222742</v>
      </c>
      <c r="G17"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126829</v>
      </c>
      <c r="H17" s="9">
        <f>Tableau_Lancer_la_requête_à_partir_de_Excel_Files1025678[[#This Row],[Aide Massif]]/Tableau_Lancer_la_requête_à_partir_de_Excel_Files1025678[[#This Row],[''Coût total éligible'']]</f>
        <v>0.64641564971222742</v>
      </c>
      <c r="I17" s="8">
        <v>0</v>
      </c>
      <c r="J17" s="8">
        <f>Tableau_Lancer_la_requête_à_partir_de_Excel_Files1025678[[#This Row],[''FNADT '']]+Tableau_Lancer_la_requête_à_partir_de_Excel_Files1025678[[#This Row],[''Agriculture'']]</f>
        <v>59500</v>
      </c>
      <c r="K17" s="8"/>
      <c r="L17" s="8">
        <v>59500</v>
      </c>
      <c r="M17"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67329</v>
      </c>
      <c r="N17" s="8"/>
      <c r="O17" s="8"/>
      <c r="P17" s="8"/>
      <c r="Q17" s="8">
        <v>67329</v>
      </c>
      <c r="R17"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7" s="8"/>
      <c r="T17" s="8"/>
      <c r="U17" s="8"/>
      <c r="V17" s="8"/>
      <c r="W17" s="8"/>
      <c r="X17" s="8"/>
      <c r="Y17" s="8"/>
      <c r="Z17" s="8"/>
      <c r="AA17" s="8"/>
      <c r="AB17" s="8"/>
      <c r="AC17" s="8"/>
      <c r="AD17" s="8"/>
      <c r="AE17" s="8"/>
      <c r="AF17" s="8"/>
      <c r="AG17" s="8"/>
      <c r="AH17" s="8"/>
      <c r="AI17" s="8"/>
      <c r="AJ17" s="8"/>
      <c r="AK17" s="8"/>
      <c r="AL17" s="8"/>
      <c r="AM17" s="8"/>
      <c r="AN17" s="8"/>
      <c r="AO17" s="8">
        <v>0</v>
      </c>
      <c r="AP17" s="10" t="s">
        <v>337</v>
      </c>
      <c r="AQ17" s="69"/>
      <c r="AR17" s="10" t="s">
        <v>337</v>
      </c>
      <c r="AS17" s="3"/>
      <c r="AT17" s="65" t="s">
        <v>489</v>
      </c>
    </row>
    <row r="18" spans="1:83" s="10" customFormat="1" ht="45" x14ac:dyDescent="0.25">
      <c r="A18" s="6" t="s">
        <v>351</v>
      </c>
      <c r="B18" s="5" t="s">
        <v>236</v>
      </c>
      <c r="C18" s="5" t="s">
        <v>234</v>
      </c>
      <c r="D18" s="8">
        <v>84614.38</v>
      </c>
      <c r="E18" s="8">
        <f>Tableau_Lancer_la_requête_à_partir_de_Excel_Files1025678[[#This Row],[Aide Massif]]+Tableau_Lancer_la_requête_à_partir_de_Excel_Files1025678[[#This Row],[''Autre Public'']]</f>
        <v>57000</v>
      </c>
      <c r="F18" s="9">
        <f>Tableau_Lancer_la_requête_à_partir_de_Excel_Files1025678[[#This Row],[Aide 
publique]]/Tableau_Lancer_la_requête_à_partir_de_Excel_Files1025678[[#This Row],[''Coût total éligible'']]</f>
        <v>0.67364436163214803</v>
      </c>
      <c r="G18"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57000</v>
      </c>
      <c r="H18" s="9">
        <f>Tableau_Lancer_la_requête_à_partir_de_Excel_Files1025678[[#This Row],[Aide Massif]]/Tableau_Lancer_la_requête_à_partir_de_Excel_Files1025678[[#This Row],[''Coût total éligible'']]</f>
        <v>0.67364436163214803</v>
      </c>
      <c r="I18" s="8">
        <v>0</v>
      </c>
      <c r="J18" s="8">
        <f>Tableau_Lancer_la_requête_à_partir_de_Excel_Files1025678[[#This Row],[''FNADT '']]+Tableau_Lancer_la_requête_à_partir_de_Excel_Files1025678[[#This Row],[''Agriculture'']]</f>
        <v>22000</v>
      </c>
      <c r="K18" s="8"/>
      <c r="L18" s="8">
        <v>22000</v>
      </c>
      <c r="M18"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35000</v>
      </c>
      <c r="N18" s="8"/>
      <c r="O18" s="8">
        <v>35000</v>
      </c>
      <c r="P18" s="8"/>
      <c r="Q18" s="8"/>
      <c r="R18"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8" s="8"/>
      <c r="T18" s="8"/>
      <c r="U18" s="8"/>
      <c r="V18" s="8"/>
      <c r="W18" s="8"/>
      <c r="X18" s="8"/>
      <c r="Y18" s="8"/>
      <c r="Z18" s="8"/>
      <c r="AA18" s="8"/>
      <c r="AB18" s="8"/>
      <c r="AC18" s="8"/>
      <c r="AD18" s="8"/>
      <c r="AE18" s="8"/>
      <c r="AF18" s="8"/>
      <c r="AG18" s="8"/>
      <c r="AH18" s="8"/>
      <c r="AI18" s="8"/>
      <c r="AJ18" s="8"/>
      <c r="AK18" s="8"/>
      <c r="AL18" s="8"/>
      <c r="AM18" s="8"/>
      <c r="AN18" s="8"/>
      <c r="AO18" s="8">
        <v>0</v>
      </c>
      <c r="AP18" s="10" t="s">
        <v>337</v>
      </c>
      <c r="AQ18" s="69"/>
      <c r="AR18" s="10" t="s">
        <v>337</v>
      </c>
      <c r="AS18" s="3"/>
      <c r="AT18" s="66" t="s">
        <v>490</v>
      </c>
    </row>
    <row r="19" spans="1:83" ht="45" x14ac:dyDescent="0.25">
      <c r="A19" s="6" t="s">
        <v>352</v>
      </c>
      <c r="B19" s="5" t="s">
        <v>237</v>
      </c>
      <c r="C19" s="5" t="s">
        <v>234</v>
      </c>
      <c r="D19" s="8">
        <v>114314.5</v>
      </c>
      <c r="E19" s="8">
        <f>Tableau_Lancer_la_requête_à_partir_de_Excel_Files1025678[[#This Row],[Aide Massif]]+Tableau_Lancer_la_requête_à_partir_de_Excel_Files1025678[[#This Row],[''Autre Public'']]</f>
        <v>65218</v>
      </c>
      <c r="F19" s="9">
        <f>Tableau_Lancer_la_requête_à_partir_de_Excel_Files1025678[[#This Row],[Aide 
publique]]/Tableau_Lancer_la_requête_à_partir_de_Excel_Files1025678[[#This Row],[''Coût total éligible'']]</f>
        <v>0.57051380183616252</v>
      </c>
      <c r="G19"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65218</v>
      </c>
      <c r="H19" s="9">
        <f>Tableau_Lancer_la_requête_à_partir_de_Excel_Files1025678[[#This Row],[Aide Massif]]/Tableau_Lancer_la_requête_à_partir_de_Excel_Files1025678[[#This Row],[''Coût total éligible'']]</f>
        <v>0.57051380183616252</v>
      </c>
      <c r="I19" s="8">
        <v>0</v>
      </c>
      <c r="J19" s="8">
        <f>Tableau_Lancer_la_requête_à_partir_de_Excel_Files1025678[[#This Row],[''FNADT '']]+Tableau_Lancer_la_requête_à_partir_de_Excel_Files1025678[[#This Row],[''Agriculture'']]</f>
        <v>41000</v>
      </c>
      <c r="K19" s="8"/>
      <c r="L19" s="8">
        <v>41000</v>
      </c>
      <c r="M19"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24218</v>
      </c>
      <c r="N19" s="8"/>
      <c r="O19" s="8"/>
      <c r="P19" s="8"/>
      <c r="Q19" s="8">
        <v>24218</v>
      </c>
      <c r="R19"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19" s="8"/>
      <c r="T19" s="8"/>
      <c r="U19" s="8"/>
      <c r="V19" s="8"/>
      <c r="W19" s="8"/>
      <c r="X19" s="8"/>
      <c r="Y19" s="8"/>
      <c r="Z19" s="8"/>
      <c r="AA19" s="8"/>
      <c r="AB19" s="8"/>
      <c r="AC19" s="8"/>
      <c r="AD19" s="8"/>
      <c r="AE19" s="8"/>
      <c r="AF19" s="8"/>
      <c r="AG19" s="8"/>
      <c r="AH19" s="8"/>
      <c r="AI19" s="8"/>
      <c r="AJ19" s="8"/>
      <c r="AK19" s="8"/>
      <c r="AL19" s="8"/>
      <c r="AM19" s="8"/>
      <c r="AN19" s="8"/>
      <c r="AO19" s="8">
        <v>0</v>
      </c>
      <c r="AP19" s="10" t="s">
        <v>337</v>
      </c>
      <c r="AQ19" s="69"/>
      <c r="AR19" s="10" t="s">
        <v>337</v>
      </c>
      <c r="AT19" s="65" t="s">
        <v>491</v>
      </c>
      <c r="CD19" s="4"/>
      <c r="CE19" s="3"/>
    </row>
    <row r="20" spans="1:83" ht="45" x14ac:dyDescent="0.25">
      <c r="A20" s="6" t="s">
        <v>353</v>
      </c>
      <c r="B20" s="5" t="s">
        <v>238</v>
      </c>
      <c r="C20" s="5" t="s">
        <v>234</v>
      </c>
      <c r="D20" s="8">
        <v>204078.99</v>
      </c>
      <c r="E20" s="8">
        <f>Tableau_Lancer_la_requête_à_partir_de_Excel_Files1025678[[#This Row],[Aide Massif]]+Tableau_Lancer_la_requête_à_partir_de_Excel_Files1025678[[#This Row],[''Autre Public'']]</f>
        <v>144920</v>
      </c>
      <c r="F20" s="9">
        <f>Tableau_Lancer_la_requête_à_partir_de_Excel_Files1025678[[#This Row],[Aide 
publique]]/Tableau_Lancer_la_requête_à_partir_de_Excel_Files1025678[[#This Row],[''Coût total éligible'']]</f>
        <v>0.71011719530756212</v>
      </c>
      <c r="G20"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144920</v>
      </c>
      <c r="H20" s="9">
        <f>Tableau_Lancer_la_requête_à_partir_de_Excel_Files1025678[[#This Row],[Aide Massif]]/Tableau_Lancer_la_requête_à_partir_de_Excel_Files1025678[[#This Row],[''Coût total éligible'']]</f>
        <v>0.71011719530756212</v>
      </c>
      <c r="I20" s="8">
        <v>0</v>
      </c>
      <c r="J20" s="8">
        <f>Tableau_Lancer_la_requête_à_partir_de_Excel_Files1025678[[#This Row],[''FNADT '']]+Tableau_Lancer_la_requête_à_partir_de_Excel_Files1025678[[#This Row],[''Agriculture'']]</f>
        <v>102000</v>
      </c>
      <c r="K20" s="8"/>
      <c r="L20" s="8">
        <v>102000</v>
      </c>
      <c r="M20"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42920</v>
      </c>
      <c r="N20" s="8">
        <v>12000</v>
      </c>
      <c r="O20" s="8">
        <v>18925</v>
      </c>
      <c r="P20" s="8"/>
      <c r="Q20" s="8">
        <v>11995</v>
      </c>
      <c r="R20"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0" s="8"/>
      <c r="T20" s="8"/>
      <c r="U20" s="8"/>
      <c r="V20" s="8"/>
      <c r="W20" s="8"/>
      <c r="X20" s="8"/>
      <c r="Y20" s="8"/>
      <c r="Z20" s="8"/>
      <c r="AA20" s="8"/>
      <c r="AB20" s="8"/>
      <c r="AC20" s="8"/>
      <c r="AD20" s="8"/>
      <c r="AE20" s="8"/>
      <c r="AF20" s="8"/>
      <c r="AG20" s="8"/>
      <c r="AH20" s="8"/>
      <c r="AI20" s="8"/>
      <c r="AJ20" s="8"/>
      <c r="AK20" s="8"/>
      <c r="AL20" s="8"/>
      <c r="AM20" s="8"/>
      <c r="AN20" s="8"/>
      <c r="AO20" s="8">
        <v>0</v>
      </c>
      <c r="AP20" s="10" t="s">
        <v>337</v>
      </c>
      <c r="AQ20" s="69"/>
      <c r="AR20" s="10" t="s">
        <v>337</v>
      </c>
      <c r="AT20" s="66"/>
    </row>
    <row r="21" spans="1:83" ht="45" x14ac:dyDescent="0.25">
      <c r="A21" s="6" t="s">
        <v>354</v>
      </c>
      <c r="B21" s="5" t="s">
        <v>239</v>
      </c>
      <c r="C21" s="5" t="s">
        <v>234</v>
      </c>
      <c r="D21" s="8">
        <v>56925</v>
      </c>
      <c r="E21" s="8">
        <f>Tableau_Lancer_la_requête_à_partir_de_Excel_Files1025678[[#This Row],[Aide Massif]]+Tableau_Lancer_la_requête_à_partir_de_Excel_Files1025678[[#This Row],[''Autre Public'']]</f>
        <v>57666</v>
      </c>
      <c r="F21" s="9">
        <f>Tableau_Lancer_la_requête_à_partir_de_Excel_Files1025678[[#This Row],[Aide 
publique]]/Tableau_Lancer_la_requête_à_partir_de_Excel_Files1025678[[#This Row],[''Coût total éligible'']]</f>
        <v>1.0130171277997364</v>
      </c>
      <c r="G21"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57666</v>
      </c>
      <c r="H21" s="9">
        <f>Tableau_Lancer_la_requête_à_partir_de_Excel_Files1025678[[#This Row],[Aide Massif]]/Tableau_Lancer_la_requête_à_partir_de_Excel_Files1025678[[#This Row],[''Coût total éligible'']]</f>
        <v>1.0130171277997364</v>
      </c>
      <c r="I21" s="8">
        <v>0</v>
      </c>
      <c r="J21" s="8">
        <f>Tableau_Lancer_la_requête_à_partir_de_Excel_Files1025678[[#This Row],[''FNADT '']]+Tableau_Lancer_la_requête_à_partir_de_Excel_Files1025678[[#This Row],[''Agriculture'']]</f>
        <v>24000</v>
      </c>
      <c r="K21" s="8"/>
      <c r="L21" s="8">
        <v>24000</v>
      </c>
      <c r="M21"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33666</v>
      </c>
      <c r="N21" s="8"/>
      <c r="O21" s="8"/>
      <c r="P21" s="8"/>
      <c r="Q21" s="8">
        <v>33666</v>
      </c>
      <c r="R21"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1" s="8"/>
      <c r="T21" s="8"/>
      <c r="U21" s="8"/>
      <c r="V21" s="8"/>
      <c r="W21" s="8"/>
      <c r="X21" s="8"/>
      <c r="Y21" s="8"/>
      <c r="Z21" s="8"/>
      <c r="AA21" s="8"/>
      <c r="AB21" s="8"/>
      <c r="AC21" s="8"/>
      <c r="AD21" s="8"/>
      <c r="AE21" s="8"/>
      <c r="AF21" s="8"/>
      <c r="AG21" s="8"/>
      <c r="AH21" s="8"/>
      <c r="AI21" s="8"/>
      <c r="AJ21" s="8"/>
      <c r="AK21" s="8"/>
      <c r="AL21" s="8"/>
      <c r="AM21" s="8"/>
      <c r="AN21" s="8"/>
      <c r="AO21" s="8">
        <v>0</v>
      </c>
      <c r="AP21" s="10" t="s">
        <v>337</v>
      </c>
      <c r="AQ21" s="69"/>
      <c r="AR21" s="10" t="s">
        <v>337</v>
      </c>
      <c r="AT21" s="65"/>
    </row>
    <row r="22" spans="1:83" ht="45" x14ac:dyDescent="0.25">
      <c r="A22" s="6" t="s">
        <v>355</v>
      </c>
      <c r="B22" s="5" t="s">
        <v>76</v>
      </c>
      <c r="C22" s="5" t="s">
        <v>150</v>
      </c>
      <c r="D22" s="8">
        <v>16632</v>
      </c>
      <c r="E22" s="8">
        <f>Tableau_Lancer_la_requête_à_partir_de_Excel_Files1025678[[#This Row],[Aide Massif]]+Tableau_Lancer_la_requête_à_partir_de_Excel_Files1025678[[#This Row],[''Autre Public'']]</f>
        <v>11642.4</v>
      </c>
      <c r="F22" s="9">
        <f>Tableau_Lancer_la_requête_à_partir_de_Excel_Files1025678[[#This Row],[Aide 
publique]]/Tableau_Lancer_la_requête_à_partir_de_Excel_Files1025678[[#This Row],[''Coût total éligible'']]</f>
        <v>0.7</v>
      </c>
      <c r="G22"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11642.4</v>
      </c>
      <c r="H22" s="9">
        <f>Tableau_Lancer_la_requête_à_partir_de_Excel_Files1025678[[#This Row],[Aide Massif]]/Tableau_Lancer_la_requête_à_partir_de_Excel_Files1025678[[#This Row],[''Coût total éligible'']]</f>
        <v>0.7</v>
      </c>
      <c r="I22" s="8">
        <v>0</v>
      </c>
      <c r="J22" s="8">
        <f>Tableau_Lancer_la_requête_à_partir_de_Excel_Files1025678[[#This Row],[''FNADT '']]+Tableau_Lancer_la_requête_à_partir_de_Excel_Files1025678[[#This Row],[''Agriculture'']]</f>
        <v>5821.2</v>
      </c>
      <c r="K22" s="8"/>
      <c r="L22" s="8">
        <v>5821.2</v>
      </c>
      <c r="M22"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5821.2</v>
      </c>
      <c r="N22" s="8"/>
      <c r="O22" s="8">
        <v>2910.6</v>
      </c>
      <c r="P22" s="8"/>
      <c r="Q22" s="8">
        <v>2910.6</v>
      </c>
      <c r="R22"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2" s="8"/>
      <c r="T22" s="8"/>
      <c r="U22" s="8"/>
      <c r="V22" s="8"/>
      <c r="W22" s="8"/>
      <c r="X22" s="8"/>
      <c r="Y22" s="8"/>
      <c r="Z22" s="8"/>
      <c r="AA22" s="8"/>
      <c r="AB22" s="8"/>
      <c r="AC22" s="8"/>
      <c r="AD22" s="8"/>
      <c r="AE22" s="8"/>
      <c r="AF22" s="8"/>
      <c r="AG22" s="8"/>
      <c r="AH22" s="8"/>
      <c r="AI22" s="8"/>
      <c r="AJ22" s="8"/>
      <c r="AK22" s="8"/>
      <c r="AL22" s="8"/>
      <c r="AM22" s="8"/>
      <c r="AN22" s="8"/>
      <c r="AO22" s="8">
        <v>0</v>
      </c>
      <c r="AP22" s="10" t="s">
        <v>339</v>
      </c>
      <c r="AQ22" s="69"/>
      <c r="AR22" s="10" t="s">
        <v>402</v>
      </c>
      <c r="AT22" s="66"/>
    </row>
    <row r="23" spans="1:83" ht="45" x14ac:dyDescent="0.25">
      <c r="A23" s="6" t="s">
        <v>356</v>
      </c>
      <c r="B23" s="5" t="s">
        <v>151</v>
      </c>
      <c r="C23" s="5" t="s">
        <v>150</v>
      </c>
      <c r="D23" s="8">
        <v>26222.49</v>
      </c>
      <c r="E23" s="8">
        <f>Tableau_Lancer_la_requête_à_partir_de_Excel_Files1025678[[#This Row],[Aide Massif]]+Tableau_Lancer_la_requête_à_partir_de_Excel_Files1025678[[#This Row],[''Autre Public'']]</f>
        <v>18355.75</v>
      </c>
      <c r="F23" s="9">
        <f>Tableau_Lancer_la_requête_à_partir_de_Excel_Files1025678[[#This Row],[Aide 
publique]]/Tableau_Lancer_la_requête_à_partir_de_Excel_Files1025678[[#This Row],[''Coût total éligible'']]</f>
        <v>0.70000026694642647</v>
      </c>
      <c r="G23"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18355.75</v>
      </c>
      <c r="H23" s="9">
        <f>Tableau_Lancer_la_requête_à_partir_de_Excel_Files1025678[[#This Row],[Aide Massif]]/Tableau_Lancer_la_requête_à_partir_de_Excel_Files1025678[[#This Row],[''Coût total éligible'']]</f>
        <v>0.70000026694642647</v>
      </c>
      <c r="I23" s="8">
        <v>0</v>
      </c>
      <c r="J23" s="8">
        <f>Tableau_Lancer_la_requête_à_partir_de_Excel_Files1025678[[#This Row],[''FNADT '']]+Tableau_Lancer_la_requête_à_partir_de_Excel_Files1025678[[#This Row],[''Agriculture'']]</f>
        <v>9177.8700000000008</v>
      </c>
      <c r="K23" s="8"/>
      <c r="L23" s="8">
        <v>9177.8700000000008</v>
      </c>
      <c r="M23"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9177.8799999999992</v>
      </c>
      <c r="N23" s="8"/>
      <c r="O23" s="8">
        <v>4588.9399999999996</v>
      </c>
      <c r="P23" s="8"/>
      <c r="Q23" s="8">
        <v>4588.9399999999996</v>
      </c>
      <c r="R23"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3" s="8"/>
      <c r="T23" s="8"/>
      <c r="U23" s="8"/>
      <c r="V23" s="8"/>
      <c r="W23" s="8"/>
      <c r="X23" s="8"/>
      <c r="Y23" s="8"/>
      <c r="Z23" s="8"/>
      <c r="AA23" s="8"/>
      <c r="AB23" s="8"/>
      <c r="AC23" s="8"/>
      <c r="AD23" s="8"/>
      <c r="AE23" s="8"/>
      <c r="AF23" s="8"/>
      <c r="AG23" s="8"/>
      <c r="AH23" s="8"/>
      <c r="AI23" s="8"/>
      <c r="AJ23" s="8"/>
      <c r="AK23" s="8"/>
      <c r="AL23" s="8"/>
      <c r="AM23" s="8"/>
      <c r="AN23" s="8"/>
      <c r="AO23" s="8">
        <v>0</v>
      </c>
      <c r="AP23" s="10" t="s">
        <v>339</v>
      </c>
      <c r="AQ23" s="69"/>
      <c r="AR23" s="10" t="s">
        <v>402</v>
      </c>
      <c r="AT23" s="65"/>
    </row>
    <row r="24" spans="1:83" ht="45" x14ac:dyDescent="0.25">
      <c r="A24" s="6" t="s">
        <v>357</v>
      </c>
      <c r="B24" s="5" t="s">
        <v>152</v>
      </c>
      <c r="C24" s="5" t="s">
        <v>150</v>
      </c>
      <c r="D24" s="8">
        <v>4751.9399999999996</v>
      </c>
      <c r="E24" s="8">
        <f>Tableau_Lancer_la_requête_à_partir_de_Excel_Files1025678[[#This Row],[Aide Massif]]+Tableau_Lancer_la_requête_à_partir_de_Excel_Files1025678[[#This Row],[''Autre Public'']]</f>
        <v>3326.36</v>
      </c>
      <c r="F24" s="9">
        <f>Tableau_Lancer_la_requête_à_partir_de_Excel_Files1025678[[#This Row],[Aide 
publique]]/Tableau_Lancer_la_requête_à_partir_de_Excel_Files1025678[[#This Row],[''Coût total éligible'']]</f>
        <v>0.70000042088073511</v>
      </c>
      <c r="G24"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3326.36</v>
      </c>
      <c r="H24" s="9">
        <f>Tableau_Lancer_la_requête_à_partir_de_Excel_Files1025678[[#This Row],[Aide Massif]]/Tableau_Lancer_la_requête_à_partir_de_Excel_Files1025678[[#This Row],[''Coût total éligible'']]</f>
        <v>0.70000042088073511</v>
      </c>
      <c r="I24" s="8">
        <v>0</v>
      </c>
      <c r="J24" s="8">
        <f>Tableau_Lancer_la_requête_à_partir_de_Excel_Files1025678[[#This Row],[''FNADT '']]+Tableau_Lancer_la_requête_à_partir_de_Excel_Files1025678[[#This Row],[''Agriculture'']]</f>
        <v>1663.18</v>
      </c>
      <c r="K24" s="8"/>
      <c r="L24" s="8">
        <v>1663.18</v>
      </c>
      <c r="M24"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1663.18</v>
      </c>
      <c r="N24" s="8"/>
      <c r="O24" s="8"/>
      <c r="P24" s="8"/>
      <c r="Q24" s="8">
        <v>1663.18</v>
      </c>
      <c r="R24"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4" s="8"/>
      <c r="T24" s="8"/>
      <c r="U24" s="8"/>
      <c r="V24" s="8"/>
      <c r="W24" s="8"/>
      <c r="X24" s="8"/>
      <c r="Y24" s="8"/>
      <c r="Z24" s="8"/>
      <c r="AA24" s="8"/>
      <c r="AB24" s="8"/>
      <c r="AC24" s="8"/>
      <c r="AD24" s="8"/>
      <c r="AE24" s="8"/>
      <c r="AF24" s="8"/>
      <c r="AG24" s="8"/>
      <c r="AH24" s="8"/>
      <c r="AI24" s="8"/>
      <c r="AJ24" s="8"/>
      <c r="AK24" s="8"/>
      <c r="AL24" s="8"/>
      <c r="AM24" s="8"/>
      <c r="AN24" s="8"/>
      <c r="AO24" s="8">
        <v>0</v>
      </c>
      <c r="AP24" s="10" t="s">
        <v>339</v>
      </c>
      <c r="AQ24" s="69"/>
      <c r="AR24" s="10" t="s">
        <v>402</v>
      </c>
      <c r="AT24" s="66"/>
    </row>
    <row r="25" spans="1:83" ht="45" x14ac:dyDescent="0.25">
      <c r="A25" s="6" t="s">
        <v>358</v>
      </c>
      <c r="B25" s="5" t="s">
        <v>153</v>
      </c>
      <c r="C25" s="5" t="s">
        <v>150</v>
      </c>
      <c r="D25" s="8">
        <v>82488.460000000006</v>
      </c>
      <c r="E25" s="8">
        <f>Tableau_Lancer_la_requête_à_partir_de_Excel_Files1025678[[#This Row],[Aide Massif]]+Tableau_Lancer_la_requête_à_partir_de_Excel_Files1025678[[#This Row],[''Autre Public'']]</f>
        <v>57741.919999999998</v>
      </c>
      <c r="F25" s="9">
        <f>Tableau_Lancer_la_requête_à_partir_de_Excel_Files1025678[[#This Row],[Aide 
publique]]/Tableau_Lancer_la_requête_à_partir_de_Excel_Files1025678[[#This Row],[''Coût total éligible'']]</f>
        <v>0.69999997575418416</v>
      </c>
      <c r="G25"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57741.919999999998</v>
      </c>
      <c r="H25" s="9">
        <f>Tableau_Lancer_la_requête_à_partir_de_Excel_Files1025678[[#This Row],[Aide Massif]]/Tableau_Lancer_la_requête_à_partir_de_Excel_Files1025678[[#This Row],[''Coût total éligible'']]</f>
        <v>0.69999997575418416</v>
      </c>
      <c r="I25" s="8">
        <v>0</v>
      </c>
      <c r="J25" s="8">
        <f>Tableau_Lancer_la_requête_à_partir_de_Excel_Files1025678[[#This Row],[''FNADT '']]+Tableau_Lancer_la_requête_à_partir_de_Excel_Files1025678[[#This Row],[''Agriculture'']]</f>
        <v>28870.959999999999</v>
      </c>
      <c r="K25" s="8"/>
      <c r="L25" s="8">
        <v>28870.959999999999</v>
      </c>
      <c r="M25"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28870.959999999999</v>
      </c>
      <c r="N25" s="8"/>
      <c r="O25" s="8">
        <v>14435.48</v>
      </c>
      <c r="P25" s="8"/>
      <c r="Q25" s="8">
        <v>14435.48</v>
      </c>
      <c r="R25"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5" s="8"/>
      <c r="T25" s="8"/>
      <c r="U25" s="8"/>
      <c r="V25" s="8"/>
      <c r="W25" s="8"/>
      <c r="X25" s="8"/>
      <c r="Y25" s="8"/>
      <c r="Z25" s="8"/>
      <c r="AA25" s="8"/>
      <c r="AB25" s="8"/>
      <c r="AC25" s="8"/>
      <c r="AD25" s="8"/>
      <c r="AE25" s="8"/>
      <c r="AF25" s="8"/>
      <c r="AG25" s="8"/>
      <c r="AH25" s="8"/>
      <c r="AI25" s="8"/>
      <c r="AJ25" s="8"/>
      <c r="AK25" s="8"/>
      <c r="AL25" s="8"/>
      <c r="AM25" s="8"/>
      <c r="AN25" s="8"/>
      <c r="AO25" s="8">
        <v>0</v>
      </c>
      <c r="AP25" s="10" t="s">
        <v>339</v>
      </c>
      <c r="AQ25" s="69"/>
      <c r="AR25" s="10" t="s">
        <v>402</v>
      </c>
      <c r="AT25" s="65"/>
    </row>
    <row r="26" spans="1:83" ht="45" x14ac:dyDescent="0.25">
      <c r="A26" s="6" t="s">
        <v>359</v>
      </c>
      <c r="B26" s="5" t="s">
        <v>88</v>
      </c>
      <c r="C26" s="5" t="s">
        <v>150</v>
      </c>
      <c r="D26" s="8">
        <v>20964.62</v>
      </c>
      <c r="E26" s="8">
        <f>Tableau_Lancer_la_requête_à_partir_de_Excel_Files1025678[[#This Row],[Aide Massif]]+Tableau_Lancer_la_requête_à_partir_de_Excel_Files1025678[[#This Row],[''Autre Public'']]</f>
        <v>14675.24</v>
      </c>
      <c r="F26" s="9">
        <f>Tableau_Lancer_la_requête_à_partir_de_Excel_Files1025678[[#This Row],[Aide 
publique]]/Tableau_Lancer_la_requête_à_partir_de_Excel_Files1025678[[#This Row],[''Coût total éligible'']]</f>
        <v>0.7000002861964586</v>
      </c>
      <c r="G26"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14675.24</v>
      </c>
      <c r="H26" s="9">
        <f>Tableau_Lancer_la_requête_à_partir_de_Excel_Files1025678[[#This Row],[Aide Massif]]/Tableau_Lancer_la_requête_à_partir_de_Excel_Files1025678[[#This Row],[''Coût total éligible'']]</f>
        <v>0.7000002861964586</v>
      </c>
      <c r="I26" s="8">
        <v>0</v>
      </c>
      <c r="J26" s="8">
        <f>Tableau_Lancer_la_requête_à_partir_de_Excel_Files1025678[[#This Row],[''FNADT '']]+Tableau_Lancer_la_requête_à_partir_de_Excel_Files1025678[[#This Row],[''Agriculture'']]</f>
        <v>7337.62</v>
      </c>
      <c r="K26" s="8"/>
      <c r="L26" s="8">
        <v>7337.62</v>
      </c>
      <c r="M26"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7337.62</v>
      </c>
      <c r="N26" s="8"/>
      <c r="O26" s="8">
        <v>3668.81</v>
      </c>
      <c r="P26" s="8"/>
      <c r="Q26" s="8">
        <v>3668.81</v>
      </c>
      <c r="R26"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6" s="8"/>
      <c r="T26" s="8"/>
      <c r="U26" s="8"/>
      <c r="V26" s="8"/>
      <c r="W26" s="8"/>
      <c r="X26" s="8"/>
      <c r="Y26" s="8"/>
      <c r="Z26" s="8"/>
      <c r="AA26" s="8"/>
      <c r="AB26" s="8"/>
      <c r="AC26" s="8"/>
      <c r="AD26" s="8"/>
      <c r="AE26" s="8"/>
      <c r="AF26" s="8"/>
      <c r="AG26" s="8"/>
      <c r="AH26" s="8"/>
      <c r="AI26" s="8"/>
      <c r="AJ26" s="8"/>
      <c r="AK26" s="8"/>
      <c r="AL26" s="8"/>
      <c r="AM26" s="8"/>
      <c r="AN26" s="8"/>
      <c r="AO26" s="8">
        <v>0</v>
      </c>
      <c r="AP26" s="10" t="s">
        <v>339</v>
      </c>
      <c r="AQ26" s="69"/>
      <c r="AR26" s="10" t="s">
        <v>402</v>
      </c>
      <c r="AT26" s="66"/>
    </row>
    <row r="27" spans="1:83" ht="45" x14ac:dyDescent="0.25">
      <c r="A27" s="6" t="s">
        <v>360</v>
      </c>
      <c r="B27" s="5" t="s">
        <v>124</v>
      </c>
      <c r="C27" s="5" t="s">
        <v>150</v>
      </c>
      <c r="D27" s="8">
        <v>41985.39</v>
      </c>
      <c r="E27" s="8">
        <f>Tableau_Lancer_la_requête_à_partir_de_Excel_Files1025678[[#This Row],[Aide Massif]]+Tableau_Lancer_la_requête_à_partir_de_Excel_Files1025678[[#This Row],[''Autre Public'']]</f>
        <v>29389.78</v>
      </c>
      <c r="F27" s="9">
        <f>Tableau_Lancer_la_requête_à_partir_de_Excel_Files1025678[[#This Row],[Aide 
publique]]/Tableau_Lancer_la_requête_à_partir_de_Excel_Files1025678[[#This Row],[''Coût total éligible'']]</f>
        <v>0.70000016672466303</v>
      </c>
      <c r="G27"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29389.78</v>
      </c>
      <c r="H27" s="9">
        <f>Tableau_Lancer_la_requête_à_partir_de_Excel_Files1025678[[#This Row],[Aide Massif]]/Tableau_Lancer_la_requête_à_partir_de_Excel_Files1025678[[#This Row],[''Coût total éligible'']]</f>
        <v>0.70000016672466303</v>
      </c>
      <c r="I27" s="8">
        <v>0</v>
      </c>
      <c r="J27" s="8">
        <f>Tableau_Lancer_la_requête_à_partir_de_Excel_Files1025678[[#This Row],[''FNADT '']]+Tableau_Lancer_la_requête_à_partir_de_Excel_Files1025678[[#This Row],[''Agriculture'']]</f>
        <v>14694.89</v>
      </c>
      <c r="K27" s="8"/>
      <c r="L27" s="8">
        <v>14694.89</v>
      </c>
      <c r="M27"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14694.89</v>
      </c>
      <c r="N27" s="8"/>
      <c r="O27" s="8">
        <v>14694.89</v>
      </c>
      <c r="P27" s="8"/>
      <c r="Q27" s="8"/>
      <c r="R27"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7" s="8"/>
      <c r="T27" s="8"/>
      <c r="U27" s="8"/>
      <c r="V27" s="8"/>
      <c r="W27" s="8"/>
      <c r="X27" s="8"/>
      <c r="Y27" s="8"/>
      <c r="Z27" s="8"/>
      <c r="AA27" s="8"/>
      <c r="AB27" s="8"/>
      <c r="AC27" s="8"/>
      <c r="AD27" s="8"/>
      <c r="AE27" s="8"/>
      <c r="AF27" s="8"/>
      <c r="AG27" s="8"/>
      <c r="AH27" s="8"/>
      <c r="AI27" s="8"/>
      <c r="AJ27" s="8"/>
      <c r="AK27" s="8"/>
      <c r="AL27" s="8"/>
      <c r="AM27" s="8"/>
      <c r="AN27" s="8"/>
      <c r="AO27" s="8">
        <v>0</v>
      </c>
      <c r="AP27" s="10" t="s">
        <v>339</v>
      </c>
      <c r="AQ27" s="69"/>
      <c r="AR27" s="10" t="s">
        <v>402</v>
      </c>
      <c r="AT27" s="65"/>
    </row>
    <row r="28" spans="1:83" ht="45" x14ac:dyDescent="0.25">
      <c r="A28" s="6" t="s">
        <v>361</v>
      </c>
      <c r="B28" s="5" t="s">
        <v>154</v>
      </c>
      <c r="C28" s="5" t="s">
        <v>150</v>
      </c>
      <c r="D28" s="8">
        <v>35969.480000000003</v>
      </c>
      <c r="E28" s="8">
        <f>Tableau_Lancer_la_requête_à_partir_de_Excel_Files1025678[[#This Row],[Aide Massif]]+Tableau_Lancer_la_requête_à_partir_de_Excel_Files1025678[[#This Row],[''Autre Public'']]</f>
        <v>25178.639999999999</v>
      </c>
      <c r="F28" s="9">
        <f>Tableau_Lancer_la_requête_à_partir_de_Excel_Files1025678[[#This Row],[Aide 
publique]]/Tableau_Lancer_la_requête_à_partir_de_Excel_Files1025678[[#This Row],[''Coût total éligible'']]</f>
        <v>0.70000011120538852</v>
      </c>
      <c r="G28"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25178.639999999999</v>
      </c>
      <c r="H28" s="9">
        <f>Tableau_Lancer_la_requête_à_partir_de_Excel_Files1025678[[#This Row],[Aide Massif]]/Tableau_Lancer_la_requête_à_partir_de_Excel_Files1025678[[#This Row],[''Coût total éligible'']]</f>
        <v>0.70000011120538852</v>
      </c>
      <c r="I28" s="8">
        <v>0</v>
      </c>
      <c r="J28" s="8">
        <f>Tableau_Lancer_la_requête_à_partir_de_Excel_Files1025678[[#This Row],[''FNADT '']]+Tableau_Lancer_la_requête_à_partir_de_Excel_Files1025678[[#This Row],[''Agriculture'']]</f>
        <v>12589.32</v>
      </c>
      <c r="K28" s="8"/>
      <c r="L28" s="8">
        <v>12589.32</v>
      </c>
      <c r="M28"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12589.32</v>
      </c>
      <c r="N28" s="8"/>
      <c r="O28" s="8">
        <v>12589.32</v>
      </c>
      <c r="P28" s="8"/>
      <c r="Q28" s="8"/>
      <c r="R28"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8" s="8"/>
      <c r="T28" s="8"/>
      <c r="U28" s="8"/>
      <c r="V28" s="8"/>
      <c r="W28" s="8"/>
      <c r="X28" s="8"/>
      <c r="Y28" s="8"/>
      <c r="Z28" s="8"/>
      <c r="AA28" s="8"/>
      <c r="AB28" s="8"/>
      <c r="AC28" s="8"/>
      <c r="AD28" s="8"/>
      <c r="AE28" s="8"/>
      <c r="AF28" s="8"/>
      <c r="AG28" s="8"/>
      <c r="AH28" s="8"/>
      <c r="AI28" s="8"/>
      <c r="AJ28" s="8"/>
      <c r="AK28" s="8"/>
      <c r="AL28" s="8"/>
      <c r="AM28" s="8"/>
      <c r="AN28" s="8"/>
      <c r="AO28" s="8">
        <v>0</v>
      </c>
      <c r="AP28" s="10" t="s">
        <v>339</v>
      </c>
      <c r="AQ28" s="69"/>
      <c r="AR28" s="10" t="s">
        <v>402</v>
      </c>
      <c r="AT28" s="66"/>
    </row>
    <row r="29" spans="1:83" ht="45" x14ac:dyDescent="0.25">
      <c r="A29" s="6" t="s">
        <v>475</v>
      </c>
      <c r="B29" s="5" t="s">
        <v>155</v>
      </c>
      <c r="C29" s="5" t="s">
        <v>150</v>
      </c>
      <c r="D29" s="8">
        <v>20745.47</v>
      </c>
      <c r="E29" s="8">
        <f>Tableau_Lancer_la_requête_à_partir_de_Excel_Files1025678[[#This Row],[Aide Massif]]+Tableau_Lancer_la_requête_à_partir_de_Excel_Files1025678[[#This Row],[''Autre Public'']]</f>
        <v>14521.82</v>
      </c>
      <c r="F29" s="9">
        <f>Tableau_Lancer_la_requête_à_partir_de_Excel_Files1025678[[#This Row],[Aide 
publique]]/Tableau_Lancer_la_requête_à_partir_de_Excel_Files1025678[[#This Row],[''Coût total éligible'']]</f>
        <v>0.69999956617034942</v>
      </c>
      <c r="G29"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14521.82</v>
      </c>
      <c r="H29" s="9">
        <f>Tableau_Lancer_la_requête_à_partir_de_Excel_Files1025678[[#This Row],[Aide Massif]]/Tableau_Lancer_la_requête_à_partir_de_Excel_Files1025678[[#This Row],[''Coût total éligible'']]</f>
        <v>0.69999956617034942</v>
      </c>
      <c r="I29" s="8">
        <v>0</v>
      </c>
      <c r="J29" s="8">
        <f>Tableau_Lancer_la_requête_à_partir_de_Excel_Files1025678[[#This Row],[''FNADT '']]+Tableau_Lancer_la_requête_à_partir_de_Excel_Files1025678[[#This Row],[''Agriculture'']]</f>
        <v>7260.91</v>
      </c>
      <c r="K29" s="8"/>
      <c r="L29" s="8">
        <v>7260.91</v>
      </c>
      <c r="M29"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7260.91</v>
      </c>
      <c r="N29" s="8"/>
      <c r="O29" s="8">
        <v>7260.91</v>
      </c>
      <c r="P29" s="8"/>
      <c r="Q29" s="8"/>
      <c r="R29"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29" s="8"/>
      <c r="T29" s="8"/>
      <c r="U29" s="8"/>
      <c r="V29" s="8"/>
      <c r="W29" s="8"/>
      <c r="X29" s="8"/>
      <c r="Y29" s="8"/>
      <c r="Z29" s="8"/>
      <c r="AA29" s="8"/>
      <c r="AB29" s="8"/>
      <c r="AC29" s="8"/>
      <c r="AD29" s="8"/>
      <c r="AE29" s="8"/>
      <c r="AF29" s="8"/>
      <c r="AG29" s="8"/>
      <c r="AH29" s="8"/>
      <c r="AI29" s="8"/>
      <c r="AJ29" s="8"/>
      <c r="AK29" s="8"/>
      <c r="AL29" s="8"/>
      <c r="AM29" s="8"/>
      <c r="AN29" s="8"/>
      <c r="AO29" s="8">
        <v>0</v>
      </c>
      <c r="AP29" s="10" t="s">
        <v>339</v>
      </c>
      <c r="AQ29" s="69"/>
      <c r="AR29" s="10" t="s">
        <v>402</v>
      </c>
      <c r="AT29" s="65"/>
    </row>
    <row r="30" spans="1:83" ht="45" x14ac:dyDescent="0.25">
      <c r="A30" s="6" t="s">
        <v>476</v>
      </c>
      <c r="B30" s="5" t="s">
        <v>156</v>
      </c>
      <c r="C30" s="5" t="s">
        <v>150</v>
      </c>
      <c r="D30" s="8">
        <v>28998.7</v>
      </c>
      <c r="E30" s="8">
        <f>Tableau_Lancer_la_requête_à_partir_de_Excel_Files1025678[[#This Row],[Aide Massif]]+Tableau_Lancer_la_requête_à_partir_de_Excel_Files1025678[[#This Row],[''Autre Public'']]</f>
        <v>20299.099999999999</v>
      </c>
      <c r="F30" s="9">
        <f>Tableau_Lancer_la_requête_à_partir_de_Excel_Files1025678[[#This Row],[Aide 
publique]]/Tableau_Lancer_la_requête_à_partir_de_Excel_Files1025678[[#This Row],[''Coût total éligible'']]</f>
        <v>0.70000034484304463</v>
      </c>
      <c r="G30"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20299.099999999999</v>
      </c>
      <c r="H30" s="9">
        <f>Tableau_Lancer_la_requête_à_partir_de_Excel_Files1025678[[#This Row],[Aide Massif]]/Tableau_Lancer_la_requête_à_partir_de_Excel_Files1025678[[#This Row],[''Coût total éligible'']]</f>
        <v>0.70000034484304463</v>
      </c>
      <c r="I30" s="8">
        <v>0</v>
      </c>
      <c r="J30" s="8">
        <f>Tableau_Lancer_la_requête_à_partir_de_Excel_Files1025678[[#This Row],[''FNADT '']]+Tableau_Lancer_la_requête_à_partir_de_Excel_Files1025678[[#This Row],[''Agriculture'']]</f>
        <v>10149.549999999999</v>
      </c>
      <c r="K30" s="8"/>
      <c r="L30" s="8">
        <v>10149.549999999999</v>
      </c>
      <c r="M30"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10149.549999999999</v>
      </c>
      <c r="N30" s="8"/>
      <c r="O30" s="8">
        <v>10149.549999999999</v>
      </c>
      <c r="P30" s="8"/>
      <c r="Q30" s="8"/>
      <c r="R30"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0" s="8"/>
      <c r="T30" s="8"/>
      <c r="U30" s="8"/>
      <c r="V30" s="8"/>
      <c r="W30" s="8"/>
      <c r="X30" s="8"/>
      <c r="Y30" s="8"/>
      <c r="Z30" s="8"/>
      <c r="AA30" s="8"/>
      <c r="AB30" s="8"/>
      <c r="AC30" s="8"/>
      <c r="AD30" s="8"/>
      <c r="AE30" s="8"/>
      <c r="AF30" s="8"/>
      <c r="AG30" s="8"/>
      <c r="AH30" s="8"/>
      <c r="AI30" s="8"/>
      <c r="AJ30" s="8"/>
      <c r="AK30" s="8"/>
      <c r="AL30" s="8"/>
      <c r="AM30" s="8"/>
      <c r="AN30" s="8"/>
      <c r="AO30" s="8">
        <v>0</v>
      </c>
      <c r="AP30" s="10" t="s">
        <v>339</v>
      </c>
      <c r="AQ30" s="69"/>
      <c r="AR30" s="10" t="s">
        <v>402</v>
      </c>
      <c r="AT30" s="66"/>
    </row>
    <row r="31" spans="1:83" ht="45" x14ac:dyDescent="0.25">
      <c r="A31" s="6" t="s">
        <v>362</v>
      </c>
      <c r="B31" s="5" t="s">
        <v>157</v>
      </c>
      <c r="C31" s="5" t="s">
        <v>150</v>
      </c>
      <c r="D31" s="8">
        <v>16819.61</v>
      </c>
      <c r="E31" s="8">
        <f>Tableau_Lancer_la_requête_à_partir_de_Excel_Files1025678[[#This Row],[Aide Massif]]+Tableau_Lancer_la_requête_à_partir_de_Excel_Files1025678[[#This Row],[''Autre Public'']]</f>
        <v>11773.72</v>
      </c>
      <c r="F31" s="9">
        <f>Tableau_Lancer_la_requête_à_partir_de_Excel_Files1025678[[#This Row],[Aide 
publique]]/Tableau_Lancer_la_requête_à_partir_de_Excel_Files1025678[[#This Row],[''Coût total éligible'']]</f>
        <v>0.6999995838191253</v>
      </c>
      <c r="G31"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11773.72</v>
      </c>
      <c r="H31" s="9">
        <f>Tableau_Lancer_la_requête_à_partir_de_Excel_Files1025678[[#This Row],[Aide Massif]]/Tableau_Lancer_la_requête_à_partir_de_Excel_Files1025678[[#This Row],[''Coût total éligible'']]</f>
        <v>0.6999995838191253</v>
      </c>
      <c r="I31" s="8">
        <v>0</v>
      </c>
      <c r="J31" s="8">
        <f>Tableau_Lancer_la_requête_à_partir_de_Excel_Files1025678[[#This Row],[''FNADT '']]+Tableau_Lancer_la_requête_à_partir_de_Excel_Files1025678[[#This Row],[''Agriculture'']]</f>
        <v>5886.86</v>
      </c>
      <c r="K31" s="8"/>
      <c r="L31" s="8">
        <v>5886.86</v>
      </c>
      <c r="M31"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5886.86</v>
      </c>
      <c r="N31" s="8"/>
      <c r="O31" s="8">
        <v>5886.86</v>
      </c>
      <c r="P31" s="8"/>
      <c r="Q31" s="8"/>
      <c r="R31"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1" s="8"/>
      <c r="T31" s="8"/>
      <c r="U31" s="8"/>
      <c r="V31" s="8"/>
      <c r="W31" s="8"/>
      <c r="X31" s="8"/>
      <c r="Y31" s="8"/>
      <c r="Z31" s="8"/>
      <c r="AA31" s="8"/>
      <c r="AB31" s="8"/>
      <c r="AC31" s="8"/>
      <c r="AD31" s="8"/>
      <c r="AE31" s="8"/>
      <c r="AF31" s="8"/>
      <c r="AG31" s="8"/>
      <c r="AH31" s="8"/>
      <c r="AI31" s="8"/>
      <c r="AJ31" s="8"/>
      <c r="AK31" s="8"/>
      <c r="AL31" s="8"/>
      <c r="AM31" s="8"/>
      <c r="AN31" s="8"/>
      <c r="AO31" s="8">
        <v>0</v>
      </c>
      <c r="AP31" s="10" t="s">
        <v>339</v>
      </c>
      <c r="AQ31" s="69"/>
      <c r="AR31" s="10" t="s">
        <v>402</v>
      </c>
      <c r="AT31" s="65" t="s">
        <v>492</v>
      </c>
    </row>
    <row r="32" spans="1:83" ht="45" x14ac:dyDescent="0.25">
      <c r="A32" s="6" t="s">
        <v>477</v>
      </c>
      <c r="B32" s="5" t="s">
        <v>478</v>
      </c>
      <c r="C32" s="5" t="s">
        <v>150</v>
      </c>
      <c r="D32" s="8">
        <v>29178.61</v>
      </c>
      <c r="E32" s="8">
        <f>Tableau_Lancer_la_requête_à_partir_de_Excel_Files1025678[[#This Row],[Aide Massif]]+Tableau_Lancer_la_requête_à_partir_de_Excel_Files1025678[[#This Row],[''Autre Public'']]</f>
        <v>20425.02</v>
      </c>
      <c r="F32" s="9">
        <f>Tableau_Lancer_la_requête_à_partir_de_Excel_Files1025678[[#This Row],[Aide 
publique]]/Tableau_Lancer_la_requête_à_partir_de_Excel_Files1025678[[#This Row],[''Coût total éligible'']]</f>
        <v>0.69999976009823639</v>
      </c>
      <c r="G32"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20425.02</v>
      </c>
      <c r="H32" s="9">
        <f>Tableau_Lancer_la_requête_à_partir_de_Excel_Files1025678[[#This Row],[Aide Massif]]/Tableau_Lancer_la_requête_à_partir_de_Excel_Files1025678[[#This Row],[''Coût total éligible'']]</f>
        <v>0.69999976009823639</v>
      </c>
      <c r="I32" s="8">
        <v>0</v>
      </c>
      <c r="J32" s="8">
        <f>Tableau_Lancer_la_requête_à_partir_de_Excel_Files1025678[[#This Row],[''FNADT '']]+Tableau_Lancer_la_requête_à_partir_de_Excel_Files1025678[[#This Row],[''Agriculture'']]</f>
        <v>10212.51</v>
      </c>
      <c r="K32" s="8"/>
      <c r="L32" s="8">
        <v>10212.51</v>
      </c>
      <c r="M32"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10212.51</v>
      </c>
      <c r="N32" s="8"/>
      <c r="O32" s="8"/>
      <c r="P32" s="8"/>
      <c r="Q32" s="8">
        <v>10212.51</v>
      </c>
      <c r="R32"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2" s="8"/>
      <c r="T32" s="8"/>
      <c r="U32" s="8"/>
      <c r="V32" s="8"/>
      <c r="W32" s="8"/>
      <c r="X32" s="8"/>
      <c r="Y32" s="8"/>
      <c r="Z32" s="8"/>
      <c r="AA32" s="8"/>
      <c r="AB32" s="8"/>
      <c r="AC32" s="8"/>
      <c r="AD32" s="8"/>
      <c r="AE32" s="8"/>
      <c r="AF32" s="8"/>
      <c r="AG32" s="8"/>
      <c r="AH32" s="8"/>
      <c r="AI32" s="8"/>
      <c r="AJ32" s="8"/>
      <c r="AK32" s="8"/>
      <c r="AL32" s="8"/>
      <c r="AM32" s="8"/>
      <c r="AN32" s="8"/>
      <c r="AO32" s="8">
        <v>0</v>
      </c>
      <c r="AP32" s="10" t="s">
        <v>339</v>
      </c>
      <c r="AQ32" s="69"/>
      <c r="AR32" s="10" t="s">
        <v>402</v>
      </c>
      <c r="AT32" s="66" t="s">
        <v>492</v>
      </c>
    </row>
    <row r="33" spans="1:46" ht="45" x14ac:dyDescent="0.25">
      <c r="A33" s="6" t="s">
        <v>363</v>
      </c>
      <c r="B33" s="5" t="s">
        <v>158</v>
      </c>
      <c r="C33" s="5" t="s">
        <v>150</v>
      </c>
      <c r="D33" s="8">
        <v>26776.71</v>
      </c>
      <c r="E33" s="8">
        <f>Tableau_Lancer_la_requête_à_partir_de_Excel_Files1025678[[#This Row],[Aide Massif]]+Tableau_Lancer_la_requête_à_partir_de_Excel_Files1025678[[#This Row],[''Autre Public'']]</f>
        <v>18743.7</v>
      </c>
      <c r="F33" s="9">
        <f>Tableau_Lancer_la_requête_à_partir_de_Excel_Files1025678[[#This Row],[Aide 
publique]]/Tableau_Lancer_la_requête_à_partir_de_Excel_Files1025678[[#This Row],[''Coût total éligible'']]</f>
        <v>0.70000011203766266</v>
      </c>
      <c r="G33"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18743.7</v>
      </c>
      <c r="H33" s="9">
        <f>Tableau_Lancer_la_requête_à_partir_de_Excel_Files1025678[[#This Row],[Aide Massif]]/Tableau_Lancer_la_requête_à_partir_de_Excel_Files1025678[[#This Row],[''Coût total éligible'']]</f>
        <v>0.70000011203766266</v>
      </c>
      <c r="I33" s="8">
        <v>0</v>
      </c>
      <c r="J33" s="8">
        <f>Tableau_Lancer_la_requête_à_partir_de_Excel_Files1025678[[#This Row],[''FNADT '']]+Tableau_Lancer_la_requête_à_partir_de_Excel_Files1025678[[#This Row],[''Agriculture'']]</f>
        <v>9371.85</v>
      </c>
      <c r="K33" s="8"/>
      <c r="L33" s="8">
        <v>9371.85</v>
      </c>
      <c r="M33"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9371.85</v>
      </c>
      <c r="N33" s="8"/>
      <c r="O33" s="8">
        <v>9371.85</v>
      </c>
      <c r="P33" s="8"/>
      <c r="Q33" s="8"/>
      <c r="R33"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3" s="8"/>
      <c r="T33" s="8"/>
      <c r="U33" s="8"/>
      <c r="V33" s="8"/>
      <c r="W33" s="8"/>
      <c r="X33" s="8"/>
      <c r="Y33" s="8"/>
      <c r="Z33" s="8"/>
      <c r="AA33" s="8"/>
      <c r="AB33" s="8"/>
      <c r="AC33" s="8"/>
      <c r="AD33" s="8"/>
      <c r="AE33" s="8"/>
      <c r="AF33" s="8"/>
      <c r="AG33" s="8"/>
      <c r="AH33" s="8"/>
      <c r="AI33" s="8"/>
      <c r="AJ33" s="8"/>
      <c r="AK33" s="8"/>
      <c r="AL33" s="8"/>
      <c r="AM33" s="8"/>
      <c r="AN33" s="8"/>
      <c r="AO33" s="8">
        <v>0</v>
      </c>
      <c r="AP33" s="10" t="s">
        <v>339</v>
      </c>
      <c r="AQ33" s="69"/>
      <c r="AR33" s="10" t="s">
        <v>402</v>
      </c>
      <c r="AT33" s="65" t="s">
        <v>492</v>
      </c>
    </row>
    <row r="34" spans="1:46" ht="45" x14ac:dyDescent="0.25">
      <c r="A34" s="6" t="s">
        <v>364</v>
      </c>
      <c r="B34" s="5" t="s">
        <v>159</v>
      </c>
      <c r="C34" s="5" t="s">
        <v>150</v>
      </c>
      <c r="D34" s="8">
        <v>8935.0499999999993</v>
      </c>
      <c r="E34" s="8">
        <f>Tableau_Lancer_la_requête_à_partir_de_Excel_Files1025678[[#This Row],[Aide Massif]]+Tableau_Lancer_la_requête_à_partir_de_Excel_Files1025678[[#This Row],[''Autre Public'']]</f>
        <v>6254.54</v>
      </c>
      <c r="F34" s="9">
        <f>Tableau_Lancer_la_requête_à_partir_de_Excel_Files1025678[[#This Row],[Aide 
publique]]/Tableau_Lancer_la_requête_à_partir_de_Excel_Files1025678[[#This Row],[''Coût total éligible'']]</f>
        <v>0.70000055959395868</v>
      </c>
      <c r="G34"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6254.54</v>
      </c>
      <c r="H34" s="9">
        <f>Tableau_Lancer_la_requête_à_partir_de_Excel_Files1025678[[#This Row],[Aide Massif]]/Tableau_Lancer_la_requête_à_partir_de_Excel_Files1025678[[#This Row],[''Coût total éligible'']]</f>
        <v>0.70000055959395868</v>
      </c>
      <c r="I34" s="8">
        <v>0</v>
      </c>
      <c r="J34" s="8">
        <f>Tableau_Lancer_la_requête_à_partir_de_Excel_Files1025678[[#This Row],[''FNADT '']]+Tableau_Lancer_la_requête_à_partir_de_Excel_Files1025678[[#This Row],[''Agriculture'']]</f>
        <v>3127.27</v>
      </c>
      <c r="K34" s="8"/>
      <c r="L34" s="8">
        <v>3127.27</v>
      </c>
      <c r="M34"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3127.27</v>
      </c>
      <c r="N34" s="8"/>
      <c r="O34" s="8">
        <v>3127.27</v>
      </c>
      <c r="P34" s="8"/>
      <c r="Q34" s="8"/>
      <c r="R34"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4" s="8"/>
      <c r="T34" s="8"/>
      <c r="U34" s="8"/>
      <c r="V34" s="8"/>
      <c r="W34" s="8"/>
      <c r="X34" s="8"/>
      <c r="Y34" s="8"/>
      <c r="Z34" s="8"/>
      <c r="AA34" s="8"/>
      <c r="AB34" s="8"/>
      <c r="AC34" s="8"/>
      <c r="AD34" s="8"/>
      <c r="AE34" s="8"/>
      <c r="AF34" s="8"/>
      <c r="AG34" s="8"/>
      <c r="AH34" s="8"/>
      <c r="AI34" s="8"/>
      <c r="AJ34" s="8"/>
      <c r="AK34" s="8"/>
      <c r="AL34" s="8"/>
      <c r="AM34" s="8"/>
      <c r="AN34" s="8"/>
      <c r="AO34" s="8">
        <v>0</v>
      </c>
      <c r="AP34" s="10" t="s">
        <v>339</v>
      </c>
      <c r="AQ34" s="69"/>
      <c r="AR34" s="10" t="s">
        <v>402</v>
      </c>
      <c r="AT34" s="66"/>
    </row>
    <row r="35" spans="1:46" ht="30" x14ac:dyDescent="0.25">
      <c r="A35" s="6" t="s">
        <v>365</v>
      </c>
      <c r="B35" s="5" t="s">
        <v>160</v>
      </c>
      <c r="C35" s="5" t="s">
        <v>161</v>
      </c>
      <c r="D35" s="8">
        <v>29028.43</v>
      </c>
      <c r="E35" s="8">
        <f>Tableau_Lancer_la_requête_à_partir_de_Excel_Files1025678[[#This Row],[Aide Massif]]+Tableau_Lancer_la_requête_à_partir_de_Excel_Files1025678[[#This Row],[''Autre Public'']]</f>
        <v>25341.35</v>
      </c>
      <c r="F35" s="9">
        <f>Tableau_Lancer_la_requête_à_partir_de_Excel_Files1025678[[#This Row],[Aide 
publique]]/Tableau_Lancer_la_requête_à_partir_de_Excel_Files1025678[[#This Row],[''Coût total éligible'']]</f>
        <v>0.87298382999011648</v>
      </c>
      <c r="G35"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25341.35</v>
      </c>
      <c r="H35" s="9">
        <f>Tableau_Lancer_la_requête_à_partir_de_Excel_Files1025678[[#This Row],[Aide Massif]]/Tableau_Lancer_la_requête_à_partir_de_Excel_Files1025678[[#This Row],[''Coût total éligible'']]</f>
        <v>0.87298382999011648</v>
      </c>
      <c r="I35" s="8">
        <v>0</v>
      </c>
      <c r="J35" s="8">
        <f>Tableau_Lancer_la_requête_à_partir_de_Excel_Files1025678[[#This Row],[''FNADT '']]+Tableau_Lancer_la_requête_à_partir_de_Excel_Files1025678[[#This Row],[''Agriculture'']]</f>
        <v>20319</v>
      </c>
      <c r="K35" s="8">
        <v>20319</v>
      </c>
      <c r="L35" s="8"/>
      <c r="M35"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5022.3500000000004</v>
      </c>
      <c r="N35" s="8">
        <v>5022.3500000000004</v>
      </c>
      <c r="O35" s="8"/>
      <c r="P35" s="8"/>
      <c r="Q35" s="8"/>
      <c r="R35"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5" s="8"/>
      <c r="T35" s="8"/>
      <c r="U35" s="8"/>
      <c r="V35" s="8"/>
      <c r="W35" s="8"/>
      <c r="X35" s="8"/>
      <c r="Y35" s="8"/>
      <c r="Z35" s="8"/>
      <c r="AA35" s="8"/>
      <c r="AB35" s="8"/>
      <c r="AC35" s="8"/>
      <c r="AD35" s="8"/>
      <c r="AE35" s="8"/>
      <c r="AF35" s="8"/>
      <c r="AG35" s="8"/>
      <c r="AH35" s="8"/>
      <c r="AI35" s="8"/>
      <c r="AJ35" s="8"/>
      <c r="AK35" s="8"/>
      <c r="AL35" s="8"/>
      <c r="AM35" s="8"/>
      <c r="AN35" s="8"/>
      <c r="AO35" s="8">
        <v>0</v>
      </c>
      <c r="AP35" s="10" t="s">
        <v>339</v>
      </c>
      <c r="AQ35" s="69"/>
      <c r="AR35" s="10" t="s">
        <v>337</v>
      </c>
      <c r="AT35" s="65"/>
    </row>
    <row r="36" spans="1:46" ht="30" x14ac:dyDescent="0.25">
      <c r="A36" s="6" t="s">
        <v>366</v>
      </c>
      <c r="B36" s="5" t="s">
        <v>152</v>
      </c>
      <c r="C36" s="5" t="s">
        <v>161</v>
      </c>
      <c r="D36" s="8">
        <v>5078.5200000000004</v>
      </c>
      <c r="E36" s="8">
        <f>Tableau_Lancer_la_requête_à_partir_de_Excel_Files1025678[[#This Row],[Aide Massif]]+Tableau_Lancer_la_requête_à_partir_de_Excel_Files1025678[[#This Row],[''Autre Public'']]</f>
        <v>3555</v>
      </c>
      <c r="F36" s="9">
        <f>Tableau_Lancer_la_requête_à_partir_de_Excel_Files1025678[[#This Row],[Aide 
publique]]/Tableau_Lancer_la_requête_à_partir_de_Excel_Files1025678[[#This Row],[''Coût total éligible'']]</f>
        <v>0.700007088679379</v>
      </c>
      <c r="G36"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3555</v>
      </c>
      <c r="H36" s="9">
        <f>Tableau_Lancer_la_requête_à_partir_de_Excel_Files1025678[[#This Row],[Aide Massif]]/Tableau_Lancer_la_requête_à_partir_de_Excel_Files1025678[[#This Row],[''Coût total éligible'']]</f>
        <v>0.700007088679379</v>
      </c>
      <c r="I36" s="8">
        <v>0</v>
      </c>
      <c r="J36" s="8">
        <f>Tableau_Lancer_la_requête_à_partir_de_Excel_Files1025678[[#This Row],[''FNADT '']]+Tableau_Lancer_la_requête_à_partir_de_Excel_Files1025678[[#This Row],[''Agriculture'']]</f>
        <v>3555</v>
      </c>
      <c r="K36" s="8">
        <v>3555</v>
      </c>
      <c r="L36" s="8"/>
      <c r="M36"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36" s="8"/>
      <c r="O36" s="8"/>
      <c r="P36" s="8"/>
      <c r="Q36" s="8"/>
      <c r="R36"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6" s="8"/>
      <c r="T36" s="8"/>
      <c r="U36" s="8"/>
      <c r="V36" s="8"/>
      <c r="W36" s="8"/>
      <c r="X36" s="8"/>
      <c r="Y36" s="8"/>
      <c r="Z36" s="8"/>
      <c r="AA36" s="8"/>
      <c r="AB36" s="8"/>
      <c r="AC36" s="8"/>
      <c r="AD36" s="8"/>
      <c r="AE36" s="8"/>
      <c r="AF36" s="8"/>
      <c r="AG36" s="8"/>
      <c r="AH36" s="8"/>
      <c r="AI36" s="8"/>
      <c r="AJ36" s="8"/>
      <c r="AK36" s="8"/>
      <c r="AL36" s="8"/>
      <c r="AM36" s="8"/>
      <c r="AN36" s="8"/>
      <c r="AO36" s="8">
        <v>0</v>
      </c>
      <c r="AP36" s="10" t="s">
        <v>339</v>
      </c>
      <c r="AQ36" s="69"/>
      <c r="AR36" s="10" t="s">
        <v>337</v>
      </c>
      <c r="AT36" s="66"/>
    </row>
    <row r="37" spans="1:46" ht="30" x14ac:dyDescent="0.25">
      <c r="A37" s="6" t="s">
        <v>367</v>
      </c>
      <c r="B37" s="5" t="s">
        <v>162</v>
      </c>
      <c r="C37" s="5" t="s">
        <v>161</v>
      </c>
      <c r="D37" s="8">
        <v>2169.34</v>
      </c>
      <c r="E37" s="8">
        <f>Tableau_Lancer_la_requête_à_partir_de_Excel_Files1025678[[#This Row],[Aide Massif]]+Tableau_Lancer_la_requête_à_partir_de_Excel_Files1025678[[#This Row],[''Autre Public'']]</f>
        <v>1518</v>
      </c>
      <c r="F37" s="9">
        <f>Tableau_Lancer_la_requête_à_partir_de_Excel_Files1025678[[#This Row],[Aide 
publique]]/Tableau_Lancer_la_requête_à_partir_de_Excel_Files1025678[[#This Row],[''Coût total éligible'']]</f>
        <v>0.69975199830363144</v>
      </c>
      <c r="G37"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1518</v>
      </c>
      <c r="H37" s="9">
        <f>Tableau_Lancer_la_requête_à_partir_de_Excel_Files1025678[[#This Row],[Aide Massif]]/Tableau_Lancer_la_requête_à_partir_de_Excel_Files1025678[[#This Row],[''Coût total éligible'']]</f>
        <v>0.69975199830363144</v>
      </c>
      <c r="I37" s="8">
        <v>0</v>
      </c>
      <c r="J37" s="8">
        <f>Tableau_Lancer_la_requête_à_partir_de_Excel_Files1025678[[#This Row],[''FNADT '']]+Tableau_Lancer_la_requête_à_partir_de_Excel_Files1025678[[#This Row],[''Agriculture'']]</f>
        <v>1518</v>
      </c>
      <c r="K37" s="8">
        <v>1518</v>
      </c>
      <c r="L37" s="8"/>
      <c r="M37"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37" s="8"/>
      <c r="O37" s="8"/>
      <c r="P37" s="8"/>
      <c r="Q37" s="8"/>
      <c r="R37"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7" s="8"/>
      <c r="T37" s="8"/>
      <c r="U37" s="8"/>
      <c r="V37" s="8"/>
      <c r="W37" s="8"/>
      <c r="X37" s="8"/>
      <c r="Y37" s="8"/>
      <c r="Z37" s="8"/>
      <c r="AA37" s="8"/>
      <c r="AB37" s="8"/>
      <c r="AC37" s="8"/>
      <c r="AD37" s="8"/>
      <c r="AE37" s="8"/>
      <c r="AF37" s="8"/>
      <c r="AG37" s="8"/>
      <c r="AH37" s="8"/>
      <c r="AI37" s="8"/>
      <c r="AJ37" s="8"/>
      <c r="AK37" s="8"/>
      <c r="AL37" s="8"/>
      <c r="AM37" s="8"/>
      <c r="AN37" s="8"/>
      <c r="AO37" s="8">
        <v>0</v>
      </c>
      <c r="AP37" s="10" t="s">
        <v>339</v>
      </c>
      <c r="AQ37" s="69"/>
      <c r="AR37" s="10" t="s">
        <v>337</v>
      </c>
      <c r="AT37" s="65"/>
    </row>
    <row r="38" spans="1:46" ht="30" x14ac:dyDescent="0.25">
      <c r="A38" s="6" t="s">
        <v>368</v>
      </c>
      <c r="B38" s="5" t="s">
        <v>153</v>
      </c>
      <c r="C38" s="5" t="s">
        <v>161</v>
      </c>
      <c r="D38" s="8">
        <v>8250</v>
      </c>
      <c r="E38" s="8">
        <f>Tableau_Lancer_la_requête_à_partir_de_Excel_Files1025678[[#This Row],[Aide Massif]]+Tableau_Lancer_la_requête_à_partir_de_Excel_Files1025678[[#This Row],[''Autre Public'']]</f>
        <v>5775</v>
      </c>
      <c r="F38" s="9">
        <f>Tableau_Lancer_la_requête_à_partir_de_Excel_Files1025678[[#This Row],[Aide 
publique]]/Tableau_Lancer_la_requête_à_partir_de_Excel_Files1025678[[#This Row],[''Coût total éligible'']]</f>
        <v>0.7</v>
      </c>
      <c r="G38"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5775</v>
      </c>
      <c r="H38" s="9">
        <f>Tableau_Lancer_la_requête_à_partir_de_Excel_Files1025678[[#This Row],[Aide Massif]]/Tableau_Lancer_la_requête_à_partir_de_Excel_Files1025678[[#This Row],[''Coût total éligible'']]</f>
        <v>0.7</v>
      </c>
      <c r="I38" s="8">
        <v>0</v>
      </c>
      <c r="J38" s="8">
        <f>Tableau_Lancer_la_requête_à_partir_de_Excel_Files1025678[[#This Row],[''FNADT '']]+Tableau_Lancer_la_requête_à_partir_de_Excel_Files1025678[[#This Row],[''Agriculture'']]</f>
        <v>5775</v>
      </c>
      <c r="K38" s="8">
        <v>5775</v>
      </c>
      <c r="L38" s="8"/>
      <c r="M38"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38" s="8"/>
      <c r="O38" s="8"/>
      <c r="P38" s="8"/>
      <c r="Q38" s="8"/>
      <c r="R38"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8" s="8"/>
      <c r="T38" s="8"/>
      <c r="U38" s="8"/>
      <c r="V38" s="8"/>
      <c r="W38" s="8"/>
      <c r="X38" s="8"/>
      <c r="Y38" s="8"/>
      <c r="Z38" s="8"/>
      <c r="AA38" s="8"/>
      <c r="AB38" s="8"/>
      <c r="AC38" s="8"/>
      <c r="AD38" s="8"/>
      <c r="AE38" s="8"/>
      <c r="AF38" s="8"/>
      <c r="AG38" s="8"/>
      <c r="AH38" s="8"/>
      <c r="AI38" s="8"/>
      <c r="AJ38" s="8"/>
      <c r="AK38" s="8"/>
      <c r="AL38" s="8"/>
      <c r="AM38" s="8"/>
      <c r="AN38" s="8"/>
      <c r="AO38" s="8">
        <v>0</v>
      </c>
      <c r="AP38" s="10" t="s">
        <v>339</v>
      </c>
      <c r="AQ38" s="69"/>
      <c r="AR38" s="10" t="s">
        <v>337</v>
      </c>
      <c r="AT38" s="66"/>
    </row>
    <row r="39" spans="1:46" ht="30" x14ac:dyDescent="0.25">
      <c r="A39" s="6" t="s">
        <v>369</v>
      </c>
      <c r="B39" s="5" t="s">
        <v>163</v>
      </c>
      <c r="C39" s="5" t="s">
        <v>161</v>
      </c>
      <c r="D39" s="8">
        <v>13992.16</v>
      </c>
      <c r="E39" s="8">
        <f>Tableau_Lancer_la_requête_à_partir_de_Excel_Files1025678[[#This Row],[Aide Massif]]+Tableau_Lancer_la_requête_à_partir_de_Excel_Files1025678[[#This Row],[''Autre Public'']]</f>
        <v>9794</v>
      </c>
      <c r="F39" s="9">
        <f>Tableau_Lancer_la_requête_à_partir_de_Excel_Files1025678[[#This Row],[Aide 
publique]]/Tableau_Lancer_la_requête_à_partir_de_Excel_Files1025678[[#This Row],[''Coût total éligible'']]</f>
        <v>0.69996340807995339</v>
      </c>
      <c r="G39"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9794</v>
      </c>
      <c r="H39" s="9">
        <f>Tableau_Lancer_la_requête_à_partir_de_Excel_Files1025678[[#This Row],[Aide Massif]]/Tableau_Lancer_la_requête_à_partir_de_Excel_Files1025678[[#This Row],[''Coût total éligible'']]</f>
        <v>0.69996340807995339</v>
      </c>
      <c r="I39" s="8">
        <v>0</v>
      </c>
      <c r="J39" s="8">
        <f>Tableau_Lancer_la_requête_à_partir_de_Excel_Files1025678[[#This Row],[''FNADT '']]+Tableau_Lancer_la_requête_à_partir_de_Excel_Files1025678[[#This Row],[''Agriculture'']]</f>
        <v>9794</v>
      </c>
      <c r="K39" s="8">
        <v>9794</v>
      </c>
      <c r="L39" s="8"/>
      <c r="M39"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39" s="8"/>
      <c r="O39" s="8"/>
      <c r="P39" s="8"/>
      <c r="Q39" s="8"/>
      <c r="R39"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39" s="8"/>
      <c r="T39" s="8"/>
      <c r="U39" s="8"/>
      <c r="V39" s="8"/>
      <c r="W39" s="8"/>
      <c r="X39" s="8"/>
      <c r="Y39" s="8"/>
      <c r="Z39" s="8"/>
      <c r="AA39" s="8"/>
      <c r="AB39" s="8"/>
      <c r="AC39" s="8"/>
      <c r="AD39" s="8"/>
      <c r="AE39" s="8"/>
      <c r="AF39" s="8"/>
      <c r="AG39" s="8"/>
      <c r="AH39" s="8"/>
      <c r="AI39" s="8"/>
      <c r="AJ39" s="8"/>
      <c r="AK39" s="8"/>
      <c r="AL39" s="8"/>
      <c r="AM39" s="8"/>
      <c r="AN39" s="8"/>
      <c r="AO39" s="8">
        <v>0</v>
      </c>
      <c r="AP39" s="10" t="s">
        <v>339</v>
      </c>
      <c r="AQ39" s="69"/>
      <c r="AR39" s="10" t="s">
        <v>337</v>
      </c>
      <c r="AT39" s="65"/>
    </row>
    <row r="40" spans="1:46" ht="30" x14ac:dyDescent="0.25">
      <c r="A40" s="6" t="s">
        <v>370</v>
      </c>
      <c r="B40" s="5" t="s">
        <v>164</v>
      </c>
      <c r="C40" s="5" t="s">
        <v>161</v>
      </c>
      <c r="D40" s="8">
        <v>3121.68</v>
      </c>
      <c r="E40" s="8">
        <f>Tableau_Lancer_la_requête_à_partir_de_Excel_Files1025678[[#This Row],[Aide Massif]]+Tableau_Lancer_la_requête_à_partir_de_Excel_Files1025678[[#This Row],[''Autre Public'']]</f>
        <v>2185</v>
      </c>
      <c r="F40" s="9">
        <f>Tableau_Lancer_la_requête_à_partir_de_Excel_Files1025678[[#This Row],[Aide 
publique]]/Tableau_Lancer_la_requête_à_partir_de_Excel_Files1025678[[#This Row],[''Coût total éligible'']]</f>
        <v>0.6999436201019964</v>
      </c>
      <c r="G40"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2185</v>
      </c>
      <c r="H40" s="9">
        <f>Tableau_Lancer_la_requête_à_partir_de_Excel_Files1025678[[#This Row],[Aide Massif]]/Tableau_Lancer_la_requête_à_partir_de_Excel_Files1025678[[#This Row],[''Coût total éligible'']]</f>
        <v>0.6999436201019964</v>
      </c>
      <c r="I40" s="8">
        <v>0</v>
      </c>
      <c r="J40" s="8">
        <f>Tableau_Lancer_la_requête_à_partir_de_Excel_Files1025678[[#This Row],[''FNADT '']]+Tableau_Lancer_la_requête_à_partir_de_Excel_Files1025678[[#This Row],[''Agriculture'']]</f>
        <v>2185</v>
      </c>
      <c r="K40" s="8">
        <v>2185</v>
      </c>
      <c r="L40" s="8"/>
      <c r="M40"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0" s="8"/>
      <c r="O40" s="8"/>
      <c r="P40" s="8"/>
      <c r="Q40" s="8"/>
      <c r="R40"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0" s="8"/>
      <c r="T40" s="8"/>
      <c r="U40" s="8"/>
      <c r="V40" s="8"/>
      <c r="W40" s="8"/>
      <c r="X40" s="8"/>
      <c r="Y40" s="8"/>
      <c r="Z40" s="8"/>
      <c r="AA40" s="8"/>
      <c r="AB40" s="8"/>
      <c r="AC40" s="8"/>
      <c r="AD40" s="8"/>
      <c r="AE40" s="8"/>
      <c r="AF40" s="8"/>
      <c r="AG40" s="8"/>
      <c r="AH40" s="8"/>
      <c r="AI40" s="8"/>
      <c r="AJ40" s="8"/>
      <c r="AK40" s="8"/>
      <c r="AL40" s="8"/>
      <c r="AM40" s="8"/>
      <c r="AN40" s="8"/>
      <c r="AO40" s="8">
        <v>0</v>
      </c>
      <c r="AP40" s="10" t="s">
        <v>339</v>
      </c>
      <c r="AQ40" s="69"/>
      <c r="AR40" s="10" t="s">
        <v>337</v>
      </c>
      <c r="AT40" s="66"/>
    </row>
    <row r="41" spans="1:46" ht="30" x14ac:dyDescent="0.25">
      <c r="A41" s="6" t="s">
        <v>371</v>
      </c>
      <c r="B41" s="5" t="s">
        <v>165</v>
      </c>
      <c r="C41" s="5" t="s">
        <v>161</v>
      </c>
      <c r="D41" s="8">
        <v>5605.5</v>
      </c>
      <c r="E41" s="8">
        <f>Tableau_Lancer_la_requête_à_partir_de_Excel_Files1025678[[#This Row],[Aide Massif]]+Tableau_Lancer_la_requête_à_partir_de_Excel_Files1025678[[#This Row],[''Autre Public'']]</f>
        <v>3924</v>
      </c>
      <c r="F41" s="9">
        <f>Tableau_Lancer_la_requête_à_partir_de_Excel_Files1025678[[#This Row],[Aide 
publique]]/Tableau_Lancer_la_requête_à_partir_de_Excel_Files1025678[[#This Row],[''Coût total éligible'']]</f>
        <v>0.70002675943269999</v>
      </c>
      <c r="G41"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3924</v>
      </c>
      <c r="H41" s="9">
        <f>Tableau_Lancer_la_requête_à_partir_de_Excel_Files1025678[[#This Row],[Aide Massif]]/Tableau_Lancer_la_requête_à_partir_de_Excel_Files1025678[[#This Row],[''Coût total éligible'']]</f>
        <v>0.70002675943269999</v>
      </c>
      <c r="I41" s="8">
        <v>0</v>
      </c>
      <c r="J41" s="8">
        <f>Tableau_Lancer_la_requête_à_partir_de_Excel_Files1025678[[#This Row],[''FNADT '']]+Tableau_Lancer_la_requête_à_partir_de_Excel_Files1025678[[#This Row],[''Agriculture'']]</f>
        <v>3924</v>
      </c>
      <c r="K41" s="8">
        <v>3924</v>
      </c>
      <c r="L41" s="8"/>
      <c r="M41"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1" s="8"/>
      <c r="O41" s="8"/>
      <c r="P41" s="8"/>
      <c r="Q41" s="8"/>
      <c r="R41"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1" s="8"/>
      <c r="T41" s="8"/>
      <c r="U41" s="8"/>
      <c r="V41" s="8"/>
      <c r="W41" s="8"/>
      <c r="X41" s="8"/>
      <c r="Y41" s="8"/>
      <c r="Z41" s="8"/>
      <c r="AA41" s="8"/>
      <c r="AB41" s="8"/>
      <c r="AC41" s="8"/>
      <c r="AD41" s="8"/>
      <c r="AE41" s="8"/>
      <c r="AF41" s="8"/>
      <c r="AG41" s="8"/>
      <c r="AH41" s="8"/>
      <c r="AI41" s="8"/>
      <c r="AJ41" s="8"/>
      <c r="AK41" s="8"/>
      <c r="AL41" s="8"/>
      <c r="AM41" s="8"/>
      <c r="AN41" s="8"/>
      <c r="AO41" s="8">
        <v>0</v>
      </c>
      <c r="AP41" s="10" t="s">
        <v>339</v>
      </c>
      <c r="AQ41" s="69"/>
      <c r="AR41" s="10" t="s">
        <v>337</v>
      </c>
      <c r="AT41" s="65"/>
    </row>
    <row r="42" spans="1:46" ht="30" x14ac:dyDescent="0.25">
      <c r="A42" s="6" t="s">
        <v>372</v>
      </c>
      <c r="B42" s="5" t="s">
        <v>166</v>
      </c>
      <c r="C42" s="5" t="s">
        <v>161</v>
      </c>
      <c r="D42" s="8">
        <v>2552.75</v>
      </c>
      <c r="E42" s="8">
        <f>Tableau_Lancer_la_requête_à_partir_de_Excel_Files1025678[[#This Row],[Aide Massif]]+Tableau_Lancer_la_requête_à_partir_de_Excel_Files1025678[[#This Row],[''Autre Public'']]</f>
        <v>1787</v>
      </c>
      <c r="F42" s="9">
        <f>Tableau_Lancer_la_requête_à_partir_de_Excel_Files1025678[[#This Row],[Aide 
publique]]/Tableau_Lancer_la_requête_à_partir_de_Excel_Files1025678[[#This Row],[''Coût total éligible'']]</f>
        <v>0.70002938008030557</v>
      </c>
      <c r="G42"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1787</v>
      </c>
      <c r="H42" s="9">
        <f>Tableau_Lancer_la_requête_à_partir_de_Excel_Files1025678[[#This Row],[Aide Massif]]/Tableau_Lancer_la_requête_à_partir_de_Excel_Files1025678[[#This Row],[''Coût total éligible'']]</f>
        <v>0.70002938008030557</v>
      </c>
      <c r="I42" s="8">
        <v>0</v>
      </c>
      <c r="J42" s="8">
        <f>Tableau_Lancer_la_requête_à_partir_de_Excel_Files1025678[[#This Row],[''FNADT '']]+Tableau_Lancer_la_requête_à_partir_de_Excel_Files1025678[[#This Row],[''Agriculture'']]</f>
        <v>1787</v>
      </c>
      <c r="K42" s="8">
        <v>1787</v>
      </c>
      <c r="L42" s="8"/>
      <c r="M42"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2" s="8"/>
      <c r="O42" s="8"/>
      <c r="P42" s="8"/>
      <c r="Q42" s="8"/>
      <c r="R42"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2" s="8"/>
      <c r="T42" s="8"/>
      <c r="U42" s="8"/>
      <c r="V42" s="8"/>
      <c r="W42" s="8"/>
      <c r="X42" s="8"/>
      <c r="Y42" s="8"/>
      <c r="Z42" s="8"/>
      <c r="AA42" s="8"/>
      <c r="AB42" s="8"/>
      <c r="AC42" s="8"/>
      <c r="AD42" s="8"/>
      <c r="AE42" s="8"/>
      <c r="AF42" s="8"/>
      <c r="AG42" s="8"/>
      <c r="AH42" s="8"/>
      <c r="AI42" s="8"/>
      <c r="AJ42" s="8"/>
      <c r="AK42" s="8"/>
      <c r="AL42" s="8"/>
      <c r="AM42" s="8"/>
      <c r="AN42" s="8"/>
      <c r="AO42" s="8">
        <v>0</v>
      </c>
      <c r="AP42" s="10" t="s">
        <v>339</v>
      </c>
      <c r="AQ42" s="69"/>
      <c r="AR42" s="10" t="s">
        <v>337</v>
      </c>
      <c r="AT42" s="66"/>
    </row>
    <row r="43" spans="1:46" ht="30" x14ac:dyDescent="0.25">
      <c r="A43" s="6" t="s">
        <v>373</v>
      </c>
      <c r="B43" s="5" t="s">
        <v>155</v>
      </c>
      <c r="C43" s="5" t="s">
        <v>161</v>
      </c>
      <c r="D43" s="8">
        <v>6201.13</v>
      </c>
      <c r="E43" s="8">
        <f>Tableau_Lancer_la_requête_à_partir_de_Excel_Files1025678[[#This Row],[Aide Massif]]+Tableau_Lancer_la_requête_à_partir_de_Excel_Files1025678[[#This Row],[''Autre Public'']]</f>
        <v>4341</v>
      </c>
      <c r="F43" s="9">
        <f>Tableau_Lancer_la_requête_à_partir_de_Excel_Files1025678[[#This Row],[Aide 
publique]]/Tableau_Lancer_la_requête_à_partir_de_Excel_Files1025678[[#This Row],[''Coût total éligible'']]</f>
        <v>0.70003370353467831</v>
      </c>
      <c r="G43"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4341</v>
      </c>
      <c r="H43" s="9">
        <f>Tableau_Lancer_la_requête_à_partir_de_Excel_Files1025678[[#This Row],[Aide Massif]]/Tableau_Lancer_la_requête_à_partir_de_Excel_Files1025678[[#This Row],[''Coût total éligible'']]</f>
        <v>0.70003370353467831</v>
      </c>
      <c r="I43" s="8">
        <v>0</v>
      </c>
      <c r="J43" s="8">
        <f>Tableau_Lancer_la_requête_à_partir_de_Excel_Files1025678[[#This Row],[''FNADT '']]+Tableau_Lancer_la_requête_à_partir_de_Excel_Files1025678[[#This Row],[''Agriculture'']]</f>
        <v>4341</v>
      </c>
      <c r="K43" s="8">
        <v>4341</v>
      </c>
      <c r="L43" s="8"/>
      <c r="M43"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3" s="8"/>
      <c r="O43" s="8"/>
      <c r="P43" s="8"/>
      <c r="Q43" s="8"/>
      <c r="R43"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3" s="8"/>
      <c r="T43" s="8"/>
      <c r="U43" s="8"/>
      <c r="V43" s="8"/>
      <c r="W43" s="8"/>
      <c r="X43" s="8"/>
      <c r="Y43" s="8"/>
      <c r="Z43" s="8"/>
      <c r="AA43" s="8"/>
      <c r="AB43" s="8"/>
      <c r="AC43" s="8"/>
      <c r="AD43" s="8"/>
      <c r="AE43" s="8"/>
      <c r="AF43" s="8"/>
      <c r="AG43" s="8"/>
      <c r="AH43" s="8"/>
      <c r="AI43" s="8"/>
      <c r="AJ43" s="8"/>
      <c r="AK43" s="8"/>
      <c r="AL43" s="8"/>
      <c r="AM43" s="8"/>
      <c r="AN43" s="8"/>
      <c r="AO43" s="8">
        <v>0</v>
      </c>
      <c r="AP43" s="10" t="s">
        <v>339</v>
      </c>
      <c r="AQ43" s="69"/>
      <c r="AR43" s="10" t="s">
        <v>337</v>
      </c>
      <c r="AT43" s="65"/>
    </row>
    <row r="44" spans="1:46" ht="30" x14ac:dyDescent="0.25">
      <c r="A44" s="6" t="s">
        <v>374</v>
      </c>
      <c r="B44" s="5" t="s">
        <v>157</v>
      </c>
      <c r="C44" s="5" t="s">
        <v>161</v>
      </c>
      <c r="D44" s="8">
        <v>2165.9</v>
      </c>
      <c r="E44" s="8">
        <f>Tableau_Lancer_la_requête_à_partir_de_Excel_Files1025678[[#This Row],[Aide Massif]]+Tableau_Lancer_la_requête_à_partir_de_Excel_Files1025678[[#This Row],[''Autre Public'']]</f>
        <v>1516</v>
      </c>
      <c r="F44" s="9">
        <f>Tableau_Lancer_la_requête_à_partir_de_Excel_Files1025678[[#This Row],[Aide 
publique]]/Tableau_Lancer_la_requête_à_partir_de_Excel_Files1025678[[#This Row],[''Coût total éligible'']]</f>
        <v>0.69993997876171565</v>
      </c>
      <c r="G44"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1516</v>
      </c>
      <c r="H44" s="9">
        <f>Tableau_Lancer_la_requête_à_partir_de_Excel_Files1025678[[#This Row],[Aide Massif]]/Tableau_Lancer_la_requête_à_partir_de_Excel_Files1025678[[#This Row],[''Coût total éligible'']]</f>
        <v>0.69993997876171565</v>
      </c>
      <c r="I44" s="8">
        <v>0</v>
      </c>
      <c r="J44" s="8">
        <f>Tableau_Lancer_la_requête_à_partir_de_Excel_Files1025678[[#This Row],[''FNADT '']]+Tableau_Lancer_la_requête_à_partir_de_Excel_Files1025678[[#This Row],[''Agriculture'']]</f>
        <v>1516</v>
      </c>
      <c r="K44" s="8">
        <v>1516</v>
      </c>
      <c r="L44" s="8"/>
      <c r="M44"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4" s="8"/>
      <c r="O44" s="8"/>
      <c r="P44" s="8"/>
      <c r="Q44" s="8"/>
      <c r="R44"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4" s="8"/>
      <c r="T44" s="8"/>
      <c r="U44" s="8"/>
      <c r="V44" s="8"/>
      <c r="W44" s="8"/>
      <c r="X44" s="8"/>
      <c r="Y44" s="8"/>
      <c r="Z44" s="8"/>
      <c r="AA44" s="8"/>
      <c r="AB44" s="8"/>
      <c r="AC44" s="8"/>
      <c r="AD44" s="8"/>
      <c r="AE44" s="8"/>
      <c r="AF44" s="8"/>
      <c r="AG44" s="8"/>
      <c r="AH44" s="8"/>
      <c r="AI44" s="8"/>
      <c r="AJ44" s="8"/>
      <c r="AK44" s="8"/>
      <c r="AL44" s="8"/>
      <c r="AM44" s="8"/>
      <c r="AN44" s="8"/>
      <c r="AO44" s="8">
        <v>0</v>
      </c>
      <c r="AP44" s="10" t="s">
        <v>339</v>
      </c>
      <c r="AQ44" s="69"/>
      <c r="AR44" s="10" t="s">
        <v>337</v>
      </c>
      <c r="AT44" s="66"/>
    </row>
    <row r="45" spans="1:46" ht="30" x14ac:dyDescent="0.25">
      <c r="A45" s="6" t="s">
        <v>375</v>
      </c>
      <c r="B45" s="5" t="s">
        <v>167</v>
      </c>
      <c r="C45" s="5" t="s">
        <v>161</v>
      </c>
      <c r="D45" s="8">
        <v>2675.26</v>
      </c>
      <c r="E45" s="8">
        <f>Tableau_Lancer_la_requête_à_partir_de_Excel_Files1025678[[#This Row],[Aide Massif]]+Tableau_Lancer_la_requête_à_partir_de_Excel_Files1025678[[#This Row],[''Autre Public'']]</f>
        <v>1873</v>
      </c>
      <c r="F45" s="9">
        <f>Tableau_Lancer_la_requête_à_partir_de_Excel_Files1025678[[#This Row],[Aide 
publique]]/Tableau_Lancer_la_requête_à_partir_de_Excel_Files1025678[[#This Row],[''Coût total éligible'']]</f>
        <v>0.70011886695124959</v>
      </c>
      <c r="G45"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1873</v>
      </c>
      <c r="H45" s="9">
        <f>Tableau_Lancer_la_requête_à_partir_de_Excel_Files1025678[[#This Row],[Aide Massif]]/Tableau_Lancer_la_requête_à_partir_de_Excel_Files1025678[[#This Row],[''Coût total éligible'']]</f>
        <v>0.70011886695124959</v>
      </c>
      <c r="I45" s="8">
        <v>0</v>
      </c>
      <c r="J45" s="8">
        <f>Tableau_Lancer_la_requête_à_partir_de_Excel_Files1025678[[#This Row],[''FNADT '']]+Tableau_Lancer_la_requête_à_partir_de_Excel_Files1025678[[#This Row],[''Agriculture'']]</f>
        <v>1873</v>
      </c>
      <c r="K45" s="8">
        <v>1873</v>
      </c>
      <c r="L45" s="8"/>
      <c r="M45"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5" s="8"/>
      <c r="O45" s="8"/>
      <c r="P45" s="8"/>
      <c r="Q45" s="8"/>
      <c r="R45"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5" s="8"/>
      <c r="T45" s="8"/>
      <c r="U45" s="8"/>
      <c r="V45" s="8"/>
      <c r="W45" s="8"/>
      <c r="X45" s="8"/>
      <c r="Y45" s="8"/>
      <c r="Z45" s="8"/>
      <c r="AA45" s="8"/>
      <c r="AB45" s="8"/>
      <c r="AC45" s="8"/>
      <c r="AD45" s="8"/>
      <c r="AE45" s="8"/>
      <c r="AF45" s="8"/>
      <c r="AG45" s="8"/>
      <c r="AH45" s="8"/>
      <c r="AI45" s="8"/>
      <c r="AJ45" s="8"/>
      <c r="AK45" s="8"/>
      <c r="AL45" s="8"/>
      <c r="AM45" s="8"/>
      <c r="AN45" s="8"/>
      <c r="AO45" s="8">
        <v>0</v>
      </c>
      <c r="AP45" s="10" t="s">
        <v>339</v>
      </c>
      <c r="AQ45" s="69"/>
      <c r="AR45" s="10" t="s">
        <v>337</v>
      </c>
      <c r="AT45" s="65"/>
    </row>
    <row r="46" spans="1:46" ht="30" x14ac:dyDescent="0.25">
      <c r="A46" s="6" t="s">
        <v>376</v>
      </c>
      <c r="B46" s="5" t="s">
        <v>156</v>
      </c>
      <c r="C46" s="5" t="s">
        <v>161</v>
      </c>
      <c r="D46" s="8">
        <v>4680.0600000000004</v>
      </c>
      <c r="E46" s="8">
        <f>Tableau_Lancer_la_requête_à_partir_de_Excel_Files1025678[[#This Row],[Aide Massif]]+Tableau_Lancer_la_requête_à_partir_de_Excel_Files1025678[[#This Row],[''Autre Public'']]</f>
        <v>3276</v>
      </c>
      <c r="F46" s="9">
        <f>Tableau_Lancer_la_requête_à_partir_de_Excel_Files1025678[[#This Row],[Aide 
publique]]/Tableau_Lancer_la_requête_à_partir_de_Excel_Files1025678[[#This Row],[''Coût total éligible'']]</f>
        <v>0.69999102575607997</v>
      </c>
      <c r="G46"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3276</v>
      </c>
      <c r="H46" s="9">
        <f>Tableau_Lancer_la_requête_à_partir_de_Excel_Files1025678[[#This Row],[Aide Massif]]/Tableau_Lancer_la_requête_à_partir_de_Excel_Files1025678[[#This Row],[''Coût total éligible'']]</f>
        <v>0.69999102575607997</v>
      </c>
      <c r="I46" s="8">
        <v>0</v>
      </c>
      <c r="J46" s="8">
        <f>Tableau_Lancer_la_requête_à_partir_de_Excel_Files1025678[[#This Row],[''FNADT '']]+Tableau_Lancer_la_requête_à_partir_de_Excel_Files1025678[[#This Row],[''Agriculture'']]</f>
        <v>3276</v>
      </c>
      <c r="K46" s="8">
        <v>3276</v>
      </c>
      <c r="L46" s="8"/>
      <c r="M46"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6" s="8"/>
      <c r="O46" s="8"/>
      <c r="P46" s="8"/>
      <c r="Q46" s="8"/>
      <c r="R46"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6" s="8"/>
      <c r="T46" s="8"/>
      <c r="U46" s="8"/>
      <c r="V46" s="8"/>
      <c r="W46" s="8"/>
      <c r="X46" s="8"/>
      <c r="Y46" s="8"/>
      <c r="Z46" s="8"/>
      <c r="AA46" s="8"/>
      <c r="AB46" s="8"/>
      <c r="AC46" s="8"/>
      <c r="AD46" s="8"/>
      <c r="AE46" s="8"/>
      <c r="AF46" s="8"/>
      <c r="AG46" s="8"/>
      <c r="AH46" s="8"/>
      <c r="AI46" s="8"/>
      <c r="AJ46" s="8"/>
      <c r="AK46" s="8"/>
      <c r="AL46" s="8"/>
      <c r="AM46" s="8"/>
      <c r="AN46" s="8"/>
      <c r="AO46" s="8">
        <v>0</v>
      </c>
      <c r="AP46" s="10" t="s">
        <v>339</v>
      </c>
      <c r="AQ46" s="69"/>
      <c r="AR46" s="10" t="s">
        <v>337</v>
      </c>
      <c r="AT46" s="66"/>
    </row>
    <row r="47" spans="1:46" ht="30" x14ac:dyDescent="0.25">
      <c r="A47" s="6" t="s">
        <v>377</v>
      </c>
      <c r="B47" s="5" t="s">
        <v>168</v>
      </c>
      <c r="C47" s="5" t="s">
        <v>161</v>
      </c>
      <c r="D47" s="8">
        <v>3328.65</v>
      </c>
      <c r="E47" s="8">
        <f>Tableau_Lancer_la_requête_à_partir_de_Excel_Files1025678[[#This Row],[Aide Massif]]+Tableau_Lancer_la_requête_à_partir_de_Excel_Files1025678[[#This Row],[''Autre Public'']]</f>
        <v>2330</v>
      </c>
      <c r="F47" s="9">
        <f>Tableau_Lancer_la_requête_à_partir_de_Excel_Files1025678[[#This Row],[Aide 
publique]]/Tableau_Lancer_la_requête_à_partir_de_Excel_Files1025678[[#This Row],[''Coût total éligible'']]</f>
        <v>0.69998347678488271</v>
      </c>
      <c r="G47"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2330</v>
      </c>
      <c r="H47" s="9">
        <f>Tableau_Lancer_la_requête_à_partir_de_Excel_Files1025678[[#This Row],[Aide Massif]]/Tableau_Lancer_la_requête_à_partir_de_Excel_Files1025678[[#This Row],[''Coût total éligible'']]</f>
        <v>0.69998347678488271</v>
      </c>
      <c r="I47" s="8">
        <v>0</v>
      </c>
      <c r="J47" s="8">
        <f>Tableau_Lancer_la_requête_à_partir_de_Excel_Files1025678[[#This Row],[''FNADT '']]+Tableau_Lancer_la_requête_à_partir_de_Excel_Files1025678[[#This Row],[''Agriculture'']]</f>
        <v>2330</v>
      </c>
      <c r="K47" s="8">
        <v>2330</v>
      </c>
      <c r="L47" s="8"/>
      <c r="M47"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7" s="8"/>
      <c r="O47" s="8"/>
      <c r="P47" s="8"/>
      <c r="Q47" s="8"/>
      <c r="R47"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7" s="8"/>
      <c r="T47" s="8"/>
      <c r="U47" s="8"/>
      <c r="V47" s="8"/>
      <c r="W47" s="8"/>
      <c r="X47" s="8"/>
      <c r="Y47" s="8"/>
      <c r="Z47" s="8"/>
      <c r="AA47" s="8"/>
      <c r="AB47" s="8"/>
      <c r="AC47" s="8"/>
      <c r="AD47" s="8"/>
      <c r="AE47" s="8"/>
      <c r="AF47" s="8"/>
      <c r="AG47" s="8"/>
      <c r="AH47" s="8"/>
      <c r="AI47" s="8"/>
      <c r="AJ47" s="8"/>
      <c r="AK47" s="8"/>
      <c r="AL47" s="8"/>
      <c r="AM47" s="8"/>
      <c r="AN47" s="8"/>
      <c r="AO47" s="8">
        <v>0</v>
      </c>
      <c r="AP47" s="10" t="s">
        <v>339</v>
      </c>
      <c r="AQ47" s="69"/>
      <c r="AR47" s="10" t="s">
        <v>337</v>
      </c>
      <c r="AT47" s="65"/>
    </row>
    <row r="48" spans="1:46" ht="30" x14ac:dyDescent="0.25">
      <c r="A48" s="6" t="s">
        <v>378</v>
      </c>
      <c r="B48" s="5" t="s">
        <v>169</v>
      </c>
      <c r="C48" s="5" t="s">
        <v>161</v>
      </c>
      <c r="D48" s="8">
        <v>10505.59</v>
      </c>
      <c r="E48" s="8">
        <f>Tableau_Lancer_la_requête_à_partir_de_Excel_Files1025678[[#This Row],[Aide Massif]]+Tableau_Lancer_la_requête_à_partir_de_Excel_Files1025678[[#This Row],[''Autre Public'']]</f>
        <v>7354</v>
      </c>
      <c r="F48" s="9">
        <f>Tableau_Lancer_la_requête_à_partir_de_Excel_Files1025678[[#This Row],[Aide 
publique]]/Tableau_Lancer_la_requête_à_partir_de_Excel_Files1025678[[#This Row],[''Coût total éligible'']]</f>
        <v>0.70000828130547643</v>
      </c>
      <c r="G48"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7354</v>
      </c>
      <c r="H48" s="9">
        <f>Tableau_Lancer_la_requête_à_partir_de_Excel_Files1025678[[#This Row],[Aide Massif]]/Tableau_Lancer_la_requête_à_partir_de_Excel_Files1025678[[#This Row],[''Coût total éligible'']]</f>
        <v>0.70000828130547643</v>
      </c>
      <c r="I48" s="8">
        <v>0</v>
      </c>
      <c r="J48" s="8">
        <f>Tableau_Lancer_la_requête_à_partir_de_Excel_Files1025678[[#This Row],[''FNADT '']]+Tableau_Lancer_la_requête_à_partir_de_Excel_Files1025678[[#This Row],[''Agriculture'']]</f>
        <v>7354</v>
      </c>
      <c r="K48" s="8">
        <v>7354</v>
      </c>
      <c r="L48" s="8"/>
      <c r="M48"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8" s="8"/>
      <c r="O48" s="8"/>
      <c r="P48" s="8"/>
      <c r="Q48" s="8"/>
      <c r="R48"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8" s="8"/>
      <c r="T48" s="8"/>
      <c r="U48" s="8"/>
      <c r="V48" s="8"/>
      <c r="W48" s="8"/>
      <c r="X48" s="8"/>
      <c r="Y48" s="8"/>
      <c r="Z48" s="8"/>
      <c r="AA48" s="8"/>
      <c r="AB48" s="8"/>
      <c r="AC48" s="8"/>
      <c r="AD48" s="8"/>
      <c r="AE48" s="8"/>
      <c r="AF48" s="8"/>
      <c r="AG48" s="8"/>
      <c r="AH48" s="8"/>
      <c r="AI48" s="8"/>
      <c r="AJ48" s="8"/>
      <c r="AK48" s="8"/>
      <c r="AL48" s="8"/>
      <c r="AM48" s="8"/>
      <c r="AN48" s="8"/>
      <c r="AO48" s="8">
        <v>0</v>
      </c>
      <c r="AP48" s="10" t="s">
        <v>339</v>
      </c>
      <c r="AQ48" s="69"/>
      <c r="AR48" s="10" t="s">
        <v>337</v>
      </c>
      <c r="AT48" s="66"/>
    </row>
    <row r="49" spans="1:46" ht="30" x14ac:dyDescent="0.25">
      <c r="A49" s="6" t="s">
        <v>379</v>
      </c>
      <c r="B49" s="5" t="s">
        <v>170</v>
      </c>
      <c r="C49" s="5" t="s">
        <v>161</v>
      </c>
      <c r="D49" s="8">
        <v>7520.34</v>
      </c>
      <c r="E49" s="8">
        <f>Tableau_Lancer_la_requête_à_partir_de_Excel_Files1025678[[#This Row],[Aide Massif]]+Tableau_Lancer_la_requête_à_partir_de_Excel_Files1025678[[#This Row],[''Autre Public'']]</f>
        <v>5264</v>
      </c>
      <c r="F49" s="9">
        <f>Tableau_Lancer_la_requête_à_partir_de_Excel_Files1025678[[#This Row],[Aide 
publique]]/Tableau_Lancer_la_requête_à_partir_de_Excel_Files1025678[[#This Row],[''Coût total éligible'']]</f>
        <v>0.69996835249470102</v>
      </c>
      <c r="G49"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5264</v>
      </c>
      <c r="H49" s="9">
        <f>Tableau_Lancer_la_requête_à_partir_de_Excel_Files1025678[[#This Row],[Aide Massif]]/Tableau_Lancer_la_requête_à_partir_de_Excel_Files1025678[[#This Row],[''Coût total éligible'']]</f>
        <v>0.69996835249470102</v>
      </c>
      <c r="I49" s="8">
        <v>0</v>
      </c>
      <c r="J49" s="8">
        <f>Tableau_Lancer_la_requête_à_partir_de_Excel_Files1025678[[#This Row],[''FNADT '']]+Tableau_Lancer_la_requête_à_partir_de_Excel_Files1025678[[#This Row],[''Agriculture'']]</f>
        <v>5264</v>
      </c>
      <c r="K49" s="8">
        <v>5264</v>
      </c>
      <c r="L49" s="8"/>
      <c r="M49"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49" s="8"/>
      <c r="O49" s="8"/>
      <c r="P49" s="8"/>
      <c r="Q49" s="8"/>
      <c r="R49"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49" s="8"/>
      <c r="T49" s="8"/>
      <c r="U49" s="8"/>
      <c r="V49" s="8"/>
      <c r="W49" s="8"/>
      <c r="X49" s="8"/>
      <c r="Y49" s="8"/>
      <c r="Z49" s="8"/>
      <c r="AA49" s="8"/>
      <c r="AB49" s="8"/>
      <c r="AC49" s="8"/>
      <c r="AD49" s="8"/>
      <c r="AE49" s="8"/>
      <c r="AF49" s="8"/>
      <c r="AG49" s="8"/>
      <c r="AH49" s="8"/>
      <c r="AI49" s="8"/>
      <c r="AJ49" s="8"/>
      <c r="AK49" s="8"/>
      <c r="AL49" s="8"/>
      <c r="AM49" s="8"/>
      <c r="AN49" s="8"/>
      <c r="AO49" s="8">
        <v>0</v>
      </c>
      <c r="AP49" s="10" t="s">
        <v>339</v>
      </c>
      <c r="AQ49" s="69"/>
      <c r="AR49" s="10" t="s">
        <v>337</v>
      </c>
      <c r="AT49" s="65"/>
    </row>
    <row r="50" spans="1:46" ht="30" x14ac:dyDescent="0.25">
      <c r="A50" s="6" t="s">
        <v>380</v>
      </c>
      <c r="B50" s="5" t="s">
        <v>171</v>
      </c>
      <c r="C50" s="5" t="s">
        <v>161</v>
      </c>
      <c r="D50" s="8">
        <v>11345.71</v>
      </c>
      <c r="E50" s="8">
        <f>Tableau_Lancer_la_requête_à_partir_de_Excel_Files1025678[[#This Row],[Aide Massif]]+Tableau_Lancer_la_requête_à_partir_de_Excel_Files1025678[[#This Row],[''Autre Public'']]</f>
        <v>7942</v>
      </c>
      <c r="F50" s="9">
        <f>Tableau_Lancer_la_requête_à_partir_de_Excel_Files1025678[[#This Row],[Aide 
publique]]/Tableau_Lancer_la_requête_à_partir_de_Excel_Files1025678[[#This Row],[''Coût total éligible'']]</f>
        <v>0.70000026441712337</v>
      </c>
      <c r="G50"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7942</v>
      </c>
      <c r="H50" s="9">
        <f>Tableau_Lancer_la_requête_à_partir_de_Excel_Files1025678[[#This Row],[Aide Massif]]/Tableau_Lancer_la_requête_à_partir_de_Excel_Files1025678[[#This Row],[''Coût total éligible'']]</f>
        <v>0.70000026441712337</v>
      </c>
      <c r="I50" s="8">
        <v>0</v>
      </c>
      <c r="J50" s="8">
        <f>Tableau_Lancer_la_requête_à_partir_de_Excel_Files1025678[[#This Row],[''FNADT '']]+Tableau_Lancer_la_requête_à_partir_de_Excel_Files1025678[[#This Row],[''Agriculture'']]</f>
        <v>7942</v>
      </c>
      <c r="K50" s="8">
        <v>7942</v>
      </c>
      <c r="L50" s="8"/>
      <c r="M50"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50" s="8"/>
      <c r="O50" s="8"/>
      <c r="P50" s="8"/>
      <c r="Q50" s="8"/>
      <c r="R50"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50" s="8"/>
      <c r="T50" s="8"/>
      <c r="U50" s="8"/>
      <c r="V50" s="8"/>
      <c r="W50" s="8"/>
      <c r="X50" s="8"/>
      <c r="Y50" s="8"/>
      <c r="Z50" s="8"/>
      <c r="AA50" s="8"/>
      <c r="AB50" s="8"/>
      <c r="AC50" s="8"/>
      <c r="AD50" s="8"/>
      <c r="AE50" s="8"/>
      <c r="AF50" s="8"/>
      <c r="AG50" s="8"/>
      <c r="AH50" s="8"/>
      <c r="AI50" s="8"/>
      <c r="AJ50" s="8"/>
      <c r="AK50" s="8"/>
      <c r="AL50" s="8"/>
      <c r="AM50" s="8"/>
      <c r="AN50" s="8"/>
      <c r="AO50" s="8">
        <v>0</v>
      </c>
      <c r="AP50" s="10" t="s">
        <v>339</v>
      </c>
      <c r="AQ50" s="69"/>
      <c r="AR50" s="10" t="s">
        <v>337</v>
      </c>
    </row>
    <row r="51" spans="1:46" ht="30" x14ac:dyDescent="0.25">
      <c r="A51" s="6" t="s">
        <v>381</v>
      </c>
      <c r="B51" s="5" t="s">
        <v>9</v>
      </c>
      <c r="C51" s="5" t="s">
        <v>161</v>
      </c>
      <c r="D51" s="8">
        <v>22856.79</v>
      </c>
      <c r="E51" s="8">
        <f>Tableau_Lancer_la_requête_à_partir_de_Excel_Files1025678[[#This Row],[Aide Massif]]+Tableau_Lancer_la_requête_à_partir_de_Excel_Files1025678[[#This Row],[''Autre Public'']]</f>
        <v>16000</v>
      </c>
      <c r="F51" s="9">
        <f>Tableau_Lancer_la_requête_à_partir_de_Excel_Files1025678[[#This Row],[Aide 
publique]]/Tableau_Lancer_la_requête_à_partir_de_Excel_Files1025678[[#This Row],[''Coût total éligible'']]</f>
        <v>0.70001080641682401</v>
      </c>
      <c r="G51" s="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16000</v>
      </c>
      <c r="H51" s="9">
        <f>Tableau_Lancer_la_requête_à_partir_de_Excel_Files1025678[[#This Row],[Aide Massif]]/Tableau_Lancer_la_requête_à_partir_de_Excel_Files1025678[[#This Row],[''Coût total éligible'']]</f>
        <v>0.70001080641682401</v>
      </c>
      <c r="I51" s="8">
        <v>0</v>
      </c>
      <c r="J51" s="8">
        <f>Tableau_Lancer_la_requête_à_partir_de_Excel_Files1025678[[#This Row],[''FNADT '']]+Tableau_Lancer_la_requête_à_partir_de_Excel_Files1025678[[#This Row],[''Agriculture'']]</f>
        <v>16000</v>
      </c>
      <c r="K51" s="8">
        <v>16000</v>
      </c>
      <c r="L51" s="8"/>
      <c r="M51" s="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51" s="8"/>
      <c r="O51" s="8"/>
      <c r="P51" s="8"/>
      <c r="Q51" s="8"/>
      <c r="R51" s="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51" s="8"/>
      <c r="T51" s="8"/>
      <c r="U51" s="8"/>
      <c r="V51" s="8"/>
      <c r="W51" s="8"/>
      <c r="X51" s="8"/>
      <c r="Y51" s="8"/>
      <c r="Z51" s="8"/>
      <c r="AA51" s="8"/>
      <c r="AB51" s="8"/>
      <c r="AC51" s="8"/>
      <c r="AD51" s="8"/>
      <c r="AE51" s="8"/>
      <c r="AF51" s="8"/>
      <c r="AG51" s="8"/>
      <c r="AH51" s="8"/>
      <c r="AI51" s="8"/>
      <c r="AJ51" s="8"/>
      <c r="AK51" s="8"/>
      <c r="AL51" s="8"/>
      <c r="AM51" s="8"/>
      <c r="AN51" s="8"/>
      <c r="AO51" s="8">
        <v>0</v>
      </c>
      <c r="AP51" s="10" t="s">
        <v>339</v>
      </c>
      <c r="AQ51" s="69"/>
      <c r="AR51" s="10" t="s">
        <v>337</v>
      </c>
      <c r="AT51" s="65"/>
    </row>
    <row r="52" spans="1:46" ht="30.75" thickBot="1" x14ac:dyDescent="0.3">
      <c r="A52" s="107" t="s">
        <v>382</v>
      </c>
      <c r="B52" s="89" t="s">
        <v>124</v>
      </c>
      <c r="C52" s="89" t="s">
        <v>161</v>
      </c>
      <c r="D52" s="108">
        <v>4986.6099999999997</v>
      </c>
      <c r="E52" s="108">
        <f>Tableau_Lancer_la_requête_à_partir_de_Excel_Files1025678[[#This Row],[Aide Massif]]+Tableau_Lancer_la_requête_à_partir_de_Excel_Files1025678[[#This Row],[''Autre Public'']]</f>
        <v>3491</v>
      </c>
      <c r="F52" s="109">
        <f>Tableau_Lancer_la_requête_à_partir_de_Excel_Files1025678[[#This Row],[Aide 
publique]]/Tableau_Lancer_la_requête_à_partir_de_Excel_Files1025678[[#This Row],[''Coût total éligible'']]</f>
        <v>0.70007480031524427</v>
      </c>
      <c r="G52" s="10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3491</v>
      </c>
      <c r="H52" s="109">
        <f>Tableau_Lancer_la_requête_à_partir_de_Excel_Files1025678[[#This Row],[Aide Massif]]/Tableau_Lancer_la_requête_à_partir_de_Excel_Files1025678[[#This Row],[''Coût total éligible'']]</f>
        <v>0.70007480031524427</v>
      </c>
      <c r="I52" s="108">
        <v>0</v>
      </c>
      <c r="J52" s="108">
        <f>Tableau_Lancer_la_requête_à_partir_de_Excel_Files1025678[[#This Row],[''FNADT '']]+Tableau_Lancer_la_requête_à_partir_de_Excel_Files1025678[[#This Row],[''Agriculture'']]</f>
        <v>3491</v>
      </c>
      <c r="K52" s="108">
        <v>3491</v>
      </c>
      <c r="L52" s="108"/>
      <c r="M52" s="10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52" s="108"/>
      <c r="O52" s="108"/>
      <c r="P52" s="108"/>
      <c r="Q52" s="108"/>
      <c r="R52" s="10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v>0</v>
      </c>
      <c r="AP52" s="88" t="s">
        <v>339</v>
      </c>
      <c r="AQ52" s="110"/>
      <c r="AR52" s="10" t="s">
        <v>337</v>
      </c>
    </row>
    <row r="53" spans="1:46" ht="30.75" thickTop="1" x14ac:dyDescent="0.25">
      <c r="A53" s="107" t="s">
        <v>383</v>
      </c>
      <c r="B53" s="89" t="s">
        <v>172</v>
      </c>
      <c r="C53" s="89" t="s">
        <v>161</v>
      </c>
      <c r="D53" s="108">
        <v>5924.2</v>
      </c>
      <c r="E53" s="108">
        <f>Tableau_Lancer_la_requête_à_partir_de_Excel_Files1025678[[#This Row],[Aide Massif]]+Tableau_Lancer_la_requête_à_partir_de_Excel_Files1025678[[#This Row],[''Autre Public'']]</f>
        <v>4146</v>
      </c>
      <c r="F53" s="109">
        <f>Tableau_Lancer_la_requête_à_partir_de_Excel_Files1025678[[#This Row],[Aide 
publique]]/Tableau_Lancer_la_requête_à_partir_de_Excel_Files1025678[[#This Row],[''Coût total éligible'']]</f>
        <v>0.69984132878700922</v>
      </c>
      <c r="G53" s="10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4146</v>
      </c>
      <c r="H53" s="109">
        <f>Tableau_Lancer_la_requête_à_partir_de_Excel_Files1025678[[#This Row],[Aide Massif]]/Tableau_Lancer_la_requête_à_partir_de_Excel_Files1025678[[#This Row],[''Coût total éligible'']]</f>
        <v>0.69984132878700922</v>
      </c>
      <c r="I53" s="108">
        <v>0</v>
      </c>
      <c r="J53" s="108">
        <f>Tableau_Lancer_la_requête_à_partir_de_Excel_Files1025678[[#This Row],[''FNADT '']]+Tableau_Lancer_la_requête_à_partir_de_Excel_Files1025678[[#This Row],[''Agriculture'']]</f>
        <v>4146</v>
      </c>
      <c r="K53" s="108">
        <v>4146</v>
      </c>
      <c r="L53" s="108"/>
      <c r="M53" s="10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53" s="108"/>
      <c r="O53" s="108"/>
      <c r="P53" s="108"/>
      <c r="Q53" s="108"/>
      <c r="R53" s="10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v>0</v>
      </c>
      <c r="AP53" s="88" t="s">
        <v>339</v>
      </c>
      <c r="AQ53" s="110"/>
      <c r="AR53" s="10" t="s">
        <v>337</v>
      </c>
      <c r="AT53" s="67"/>
    </row>
    <row r="54" spans="1:46" ht="45" x14ac:dyDescent="0.25">
      <c r="A54" s="107" t="s">
        <v>384</v>
      </c>
      <c r="B54" s="89" t="s">
        <v>173</v>
      </c>
      <c r="C54" s="89" t="s">
        <v>161</v>
      </c>
      <c r="D54" s="108">
        <v>11645.95</v>
      </c>
      <c r="E54" s="108">
        <f>Tableau_Lancer_la_requête_à_partir_de_Excel_Files1025678[[#This Row],[Aide Massif]]+Tableau_Lancer_la_requête_à_partir_de_Excel_Files1025678[[#This Row],[''Autre Public'']]</f>
        <v>8152</v>
      </c>
      <c r="F54" s="109">
        <f>Tableau_Lancer_la_requête_à_partir_de_Excel_Files1025678[[#This Row],[Aide 
publique]]/Tableau_Lancer_la_requête_à_partir_de_Excel_Files1025678[[#This Row],[''Coût total éligible'']]</f>
        <v>0.69998583198450959</v>
      </c>
      <c r="G54" s="108">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8152</v>
      </c>
      <c r="H54" s="109">
        <f>Tableau_Lancer_la_requête_à_partir_de_Excel_Files1025678[[#This Row],[Aide Massif]]/Tableau_Lancer_la_requête_à_partir_de_Excel_Files1025678[[#This Row],[''Coût total éligible'']]</f>
        <v>0.69998583198450959</v>
      </c>
      <c r="I54" s="108">
        <v>0</v>
      </c>
      <c r="J54" s="108">
        <f>Tableau_Lancer_la_requête_à_partir_de_Excel_Files1025678[[#This Row],[''FNADT '']]+Tableau_Lancer_la_requête_à_partir_de_Excel_Files1025678[[#This Row],[''Agriculture'']]</f>
        <v>8152</v>
      </c>
      <c r="K54" s="108">
        <v>8152</v>
      </c>
      <c r="L54" s="108"/>
      <c r="M54" s="108">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54" s="108"/>
      <c r="O54" s="108"/>
      <c r="P54" s="108"/>
      <c r="Q54" s="108"/>
      <c r="R54" s="108">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v>0</v>
      </c>
      <c r="AP54" s="88" t="s">
        <v>339</v>
      </c>
      <c r="AQ54" s="110"/>
      <c r="AR54" s="10" t="s">
        <v>337</v>
      </c>
    </row>
    <row r="55" spans="1:46" x14ac:dyDescent="0.25">
      <c r="A55" s="10" t="s">
        <v>8</v>
      </c>
      <c r="B55" s="5">
        <f>SUBTOTAL(103,Tableau_Lancer_la_requête_à_partir_de_Excel_Files1025678[Nom_MO])</f>
        <v>48</v>
      </c>
      <c r="D55" s="58">
        <f>SUBTOTAL(109,Tableau_Lancer_la_requête_à_partir_de_Excel_Files1025678[''Coût total éligible''])</f>
        <v>1828230.8599999999</v>
      </c>
      <c r="E55" s="58">
        <f>SUBTOTAL(109,Tableau_Lancer_la_requête_à_partir_de_Excel_Files1025678[Aide 
publique])</f>
        <v>1189196.6000000001</v>
      </c>
      <c r="F55" s="123"/>
      <c r="G55" s="58">
        <f>SUBTOTAL(109,Tableau_Lancer_la_requête_à_partir_de_Excel_Files1025678[Aide Massif])</f>
        <v>1189196.6000000001</v>
      </c>
      <c r="H55" s="123"/>
      <c r="I55" s="58">
        <f>SUBTOTAL(109,Tableau_Lancer_la_requête_à_partir_de_Excel_Files1025678[''FEDER''])</f>
        <v>0</v>
      </c>
      <c r="J55" s="58">
        <f>SUBTOTAL(109,Tableau_Lancer_la_requête_à_partir_de_Excel_Files1025678[Total Etat])</f>
        <v>839978.25</v>
      </c>
      <c r="K55" s="10"/>
      <c r="L55" s="58">
        <f>SUBTOTAL(109,Tableau_Lancer_la_requête_à_partir_de_Excel_Files1025678[''Agriculture''])</f>
        <v>426163.99</v>
      </c>
      <c r="M55" s="58">
        <f>SUBTOTAL(109,Tableau_Lancer_la_requête_à_partir_de_Excel_Files1025678[Total Régions])</f>
        <v>349218.35</v>
      </c>
      <c r="N55" s="58">
        <f>SUBTOTAL(109,Tableau_Lancer_la_requête_à_partir_de_Excel_Files1025678[''ALPC''])</f>
        <v>17022.349999999999</v>
      </c>
      <c r="O55" s="58">
        <f>SUBTOTAL(109,Tableau_Lancer_la_requête_à_partir_de_Excel_Files1025678[''AURA''])</f>
        <v>149096.47999999998</v>
      </c>
      <c r="P55" s="58">
        <f>SUBTOTAL(109,Tableau_Lancer_la_requête_à_partir_de_Excel_Files1025678[''BFC''])</f>
        <v>0</v>
      </c>
      <c r="Q55" s="58">
        <f>SUBTOTAL(109,Tableau_Lancer_la_requête_à_partir_de_Excel_Files1025678[''LRMP''])</f>
        <v>183099.52000000002</v>
      </c>
      <c r="R55" s="58">
        <f>SUBTOTAL(109,Tableau_Lancer_la_requête_à_partir_de_Excel_Files1025678[Total Dpts])</f>
        <v>0</v>
      </c>
      <c r="S55" s="58">
        <f>SUBTOTAL(109,Tableau_Lancer_la_requête_à_partir_de_Excel_Files1025678[''03''])</f>
        <v>0</v>
      </c>
      <c r="T55" s="58">
        <f>SUBTOTAL(109,Tableau_Lancer_la_requête_à_partir_de_Excel_Files1025678[''07''])</f>
        <v>0</v>
      </c>
      <c r="U55" s="58">
        <f>SUBTOTAL(109,Tableau_Lancer_la_requête_à_partir_de_Excel_Files1025678[''11''])</f>
        <v>0</v>
      </c>
      <c r="V55" s="58">
        <f>SUBTOTAL(109,Tableau_Lancer_la_requête_à_partir_de_Excel_Files1025678[''12''])</f>
        <v>0</v>
      </c>
      <c r="W55" s="58">
        <f>SUBTOTAL(109,Tableau_Lancer_la_requête_à_partir_de_Excel_Files1025678[''15''])</f>
        <v>0</v>
      </c>
      <c r="X55" s="58">
        <f>SUBTOTAL(109,Tableau_Lancer_la_requête_à_partir_de_Excel_Files1025678[''19''])</f>
        <v>0</v>
      </c>
      <c r="Y55" s="58">
        <f>SUBTOTAL(109,Tableau_Lancer_la_requête_à_partir_de_Excel_Files1025678[''21''])</f>
        <v>0</v>
      </c>
      <c r="Z55" s="58">
        <f>SUBTOTAL(109,Tableau_Lancer_la_requête_à_partir_de_Excel_Files1025678[''23''])</f>
        <v>0</v>
      </c>
      <c r="AA55" s="58">
        <f>SUBTOTAL(109,Tableau_Lancer_la_requête_à_partir_de_Excel_Files1025678[''30''])</f>
        <v>0</v>
      </c>
      <c r="AB55" s="58">
        <f>SUBTOTAL(109,Tableau_Lancer_la_requête_à_partir_de_Excel_Files1025678[''34''])</f>
        <v>0</v>
      </c>
      <c r="AC55" s="58">
        <f>SUBTOTAL(109,Tableau_Lancer_la_requête_à_partir_de_Excel_Files1025678[''42''])</f>
        <v>0</v>
      </c>
      <c r="AD55" s="58">
        <f>SUBTOTAL(109,Tableau_Lancer_la_requête_à_partir_de_Excel_Files1025678[''43''])</f>
        <v>0</v>
      </c>
      <c r="AE55" s="58">
        <f>SUBTOTAL(109,Tableau_Lancer_la_requête_à_partir_de_Excel_Files1025678[''46''])</f>
        <v>0</v>
      </c>
      <c r="AF55" s="58">
        <f>SUBTOTAL(109,Tableau_Lancer_la_requête_à_partir_de_Excel_Files1025678[''48''])</f>
        <v>0</v>
      </c>
      <c r="AG55" s="58">
        <f>SUBTOTAL(109,Tableau_Lancer_la_requête_à_partir_de_Excel_Files1025678[''58''])</f>
        <v>0</v>
      </c>
      <c r="AH55" s="58">
        <f>SUBTOTAL(109,Tableau_Lancer_la_requête_à_partir_de_Excel_Files1025678[''63''])</f>
        <v>0</v>
      </c>
      <c r="AI55" s="58">
        <f>SUBTOTAL(109,Tableau_Lancer_la_requête_à_partir_de_Excel_Files1025678[''69''])</f>
        <v>0</v>
      </c>
      <c r="AJ55" s="58">
        <f>SUBTOTAL(109,Tableau_Lancer_la_requête_à_partir_de_Excel_Files1025678[''71''])</f>
        <v>0</v>
      </c>
      <c r="AK55" s="58">
        <f>SUBTOTAL(109,Tableau_Lancer_la_requête_à_partir_de_Excel_Files1025678[''81''])</f>
        <v>0</v>
      </c>
      <c r="AL55" s="58">
        <f>SUBTOTAL(109,Tableau_Lancer_la_requête_à_partir_de_Excel_Files1025678[''82''])</f>
        <v>0</v>
      </c>
      <c r="AM55" s="58">
        <f>SUBTOTAL(109,Tableau_Lancer_la_requête_à_partir_de_Excel_Files1025678[''87''])</f>
        <v>0</v>
      </c>
      <c r="AN55" s="58">
        <f>SUBTOTAL(109,Tableau_Lancer_la_requête_à_partir_de_Excel_Files1025678[''89''])</f>
        <v>0</v>
      </c>
      <c r="AO55" s="58">
        <f>SUBTOTAL(109,Tableau_Lancer_la_requête_à_partir_de_Excel_Files1025678[''Autre Public''])</f>
        <v>0</v>
      </c>
      <c r="AP55" s="10"/>
      <c r="AQ55" s="10"/>
    </row>
    <row r="63" spans="1:46" hidden="1" x14ac:dyDescent="0.25"/>
    <row r="64" spans="1:46" hidden="1" x14ac:dyDescent="0.25"/>
    <row r="65" spans="4:41" hidden="1" x14ac:dyDescent="0.25">
      <c r="E65" s="3" t="s">
        <v>86</v>
      </c>
      <c r="F65" s="6" t="s">
        <v>87</v>
      </c>
    </row>
    <row r="66" spans="4:41" hidden="1" x14ac:dyDescent="0.25">
      <c r="D66" t="s">
        <v>58</v>
      </c>
      <c r="E66" s="3">
        <f>I66+J66</f>
        <v>0</v>
      </c>
      <c r="F66" s="3">
        <f>R66+AO66</f>
        <v>0</v>
      </c>
      <c r="I66" s="3">
        <f>SUMIF(Tableau_Lancer_la_requête_à_partir_de_Excel_Files1025678[Avis Prog],"1-Favorable",Tableau_Lancer_la_requête_à_partir_de_Excel_Files1025678[''FEDER''])</f>
        <v>0</v>
      </c>
      <c r="J66" s="3">
        <f>SUMIF(Tableau_Lancer_la_requête_à_partir_de_Excel_Files1025678[Avis Prog],"2-Favorable sous réserve",Tableau_Lancer_la_requête_à_partir_de_Excel_Files1025678[''FEDER''])</f>
        <v>0</v>
      </c>
      <c r="R66" s="3">
        <f>SUMIF(Tableau_Lancer_la_requête_à_partir_de_Excel_Files1025678[Avis Cofimac],"1-Favorable",Tableau_Lancer_la_requête_à_partir_de_Excel_Files1025678[''FEDER''])</f>
        <v>0</v>
      </c>
      <c r="AO66" s="3">
        <f>SUMIF(Tableau_Lancer_la_requête_à_partir_de_Excel_Files1025678[Avis Cofimac],"2-Favorable sous réserve",Tableau_Lancer_la_requête_à_partir_de_Excel_Files1025678[''FEDER''])</f>
        <v>0</v>
      </c>
    </row>
    <row r="67" spans="4:41" hidden="1" x14ac:dyDescent="0.25">
      <c r="D67" t="s">
        <v>46</v>
      </c>
      <c r="E67" s="3">
        <f t="shared" ref="E67:E95" si="0">I67+J67</f>
        <v>713814.26</v>
      </c>
      <c r="F67" s="3">
        <f t="shared" ref="F67:F95" si="1">R67+AO67</f>
        <v>839978.25</v>
      </c>
      <c r="I67" s="3">
        <f>SUMIF(Tableau_Lancer_la_requête_à_partir_de_Excel_Files1025678[Avis Prog],"1-Favorable",Tableau_Lancer_la_requête_à_partir_de_Excel_Files1025678[Total Etat])</f>
        <v>713814.26</v>
      </c>
      <c r="J67" s="3">
        <f>SUMIF(Tableau_Lancer_la_requête_à_partir_de_Excel_Files1025678[Avis Prog],"2-Favorable sous réserve",Tableau_Lancer_la_requête_à_partir_de_Excel_Files1025678[Total Etat])</f>
        <v>0</v>
      </c>
      <c r="R67" s="3">
        <f>SUMIF(Tableau_Lancer_la_requête_à_partir_de_Excel_Files1025678[Avis Cofimac],"1-Favorable",Tableau_Lancer_la_requête_à_partir_de_Excel_Files1025678[Total Etat])</f>
        <v>300000</v>
      </c>
      <c r="AO67" s="3">
        <f>SUMIF(Tableau_Lancer_la_requête_à_partir_de_Excel_Files1025678[Avis Cofimac],"2-Favorable sous réserve",Tableau_Lancer_la_requête_à_partir_de_Excel_Files1025678[Total Etat])</f>
        <v>539978.25</v>
      </c>
    </row>
    <row r="68" spans="4:41" hidden="1" x14ac:dyDescent="0.25">
      <c r="D68" t="s">
        <v>47</v>
      </c>
      <c r="E68" s="3">
        <f t="shared" si="0"/>
        <v>223054.35</v>
      </c>
      <c r="F68" s="3">
        <f t="shared" si="1"/>
        <v>349218.35000000003</v>
      </c>
      <c r="I68" s="3">
        <f>SUMIF(Tableau_Lancer_la_requête_à_partir_de_Excel_Files1025678[Avis Prog],"1-Favorable",Tableau_Lancer_la_requête_à_partir_de_Excel_Files1025678[Total Régions])</f>
        <v>223054.35</v>
      </c>
      <c r="J68" s="3">
        <f>SUMIF(Tableau_Lancer_la_requête_à_partir_de_Excel_Files1025678[Avis Prog],"2-Favorable sous réserve",Tableau_Lancer_la_requête_à_partir_de_Excel_Files1025678[Total Régions])</f>
        <v>0</v>
      </c>
      <c r="R68" s="3">
        <f>SUMIF(Tableau_Lancer_la_requête_à_partir_de_Excel_Files1025678[Avis Cofimac],"1-Favorable",Tableau_Lancer_la_requête_à_partir_de_Excel_Files1025678[Total Régions])</f>
        <v>218032</v>
      </c>
      <c r="AO68" s="3">
        <f>SUMIF(Tableau_Lancer_la_requête_à_partir_de_Excel_Files1025678[Avis Cofimac],"2-Favorable sous réserve",Tableau_Lancer_la_requête_à_partir_de_Excel_Files1025678[Total Régions])</f>
        <v>131186.35000000003</v>
      </c>
    </row>
    <row r="69" spans="4:41" hidden="1" x14ac:dyDescent="0.25">
      <c r="D69" s="3" t="s">
        <v>59</v>
      </c>
      <c r="E69" s="3">
        <f t="shared" si="0"/>
        <v>17022.349999999999</v>
      </c>
      <c r="F69" s="3">
        <f t="shared" si="1"/>
        <v>17022.349999999999</v>
      </c>
      <c r="I69" s="3">
        <f>SUMIF(Tableau_Lancer_la_requête_à_partir_de_Excel_Files1025678[Avis Prog],"1-Favorable",Tableau_Lancer_la_requête_à_partir_de_Excel_Files1025678[''ALPC''])</f>
        <v>17022.349999999999</v>
      </c>
      <c r="J69" s="3">
        <f>SUMIF(Tableau_Lancer_la_requête_à_partir_de_Excel_Files1025678[Avis Prog],"2-Favorable sous réserve",Tableau_Lancer_la_requête_à_partir_de_Excel_Files1025678[''ALPC''])</f>
        <v>0</v>
      </c>
      <c r="R69" s="3">
        <f>SUMIF(Tableau_Lancer_la_requête_à_partir_de_Excel_Files1025678[Avis Cofimac],"1-Favorable",Tableau_Lancer_la_requête_à_partir_de_Excel_Files1025678[''ALPC''])</f>
        <v>12000</v>
      </c>
      <c r="AO69" s="3">
        <f>SUMIF(Tableau_Lancer_la_requête_à_partir_de_Excel_Files1025678[Avis Cofimac],"2-Favorable sous réserve",Tableau_Lancer_la_requête_à_partir_de_Excel_Files1025678[''ALPC''])</f>
        <v>5022.3500000000004</v>
      </c>
    </row>
    <row r="70" spans="4:41" hidden="1" x14ac:dyDescent="0.25">
      <c r="D70" s="3" t="s">
        <v>60</v>
      </c>
      <c r="E70" s="3">
        <f t="shared" si="0"/>
        <v>60412</v>
      </c>
      <c r="F70" s="3">
        <f t="shared" si="1"/>
        <v>149096.48000000001</v>
      </c>
      <c r="I70" s="3">
        <f>SUMIF(Tableau_Lancer_la_requête_à_partir_de_Excel_Files1025678[Avis Prog],"1-Favorable",Tableau_Lancer_la_requête_à_partir_de_Excel_Files1025678[''AURA''])</f>
        <v>60412</v>
      </c>
      <c r="J70" s="3">
        <f>SUMIF(Tableau_Lancer_la_requête_à_partir_de_Excel_Files1025678[Avis Prog],"2-Favorable sous réserve",Tableau_Lancer_la_requête_à_partir_de_Excel_Files1025678[''AURA''])</f>
        <v>0</v>
      </c>
      <c r="R70" s="3">
        <f>SUMIF(Tableau_Lancer_la_requête_à_partir_de_Excel_Files1025678[Avis Cofimac],"1-Favorable",Tableau_Lancer_la_requête_à_partir_de_Excel_Files1025678[''AURA''])</f>
        <v>60412</v>
      </c>
      <c r="AO70" s="3">
        <f>SUMIF(Tableau_Lancer_la_requête_à_partir_de_Excel_Files1025678[Avis Cofimac],"2-Favorable sous réserve",Tableau_Lancer_la_requête_à_partir_de_Excel_Files1025678[''AURA''])</f>
        <v>88684.48000000001</v>
      </c>
    </row>
    <row r="71" spans="4:41" hidden="1" x14ac:dyDescent="0.25">
      <c r="D71" s="3" t="s">
        <v>61</v>
      </c>
      <c r="E71" s="3">
        <f t="shared" si="0"/>
        <v>0</v>
      </c>
      <c r="F71" s="3">
        <f t="shared" si="1"/>
        <v>0</v>
      </c>
      <c r="I71" s="3">
        <f>SUMIF(Tableau_Lancer_la_requête_à_partir_de_Excel_Files1025678[Avis Prog],"1-Favorable",Tableau_Lancer_la_requête_à_partir_de_Excel_Files1025678[''BFC''])</f>
        <v>0</v>
      </c>
      <c r="J71" s="3">
        <f>SUMIF(Tableau_Lancer_la_requête_à_partir_de_Excel_Files1025678[Avis Prog],"2-Favorable sous réserve",Tableau_Lancer_la_requête_à_partir_de_Excel_Files1025678[''BFC''])</f>
        <v>0</v>
      </c>
      <c r="R71" s="3">
        <f>SUMIF(Tableau_Lancer_la_requête_à_partir_de_Excel_Files1025678[Avis Cofimac],"1-Favorable",Tableau_Lancer_la_requête_à_partir_de_Excel_Files1025678[''BFC''])</f>
        <v>0</v>
      </c>
      <c r="AO71" s="3">
        <f>SUMIF(Tableau_Lancer_la_requête_à_partir_de_Excel_Files1025678[Avis Cofimac],"2-Favorable sous réserve",Tableau_Lancer_la_requête_à_partir_de_Excel_Files1025678[''BFC''])</f>
        <v>0</v>
      </c>
    </row>
    <row r="72" spans="4:41" hidden="1" x14ac:dyDescent="0.25">
      <c r="D72" s="3" t="s">
        <v>62</v>
      </c>
      <c r="E72" s="3">
        <f t="shared" si="0"/>
        <v>145620</v>
      </c>
      <c r="F72" s="3">
        <f t="shared" si="1"/>
        <v>183099.51999999999</v>
      </c>
      <c r="I72" s="3">
        <f>SUMIF(Tableau_Lancer_la_requête_à_partir_de_Excel_Files1025678[Avis Prog],"1-Favorable",Tableau_Lancer_la_requête_à_partir_de_Excel_Files1025678[''LRMP''])</f>
        <v>145620</v>
      </c>
      <c r="J72" s="3">
        <f>SUMIF(Tableau_Lancer_la_requête_à_partir_de_Excel_Files1025678[Avis Prog],"2-Favorable sous réserve",Tableau_Lancer_la_requête_à_partir_de_Excel_Files1025678[''LRMP''])</f>
        <v>0</v>
      </c>
      <c r="R72" s="3">
        <f>SUMIF(Tableau_Lancer_la_requête_à_partir_de_Excel_Files1025678[Avis Cofimac],"1-Favorable",Tableau_Lancer_la_requête_à_partir_de_Excel_Files1025678[''LRMP''])</f>
        <v>145620</v>
      </c>
      <c r="AO72" s="3">
        <f>SUMIF(Tableau_Lancer_la_requête_à_partir_de_Excel_Files1025678[Avis Cofimac],"2-Favorable sous réserve",Tableau_Lancer_la_requête_à_partir_de_Excel_Files1025678[''LRMP''])</f>
        <v>37479.519999999997</v>
      </c>
    </row>
    <row r="73" spans="4:41" hidden="1" x14ac:dyDescent="0.25">
      <c r="D73" t="s">
        <v>48</v>
      </c>
      <c r="E73" s="3">
        <f t="shared" si="0"/>
        <v>0</v>
      </c>
      <c r="F73" s="3">
        <f t="shared" si="1"/>
        <v>0</v>
      </c>
      <c r="I73" s="3">
        <f>SUMIF(Tableau_Lancer_la_requête_à_partir_de_Excel_Files1025678[Avis Prog],"1-Favorable",Tableau_Lancer_la_requête_à_partir_de_Excel_Files1025678[Total Dpts])</f>
        <v>0</v>
      </c>
      <c r="J73" s="3">
        <f>SUMIF(Tableau_Lancer_la_requête_à_partir_de_Excel_Files1025678[Avis Prog],"2-Favorable sous réserve",Tableau_Lancer_la_requête_à_partir_de_Excel_Files1025678[Total Dpts])</f>
        <v>0</v>
      </c>
      <c r="R73" s="3">
        <f>SUMIF(Tableau_Lancer_la_requête_à_partir_de_Excel_Files1025678[Avis Cofimac],"1-Favorable",Tableau_Lancer_la_requête_à_partir_de_Excel_Files1025678[Total Dpts])</f>
        <v>0</v>
      </c>
      <c r="AO73" s="3">
        <f>SUMIF(Tableau_Lancer_la_requête_à_partir_de_Excel_Files1025678[Avis Cofimac],"2-Favorable sous réserve",Tableau_Lancer_la_requête_à_partir_de_Excel_Files1025678[Total Dpts])</f>
        <v>0</v>
      </c>
    </row>
    <row r="74" spans="4:41" hidden="1" x14ac:dyDescent="0.25">
      <c r="D74" t="s">
        <v>22</v>
      </c>
      <c r="E74" s="3">
        <f t="shared" si="0"/>
        <v>0</v>
      </c>
      <c r="F74" s="3">
        <f t="shared" si="1"/>
        <v>0</v>
      </c>
      <c r="I74" s="3">
        <f>SUMIF(Tableau_Lancer_la_requête_à_partir_de_Excel_Files1025678[Avis Prog],"1-Favorable",Tableau_Lancer_la_requête_à_partir_de_Excel_Files1025678[''03''])</f>
        <v>0</v>
      </c>
      <c r="J74" s="3">
        <f>SUMIF(Tableau_Lancer_la_requête_à_partir_de_Excel_Files1025678[Avis Prog],"2-Favorable sous réserve",Tableau_Lancer_la_requête_à_partir_de_Excel_Files1025678[''03''])</f>
        <v>0</v>
      </c>
      <c r="R74" s="3">
        <f>SUMIF(Tableau_Lancer_la_requête_à_partir_de_Excel_Files1025678[Avis Cofimac],"1-Favorable",Tableau_Lancer_la_requête_à_partir_de_Excel_Files1025678[''03''])</f>
        <v>0</v>
      </c>
      <c r="AO74" s="3">
        <f>SUMIF(Tableau_Lancer_la_requête_à_partir_de_Excel_Files1025678[Avis Cofimac],"2-Favorable sous réserve",Tableau_Lancer_la_requête_à_partir_de_Excel_Files1025678[''03''])</f>
        <v>0</v>
      </c>
    </row>
    <row r="75" spans="4:41" hidden="1" x14ac:dyDescent="0.25">
      <c r="D75" t="s">
        <v>23</v>
      </c>
      <c r="E75" s="3">
        <f t="shared" si="0"/>
        <v>0</v>
      </c>
      <c r="F75" s="3">
        <f t="shared" si="1"/>
        <v>0</v>
      </c>
      <c r="I75" s="3">
        <f>SUMIF(Tableau_Lancer_la_requête_à_partir_de_Excel_Files1025678[Avis Prog],"1-Favorable",Tableau_Lancer_la_requête_à_partir_de_Excel_Files1025678[''07''])</f>
        <v>0</v>
      </c>
      <c r="J75" s="3">
        <f>SUMIF(Tableau_Lancer_la_requête_à_partir_de_Excel_Files1025678[Avis Prog],"2-Favorable sous réserve",Tableau_Lancer_la_requête_à_partir_de_Excel_Files1025678[''07''])</f>
        <v>0</v>
      </c>
      <c r="R75" s="3">
        <f>SUMIF(Tableau_Lancer_la_requête_à_partir_de_Excel_Files1025678[Avis Cofimac],"1-Favorable",Tableau_Lancer_la_requête_à_partir_de_Excel_Files1025678[''07''])</f>
        <v>0</v>
      </c>
      <c r="AO75" s="3">
        <f>SUMIF(Tableau_Lancer_la_requête_à_partir_de_Excel_Files1025678[Avis Cofimac],"2-Favorable sous réserve",Tableau_Lancer_la_requête_à_partir_de_Excel_Files1025678[''07''])</f>
        <v>0</v>
      </c>
    </row>
    <row r="76" spans="4:41" hidden="1" x14ac:dyDescent="0.25">
      <c r="D76" t="s">
        <v>24</v>
      </c>
      <c r="E76" s="3">
        <f t="shared" si="0"/>
        <v>0</v>
      </c>
      <c r="F76" s="3">
        <f t="shared" si="1"/>
        <v>0</v>
      </c>
      <c r="I76" s="3">
        <f>SUMIF(Tableau_Lancer_la_requête_à_partir_de_Excel_Files1025678[Avis Prog],"1-Favorable",Tableau_Lancer_la_requête_à_partir_de_Excel_Files1025678[''11''])</f>
        <v>0</v>
      </c>
      <c r="J76" s="3">
        <f>SUMIF(Tableau_Lancer_la_requête_à_partir_de_Excel_Files1025678[Avis Prog],"2-Favorable sous réserve",Tableau_Lancer_la_requête_à_partir_de_Excel_Files1025678[''11''])</f>
        <v>0</v>
      </c>
      <c r="R76" s="3">
        <f>SUMIF(Tableau_Lancer_la_requête_à_partir_de_Excel_Files1025678[Avis Cofimac],"1-Favorable",Tableau_Lancer_la_requête_à_partir_de_Excel_Files1025678[''11''])</f>
        <v>0</v>
      </c>
      <c r="AO76" s="3">
        <f>SUMIF(Tableau_Lancer_la_requête_à_partir_de_Excel_Files1025678[Avis Cofimac],"2-Favorable sous réserve",Tableau_Lancer_la_requête_à_partir_de_Excel_Files1025678[''11''])</f>
        <v>0</v>
      </c>
    </row>
    <row r="77" spans="4:41" hidden="1" x14ac:dyDescent="0.25">
      <c r="D77" t="s">
        <v>25</v>
      </c>
      <c r="E77" s="3">
        <f t="shared" si="0"/>
        <v>0</v>
      </c>
      <c r="F77" s="3">
        <f t="shared" si="1"/>
        <v>0</v>
      </c>
      <c r="I77" s="3">
        <f>SUMIF(Tableau_Lancer_la_requête_à_partir_de_Excel_Files1025678[Avis Prog],"1-Favorable",Tableau_Lancer_la_requête_à_partir_de_Excel_Files1025678[''12''])</f>
        <v>0</v>
      </c>
      <c r="J77" s="3">
        <f>SUMIF(Tableau_Lancer_la_requête_à_partir_de_Excel_Files1025678[Avis Prog],"2-Favorable sous réserve",Tableau_Lancer_la_requête_à_partir_de_Excel_Files1025678[''12''])</f>
        <v>0</v>
      </c>
      <c r="R77" s="3">
        <f>SUMIF(Tableau_Lancer_la_requête_à_partir_de_Excel_Files1025678[Avis Cofimac],"1-Favorable",Tableau_Lancer_la_requête_à_partir_de_Excel_Files1025678[''12''])</f>
        <v>0</v>
      </c>
      <c r="AO77" s="3">
        <f>SUMIF(Tableau_Lancer_la_requête_à_partir_de_Excel_Files1025678[Avis Cofimac],"2-Favorable sous réserve",Tableau_Lancer_la_requête_à_partir_de_Excel_Files1025678[''12''])</f>
        <v>0</v>
      </c>
    </row>
    <row r="78" spans="4:41" hidden="1" x14ac:dyDescent="0.25">
      <c r="D78" t="s">
        <v>26</v>
      </c>
      <c r="E78" s="3">
        <f t="shared" si="0"/>
        <v>0</v>
      </c>
      <c r="F78" s="3">
        <f t="shared" si="1"/>
        <v>0</v>
      </c>
      <c r="I78" s="3">
        <f>SUMIF(Tableau_Lancer_la_requête_à_partir_de_Excel_Files1025678[Avis Prog],"1-Favorable",Tableau_Lancer_la_requête_à_partir_de_Excel_Files1025678[''15''])</f>
        <v>0</v>
      </c>
      <c r="J78" s="3">
        <f>SUMIF(Tableau_Lancer_la_requête_à_partir_de_Excel_Files1025678[Avis Prog],"2-Favorable sous réserve",Tableau_Lancer_la_requête_à_partir_de_Excel_Files1025678[''15''])</f>
        <v>0</v>
      </c>
      <c r="R78" s="3">
        <f>SUMIF(Tableau_Lancer_la_requête_à_partir_de_Excel_Files1025678[Avis Cofimac],"1-Favorable",Tableau_Lancer_la_requête_à_partir_de_Excel_Files1025678[''15''])</f>
        <v>0</v>
      </c>
      <c r="AO78" s="3">
        <f>SUMIF(Tableau_Lancer_la_requête_à_partir_de_Excel_Files1025678[Avis Cofimac],"2-Favorable sous réserve",Tableau_Lancer_la_requête_à_partir_de_Excel_Files1025678[''15''])</f>
        <v>0</v>
      </c>
    </row>
    <row r="79" spans="4:41" hidden="1" x14ac:dyDescent="0.25">
      <c r="D79" t="s">
        <v>27</v>
      </c>
      <c r="E79" s="3">
        <f t="shared" si="0"/>
        <v>0</v>
      </c>
      <c r="F79" s="3">
        <f t="shared" si="1"/>
        <v>0</v>
      </c>
      <c r="I79" s="3">
        <f>SUMIF(Tableau_Lancer_la_requête_à_partir_de_Excel_Files1025678[Avis Prog],"1-Favorable",Tableau_Lancer_la_requête_à_partir_de_Excel_Files1025678[''19''])</f>
        <v>0</v>
      </c>
      <c r="J79" s="3">
        <f>SUMIF(Tableau_Lancer_la_requête_à_partir_de_Excel_Files1025678[Avis Prog],"2-Favorable sous réserve",Tableau_Lancer_la_requête_à_partir_de_Excel_Files1025678[''19''])</f>
        <v>0</v>
      </c>
      <c r="R79" s="3">
        <f>SUMIF(Tableau_Lancer_la_requête_à_partir_de_Excel_Files1025678[Avis Cofimac],"1-Favorable",Tableau_Lancer_la_requête_à_partir_de_Excel_Files1025678[''19''])</f>
        <v>0</v>
      </c>
      <c r="AO79" s="3">
        <f>SUMIF(Tableau_Lancer_la_requête_à_partir_de_Excel_Files1025678[Avis Cofimac],"2-Favorable sous réserve",Tableau_Lancer_la_requête_à_partir_de_Excel_Files1025678[''19''])</f>
        <v>0</v>
      </c>
    </row>
    <row r="80" spans="4:41" hidden="1" x14ac:dyDescent="0.25">
      <c r="D80" t="s">
        <v>28</v>
      </c>
      <c r="E80" s="3">
        <f t="shared" si="0"/>
        <v>0</v>
      </c>
      <c r="F80" s="3">
        <f t="shared" si="1"/>
        <v>0</v>
      </c>
      <c r="I80" s="3">
        <f>SUMIF(Tableau_Lancer_la_requête_à_partir_de_Excel_Files1025678[Avis Prog],"1-Favorable",Tableau_Lancer_la_requête_à_partir_de_Excel_Files1025678[''21''])</f>
        <v>0</v>
      </c>
      <c r="J80" s="3">
        <f>SUMIF(Tableau_Lancer_la_requête_à_partir_de_Excel_Files1025678[Avis Prog],"2-Favorable sous réserve",Tableau_Lancer_la_requête_à_partir_de_Excel_Files1025678[''21''])</f>
        <v>0</v>
      </c>
      <c r="R80" s="3">
        <f>SUMIF(Tableau_Lancer_la_requête_à_partir_de_Excel_Files1025678[Avis Cofimac],"1-Favorable",Tableau_Lancer_la_requête_à_partir_de_Excel_Files1025678[''21''])</f>
        <v>0</v>
      </c>
      <c r="AO80" s="3">
        <f>SUMIF(Tableau_Lancer_la_requête_à_partir_de_Excel_Files1025678[Avis Cofimac],"2-Favorable sous réserve",Tableau_Lancer_la_requête_à_partir_de_Excel_Files1025678[''21''])</f>
        <v>0</v>
      </c>
    </row>
    <row r="81" spans="4:41" hidden="1" x14ac:dyDescent="0.25">
      <c r="D81" t="s">
        <v>29</v>
      </c>
      <c r="E81" s="3">
        <f t="shared" si="0"/>
        <v>0</v>
      </c>
      <c r="F81" s="3">
        <f t="shared" si="1"/>
        <v>0</v>
      </c>
      <c r="I81" s="3">
        <f>SUMIF(Tableau_Lancer_la_requête_à_partir_de_Excel_Files1025678[Avis Prog],"1-Favorable",Tableau_Lancer_la_requête_à_partir_de_Excel_Files1025678[''23''])</f>
        <v>0</v>
      </c>
      <c r="J81" s="3">
        <f>SUMIF(Tableau_Lancer_la_requête_à_partir_de_Excel_Files1025678[Avis Prog],"2-Favorable sous réserve",Tableau_Lancer_la_requête_à_partir_de_Excel_Files1025678[''23''])</f>
        <v>0</v>
      </c>
      <c r="R81" s="3">
        <f>SUMIF(Tableau_Lancer_la_requête_à_partir_de_Excel_Files1025678[Avis Cofimac],"1-Favorable",Tableau_Lancer_la_requête_à_partir_de_Excel_Files1025678[''23''])</f>
        <v>0</v>
      </c>
      <c r="AO81" s="3">
        <f>SUMIF(Tableau_Lancer_la_requête_à_partir_de_Excel_Files1025678[Avis Cofimac],"2-Favorable sous réserve",Tableau_Lancer_la_requête_à_partir_de_Excel_Files1025678[''23''])</f>
        <v>0</v>
      </c>
    </row>
    <row r="82" spans="4:41" hidden="1" x14ac:dyDescent="0.25">
      <c r="D82" t="s">
        <v>30</v>
      </c>
      <c r="E82" s="3">
        <f t="shared" si="0"/>
        <v>0</v>
      </c>
      <c r="F82" s="3">
        <f t="shared" si="1"/>
        <v>0</v>
      </c>
      <c r="I82" s="3">
        <f>SUMIF(Tableau_Lancer_la_requête_à_partir_de_Excel_Files1025678[Avis Prog],"1-Favorable",Tableau_Lancer_la_requête_à_partir_de_Excel_Files1025678[''30''])</f>
        <v>0</v>
      </c>
      <c r="J82" s="3">
        <f>SUMIF(Tableau_Lancer_la_requête_à_partir_de_Excel_Files1025678[Avis Prog],"2-Favorable sous réserve",Tableau_Lancer_la_requête_à_partir_de_Excel_Files1025678[''30''])</f>
        <v>0</v>
      </c>
      <c r="R82" s="3">
        <f>SUMIF(Tableau_Lancer_la_requête_à_partir_de_Excel_Files1025678[Avis Cofimac],"1-Favorable",Tableau_Lancer_la_requête_à_partir_de_Excel_Files1025678[''30''])</f>
        <v>0</v>
      </c>
      <c r="AO82" s="3">
        <f>SUMIF(Tableau_Lancer_la_requête_à_partir_de_Excel_Files1025678[Avis Cofimac],"2-Favorable sous réserve",Tableau_Lancer_la_requête_à_partir_de_Excel_Files1025678[''30''])</f>
        <v>0</v>
      </c>
    </row>
    <row r="83" spans="4:41" hidden="1" x14ac:dyDescent="0.25">
      <c r="D83" t="s">
        <v>31</v>
      </c>
      <c r="E83" s="3">
        <f t="shared" si="0"/>
        <v>0</v>
      </c>
      <c r="F83" s="3">
        <f t="shared" si="1"/>
        <v>0</v>
      </c>
      <c r="I83" s="3">
        <f>SUMIF(Tableau_Lancer_la_requête_à_partir_de_Excel_Files1025678[Avis Prog],"1-Favorable",Tableau_Lancer_la_requête_à_partir_de_Excel_Files1025678[''34''])</f>
        <v>0</v>
      </c>
      <c r="J83" s="3">
        <f>SUMIF(Tableau_Lancer_la_requête_à_partir_de_Excel_Files1025678[Avis Prog],"2-Favorable sous réserve",Tableau_Lancer_la_requête_à_partir_de_Excel_Files1025678[''34''])</f>
        <v>0</v>
      </c>
      <c r="R83" s="3">
        <f>SUMIF(Tableau_Lancer_la_requête_à_partir_de_Excel_Files1025678[Avis Cofimac],"1-Favorable",Tableau_Lancer_la_requête_à_partir_de_Excel_Files1025678[''34''])</f>
        <v>0</v>
      </c>
      <c r="AO83" s="3">
        <f>SUMIF(Tableau_Lancer_la_requête_à_partir_de_Excel_Files1025678[Avis Cofimac],"2-Favorable sous réserve",Tableau_Lancer_la_requête_à_partir_de_Excel_Files1025678[''34''])</f>
        <v>0</v>
      </c>
    </row>
    <row r="84" spans="4:41" hidden="1" x14ac:dyDescent="0.25">
      <c r="D84" t="s">
        <v>32</v>
      </c>
      <c r="E84" s="3">
        <f t="shared" si="0"/>
        <v>0</v>
      </c>
      <c r="F84" s="3">
        <f t="shared" si="1"/>
        <v>0</v>
      </c>
      <c r="I84" s="3">
        <f>SUMIF(Tableau_Lancer_la_requête_à_partir_de_Excel_Files1025678[Avis Prog],"1-Favorable",Tableau_Lancer_la_requête_à_partir_de_Excel_Files1025678[''42''])</f>
        <v>0</v>
      </c>
      <c r="J84" s="3">
        <f>SUMIF(Tableau_Lancer_la_requête_à_partir_de_Excel_Files1025678[Avis Prog],"2-Favorable sous réserve",Tableau_Lancer_la_requête_à_partir_de_Excel_Files1025678[''42''])</f>
        <v>0</v>
      </c>
      <c r="R84" s="3">
        <f>SUMIF(Tableau_Lancer_la_requête_à_partir_de_Excel_Files1025678[Avis Cofimac],"1-Favorable",Tableau_Lancer_la_requête_à_partir_de_Excel_Files1025678[''42''])</f>
        <v>0</v>
      </c>
      <c r="AO84" s="3">
        <f>SUMIF(Tableau_Lancer_la_requête_à_partir_de_Excel_Files1025678[Avis Cofimac],"2-Favorable sous réserve",Tableau_Lancer_la_requête_à_partir_de_Excel_Files1025678[''42''])</f>
        <v>0</v>
      </c>
    </row>
    <row r="85" spans="4:41" hidden="1" x14ac:dyDescent="0.25">
      <c r="D85" t="s">
        <v>33</v>
      </c>
      <c r="E85" s="3">
        <f t="shared" si="0"/>
        <v>0</v>
      </c>
      <c r="F85" s="3">
        <f t="shared" si="1"/>
        <v>0</v>
      </c>
      <c r="I85" s="3">
        <f>SUMIF(Tableau_Lancer_la_requête_à_partir_de_Excel_Files1025678[Avis Prog],"1-Favorable",Tableau_Lancer_la_requête_à_partir_de_Excel_Files1025678[''43''])</f>
        <v>0</v>
      </c>
      <c r="J85" s="3">
        <f>SUMIF(Tableau_Lancer_la_requête_à_partir_de_Excel_Files1025678[Avis Prog],"2-Favorable sous réserve",Tableau_Lancer_la_requête_à_partir_de_Excel_Files1025678[''43''])</f>
        <v>0</v>
      </c>
      <c r="R85" s="3">
        <f>SUMIF(Tableau_Lancer_la_requête_à_partir_de_Excel_Files1025678[Avis Cofimac],"1-Favorable",Tableau_Lancer_la_requête_à_partir_de_Excel_Files1025678[''43''])</f>
        <v>0</v>
      </c>
      <c r="AO85" s="3">
        <f>SUMIF(Tableau_Lancer_la_requête_à_partir_de_Excel_Files1025678[Avis Cofimac],"2-Favorable sous réserve",Tableau_Lancer_la_requête_à_partir_de_Excel_Files1025678[''43''])</f>
        <v>0</v>
      </c>
    </row>
    <row r="86" spans="4:41" hidden="1" x14ac:dyDescent="0.25">
      <c r="D86" t="s">
        <v>34</v>
      </c>
      <c r="E86" s="3">
        <f t="shared" si="0"/>
        <v>0</v>
      </c>
      <c r="F86" s="3">
        <f t="shared" si="1"/>
        <v>0</v>
      </c>
      <c r="I86" s="3">
        <f>SUMIF(Tableau_Lancer_la_requête_à_partir_de_Excel_Files1025678[Avis Prog],"1-Favorable",Tableau_Lancer_la_requête_à_partir_de_Excel_Files1025678[''46''])</f>
        <v>0</v>
      </c>
      <c r="J86" s="3">
        <f>SUMIF(Tableau_Lancer_la_requête_à_partir_de_Excel_Files1025678[Avis Prog],"2-Favorable sous réserve",Tableau_Lancer_la_requête_à_partir_de_Excel_Files1025678[''46''])</f>
        <v>0</v>
      </c>
      <c r="R86" s="3">
        <f>SUMIF(Tableau_Lancer_la_requête_à_partir_de_Excel_Files1025678[Avis Cofimac],"1-Favorable",Tableau_Lancer_la_requête_à_partir_de_Excel_Files1025678[''46''])</f>
        <v>0</v>
      </c>
      <c r="AO86" s="3">
        <f>SUMIF(Tableau_Lancer_la_requête_à_partir_de_Excel_Files1025678[Avis Cofimac],"2-Favorable sous réserve",Tableau_Lancer_la_requête_à_partir_de_Excel_Files1025678[''46''])</f>
        <v>0</v>
      </c>
    </row>
    <row r="87" spans="4:41" hidden="1" x14ac:dyDescent="0.25">
      <c r="D87" t="s">
        <v>35</v>
      </c>
      <c r="E87" s="3">
        <f t="shared" si="0"/>
        <v>0</v>
      </c>
      <c r="F87" s="3">
        <f t="shared" si="1"/>
        <v>0</v>
      </c>
      <c r="I87" s="3">
        <f>SUMIF(Tableau_Lancer_la_requête_à_partir_de_Excel_Files1025678[Avis Prog],"1-Favorable",Tableau_Lancer_la_requête_à_partir_de_Excel_Files1025678[''48''])</f>
        <v>0</v>
      </c>
      <c r="J87" s="3">
        <f>SUMIF(Tableau_Lancer_la_requête_à_partir_de_Excel_Files1025678[Avis Prog],"2-Favorable sous réserve",Tableau_Lancer_la_requête_à_partir_de_Excel_Files1025678[''48''])</f>
        <v>0</v>
      </c>
      <c r="R87" s="3">
        <f>SUMIF(Tableau_Lancer_la_requête_à_partir_de_Excel_Files1025678[Avis Cofimac],"1-Favorable",Tableau_Lancer_la_requête_à_partir_de_Excel_Files1025678[''48''])</f>
        <v>0</v>
      </c>
      <c r="AO87" s="3">
        <f>SUMIF(Tableau_Lancer_la_requête_à_partir_de_Excel_Files1025678[Avis Cofimac],"2-Favorable sous réserve",Tableau_Lancer_la_requête_à_partir_de_Excel_Files1025678[''48''])</f>
        <v>0</v>
      </c>
    </row>
    <row r="88" spans="4:41" hidden="1" x14ac:dyDescent="0.25">
      <c r="D88" t="s">
        <v>36</v>
      </c>
      <c r="E88" s="3">
        <f t="shared" si="0"/>
        <v>0</v>
      </c>
      <c r="F88" s="3">
        <f t="shared" si="1"/>
        <v>0</v>
      </c>
      <c r="I88" s="3">
        <f>SUMIF(Tableau_Lancer_la_requête_à_partir_de_Excel_Files1025678[Avis Prog],"1-Favorable",Tableau_Lancer_la_requête_à_partir_de_Excel_Files1025678[''58''])</f>
        <v>0</v>
      </c>
      <c r="J88" s="3">
        <f>SUMIF(Tableau_Lancer_la_requête_à_partir_de_Excel_Files1025678[Avis Prog],"2-Favorable sous réserve",Tableau_Lancer_la_requête_à_partir_de_Excel_Files1025678[''58''])</f>
        <v>0</v>
      </c>
      <c r="R88" s="3">
        <f>SUMIF(Tableau_Lancer_la_requête_à_partir_de_Excel_Files1025678[Avis Cofimac],"1-Favorable",Tableau_Lancer_la_requête_à_partir_de_Excel_Files1025678[''58''])</f>
        <v>0</v>
      </c>
      <c r="AO88" s="3">
        <f>SUMIF(Tableau_Lancer_la_requête_à_partir_de_Excel_Files1025678[Avis Cofimac],"2-Favorable sous réserve",Tableau_Lancer_la_requête_à_partir_de_Excel_Files1025678[''58''])</f>
        <v>0</v>
      </c>
    </row>
    <row r="89" spans="4:41" hidden="1" x14ac:dyDescent="0.25">
      <c r="D89" t="s">
        <v>37</v>
      </c>
      <c r="E89" s="3">
        <f t="shared" si="0"/>
        <v>0</v>
      </c>
      <c r="F89" s="3">
        <f t="shared" si="1"/>
        <v>0</v>
      </c>
      <c r="I89" s="3">
        <f>SUMIF(Tableau_Lancer_la_requête_à_partir_de_Excel_Files1025678[Avis Prog],"1-Favorable",Tableau_Lancer_la_requête_à_partir_de_Excel_Files1025678[''63''])</f>
        <v>0</v>
      </c>
      <c r="J89" s="3">
        <f>SUMIF(Tableau_Lancer_la_requête_à_partir_de_Excel_Files1025678[Avis Prog],"2-Favorable sous réserve",Tableau_Lancer_la_requête_à_partir_de_Excel_Files1025678[''63''])</f>
        <v>0</v>
      </c>
      <c r="R89" s="3">
        <f>SUMIF(Tableau_Lancer_la_requête_à_partir_de_Excel_Files1025678[Avis Cofimac],"1-Favorable",Tableau_Lancer_la_requête_à_partir_de_Excel_Files1025678[''63''])</f>
        <v>0</v>
      </c>
      <c r="AO89" s="3">
        <f>SUMIF(Tableau_Lancer_la_requête_à_partir_de_Excel_Files1025678[Avis Cofimac],"2-Favorable sous réserve",Tableau_Lancer_la_requête_à_partir_de_Excel_Files1025678[''63''])</f>
        <v>0</v>
      </c>
    </row>
    <row r="90" spans="4:41" hidden="1" x14ac:dyDescent="0.25">
      <c r="D90" t="s">
        <v>38</v>
      </c>
      <c r="E90" s="3">
        <f t="shared" si="0"/>
        <v>0</v>
      </c>
      <c r="F90" s="3">
        <f t="shared" si="1"/>
        <v>0</v>
      </c>
      <c r="I90" s="3">
        <f>SUMIF(Tableau_Lancer_la_requête_à_partir_de_Excel_Files1025678[Avis Prog],"1-Favorable",Tableau_Lancer_la_requête_à_partir_de_Excel_Files1025678[''69''])</f>
        <v>0</v>
      </c>
      <c r="J90" s="3">
        <f>SUMIF(Tableau_Lancer_la_requête_à_partir_de_Excel_Files1025678[Avis Prog],"2-Favorable sous réserve",Tableau_Lancer_la_requête_à_partir_de_Excel_Files1025678[''69''])</f>
        <v>0</v>
      </c>
      <c r="R90" s="3">
        <f>SUMIF(Tableau_Lancer_la_requête_à_partir_de_Excel_Files1025678[Avis Cofimac],"1-Favorable",Tableau_Lancer_la_requête_à_partir_de_Excel_Files1025678[''69''])</f>
        <v>0</v>
      </c>
      <c r="AO90" s="3">
        <f>SUMIF(Tableau_Lancer_la_requête_à_partir_de_Excel_Files1025678[Avis Cofimac],"2-Favorable sous réserve",Tableau_Lancer_la_requête_à_partir_de_Excel_Files1025678[''69''])</f>
        <v>0</v>
      </c>
    </row>
    <row r="91" spans="4:41" hidden="1" x14ac:dyDescent="0.25">
      <c r="D91" t="s">
        <v>39</v>
      </c>
      <c r="E91" s="3">
        <f t="shared" si="0"/>
        <v>0</v>
      </c>
      <c r="F91" s="3">
        <f t="shared" si="1"/>
        <v>0</v>
      </c>
      <c r="I91" s="3">
        <f>SUMIF(Tableau_Lancer_la_requête_à_partir_de_Excel_Files1025678[Avis Prog],"1-Favorable",Tableau_Lancer_la_requête_à_partir_de_Excel_Files1025678[''71''])</f>
        <v>0</v>
      </c>
      <c r="J91" s="3">
        <f>SUMIF(Tableau_Lancer_la_requête_à_partir_de_Excel_Files1025678[Avis Prog],"2-Favorable sous réserve",Tableau_Lancer_la_requête_à_partir_de_Excel_Files1025678[''71''])</f>
        <v>0</v>
      </c>
      <c r="R91" s="3">
        <f>SUMIF(Tableau_Lancer_la_requête_à_partir_de_Excel_Files1025678[Avis Cofimac],"1-Favorable",Tableau_Lancer_la_requête_à_partir_de_Excel_Files1025678[''71''])</f>
        <v>0</v>
      </c>
      <c r="AO91" s="3">
        <f>SUMIF(Tableau_Lancer_la_requête_à_partir_de_Excel_Files1025678[Avis Cofimac],"2-Favorable sous réserve",Tableau_Lancer_la_requête_à_partir_de_Excel_Files1025678[''71''])</f>
        <v>0</v>
      </c>
    </row>
    <row r="92" spans="4:41" hidden="1" x14ac:dyDescent="0.25">
      <c r="D92" t="s">
        <v>40</v>
      </c>
      <c r="E92" s="3">
        <f t="shared" si="0"/>
        <v>0</v>
      </c>
      <c r="F92" s="3">
        <f t="shared" si="1"/>
        <v>0</v>
      </c>
      <c r="I92" s="3">
        <f>SUMIF(Tableau_Lancer_la_requête_à_partir_de_Excel_Files1025678[Avis Prog],"1-Favorable",Tableau_Lancer_la_requête_à_partir_de_Excel_Files1025678[''81''])</f>
        <v>0</v>
      </c>
      <c r="J92" s="3">
        <f>SUMIF(Tableau_Lancer_la_requête_à_partir_de_Excel_Files1025678[Avis Prog],"2-Favorable sous réserve",Tableau_Lancer_la_requête_à_partir_de_Excel_Files1025678[''81''])</f>
        <v>0</v>
      </c>
      <c r="R92" s="3">
        <f>SUMIF(Tableau_Lancer_la_requête_à_partir_de_Excel_Files1025678[Avis Cofimac],"1-Favorable",Tableau_Lancer_la_requête_à_partir_de_Excel_Files1025678[''81''])</f>
        <v>0</v>
      </c>
      <c r="AO92" s="3">
        <f>SUMIF(Tableau_Lancer_la_requête_à_partir_de_Excel_Files1025678[Avis Cofimac],"2-Favorable sous réserve",Tableau_Lancer_la_requête_à_partir_de_Excel_Files1025678[''81''])</f>
        <v>0</v>
      </c>
    </row>
    <row r="93" spans="4:41" hidden="1" x14ac:dyDescent="0.25">
      <c r="D93" t="s">
        <v>41</v>
      </c>
      <c r="E93" s="3">
        <f t="shared" si="0"/>
        <v>0</v>
      </c>
      <c r="F93" s="3">
        <f t="shared" si="1"/>
        <v>0</v>
      </c>
      <c r="I93" s="3">
        <f>SUMIF(Tableau_Lancer_la_requête_à_partir_de_Excel_Files1025678[Avis Prog],"1-Favorable",Tableau_Lancer_la_requête_à_partir_de_Excel_Files1025678[''82''])</f>
        <v>0</v>
      </c>
      <c r="J93" s="3">
        <f>SUMIF(Tableau_Lancer_la_requête_à_partir_de_Excel_Files1025678[Avis Prog],"2-Favorable sous réserve",Tableau_Lancer_la_requête_à_partir_de_Excel_Files1025678[''82''])</f>
        <v>0</v>
      </c>
      <c r="R93" s="3">
        <f>SUMIF(Tableau_Lancer_la_requête_à_partir_de_Excel_Files1025678[Avis Cofimac],"1-Favorable",Tableau_Lancer_la_requête_à_partir_de_Excel_Files1025678[''82''])</f>
        <v>0</v>
      </c>
      <c r="AO93" s="3">
        <f>SUMIF(Tableau_Lancer_la_requête_à_partir_de_Excel_Files1025678[Avis Cofimac],"2-Favorable sous réserve",Tableau_Lancer_la_requête_à_partir_de_Excel_Files1025678[''82''])</f>
        <v>0</v>
      </c>
    </row>
    <row r="94" spans="4:41" x14ac:dyDescent="0.25">
      <c r="D94" t="s">
        <v>42</v>
      </c>
      <c r="E94" s="3">
        <f t="shared" si="0"/>
        <v>0</v>
      </c>
      <c r="F94" s="3">
        <f t="shared" si="1"/>
        <v>0</v>
      </c>
      <c r="I94" s="3">
        <f>SUMIF(Tableau_Lancer_la_requête_à_partir_de_Excel_Files1025678[Avis Prog],"1-Favorable",Tableau_Lancer_la_requête_à_partir_de_Excel_Files1025678[''87''])</f>
        <v>0</v>
      </c>
      <c r="J94" s="3">
        <f>SUMIF(Tableau_Lancer_la_requête_à_partir_de_Excel_Files1025678[Avis Prog],"2-Favorable sous réserve",Tableau_Lancer_la_requête_à_partir_de_Excel_Files1025678[''87''])</f>
        <v>0</v>
      </c>
      <c r="R94" s="3">
        <f>SUMIF(Tableau_Lancer_la_requête_à_partir_de_Excel_Files1025678[Avis Cofimac],"1-Favorable",Tableau_Lancer_la_requête_à_partir_de_Excel_Files1025678[''87''])</f>
        <v>0</v>
      </c>
      <c r="AO94" s="3">
        <f>SUMIF(Tableau_Lancer_la_requête_à_partir_de_Excel_Files1025678[Avis Cofimac],"2-Favorable sous réserve",Tableau_Lancer_la_requête_à_partir_de_Excel_Files1025678[''87''])</f>
        <v>0</v>
      </c>
    </row>
    <row r="95" spans="4:41" x14ac:dyDescent="0.25">
      <c r="D95" t="s">
        <v>43</v>
      </c>
      <c r="E95" s="3">
        <f t="shared" si="0"/>
        <v>0</v>
      </c>
      <c r="F95" s="3">
        <f t="shared" si="1"/>
        <v>0</v>
      </c>
      <c r="I95" s="3">
        <f>SUMIF(Tableau_Lancer_la_requête_à_partir_de_Excel_Files1025678[Avis Prog],"1-Favorable",Tableau_Lancer_la_requête_à_partir_de_Excel_Files1025678[''89''])</f>
        <v>0</v>
      </c>
      <c r="J95" s="3">
        <f>SUMIF(Tableau_Lancer_la_requête_à_partir_de_Excel_Files1025678[Avis Prog],"2-Favorable sous réserve",Tableau_Lancer_la_requête_à_partir_de_Excel_Files1025678[''89''])</f>
        <v>0</v>
      </c>
      <c r="R95" s="3">
        <f>SUMIF(Tableau_Lancer_la_requête_à_partir_de_Excel_Files1025678[Avis Cofimac],"1-Favorable",Tableau_Lancer_la_requête_à_partir_de_Excel_Files1025678[''89''])</f>
        <v>0</v>
      </c>
      <c r="AO95" s="3">
        <f>SUMIF(Tableau_Lancer_la_requête_à_partir_de_Excel_Files1025678[Avis Cofimac],"2-Favorable sous réserve",Tableau_Lancer_la_requête_à_partir_de_Excel_Files1025678[''89''])</f>
        <v>0</v>
      </c>
    </row>
  </sheetData>
  <conditionalFormatting sqref="AP7:AP54 AR7:AR54">
    <cfRule type="cellIs" dxfId="600" priority="1" operator="equal">
      <formula>"2-Favorable sous réserve"</formula>
    </cfRule>
    <cfRule type="cellIs" dxfId="599" priority="10" operator="equal">
      <formula>"6-Retiré/Abandon"</formula>
    </cfRule>
    <cfRule type="cellIs" dxfId="598" priority="11" operator="equal">
      <formula>"5-Défavorable"</formula>
    </cfRule>
    <cfRule type="cellIs" dxfId="597" priority="12" operator="equal">
      <formula>"4-Ajournement"</formula>
    </cfRule>
    <cfRule type="cellIs" dxfId="596" priority="13" operator="equal">
      <formula>"1-Favorable"</formula>
    </cfRule>
  </conditionalFormatting>
  <dataValidations count="1">
    <dataValidation type="list" allowBlank="1" showInputMessage="1" showErrorMessage="1" sqref="AR7:AR54">
      <formula1>"1-Favorable,2-Favorable sous réserve,4-Ajournement,5-Défavorable,6-Retiré/Abandon"</formula1>
    </dataValidation>
  </dataValidations>
  <printOptions horizontalCentered="1" verticalCentered="1"/>
  <pageMargins left="0.25" right="0.25" top="0.75" bottom="0.75" header="0.3" footer="0.3"/>
  <pageSetup paperSize="8" scale="61" fitToHeight="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80" zoomScaleNormal="60" zoomScaleSheetLayoutView="80" workbookViewId="0"/>
  </sheetViews>
  <sheetFormatPr baseColWidth="10" defaultRowHeight="15" outlineLevelCol="1" x14ac:dyDescent="0.25"/>
  <cols>
    <col min="1" max="1" width="13.85546875" style="3" customWidth="1"/>
    <col min="2" max="2" width="35" style="4" customWidth="1"/>
    <col min="3" max="3" width="48" style="5" customWidth="1"/>
    <col min="4" max="4" width="15.85546875" style="3" customWidth="1"/>
    <col min="5" max="5" width="16.28515625" style="3" customWidth="1"/>
    <col min="6" max="6" width="12" style="6" customWidth="1"/>
    <col min="7" max="7" width="16" style="3" bestFit="1" customWidth="1"/>
    <col min="8" max="8" width="11.28515625" style="6" customWidth="1"/>
    <col min="9" max="9" width="14.85546875" style="3"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1.5703125" style="3" bestFit="1" customWidth="1" collapsed="1"/>
    <col min="42" max="43" width="11.5703125" style="3" customWidth="1"/>
    <col min="44" max="44" width="21.85546875" style="3" bestFit="1" customWidth="1"/>
    <col min="45" max="45" width="15.42578125" style="3" hidden="1" customWidth="1"/>
    <col min="46" max="46" width="55" style="3" customWidth="1"/>
    <col min="47" max="47" width="15.42578125" style="3" bestFit="1" customWidth="1"/>
    <col min="48" max="48" width="17.28515625" style="3" bestFit="1" customWidth="1"/>
    <col min="49" max="49" width="9.42578125" style="3" customWidth="1"/>
    <col min="50" max="64" width="9.7109375" style="3" customWidth="1"/>
    <col min="65" max="65" width="15.140625" style="3" customWidth="1"/>
    <col min="66" max="66" width="14.5703125" style="3" customWidth="1"/>
    <col min="67" max="67" width="18.5703125" style="3" customWidth="1"/>
    <col min="68" max="68" width="12.5703125" style="3" customWidth="1"/>
    <col min="69" max="69" width="20.42578125" style="3" customWidth="1"/>
    <col min="70" max="70" width="12.7109375" style="3" customWidth="1"/>
    <col min="71" max="71" width="9.28515625" style="3" customWidth="1"/>
    <col min="72" max="72" width="14.28515625" style="3" customWidth="1"/>
    <col min="73" max="73" width="11.42578125" style="3" customWidth="1"/>
    <col min="74" max="74" width="9" style="3" customWidth="1"/>
    <col min="75" max="75" width="9.5703125" style="3" customWidth="1"/>
    <col min="76" max="76" width="11" style="3" customWidth="1"/>
    <col min="77" max="77" width="12.7109375" style="3" customWidth="1"/>
    <col min="78" max="80" width="9.7109375" style="3" customWidth="1"/>
    <col min="81" max="81" width="15.140625" style="3" customWidth="1"/>
    <col min="82" max="82" width="17.28515625" style="3" customWidth="1"/>
    <col min="83" max="83" width="49.28515625" style="4" customWidth="1"/>
    <col min="84" max="84" width="17.28515625" style="3" customWidth="1"/>
    <col min="85" max="16384" width="11.42578125" style="3"/>
  </cols>
  <sheetData>
    <row r="1" spans="1:83" ht="18.75" x14ac:dyDescent="0.3">
      <c r="B1" s="21" t="s">
        <v>78</v>
      </c>
      <c r="C1" s="22">
        <v>42663</v>
      </c>
    </row>
    <row r="5" spans="1:83" x14ac:dyDescent="0.25">
      <c r="A5" s="1" t="s">
        <v>240</v>
      </c>
      <c r="B5" s="2"/>
    </row>
    <row r="6" spans="1:83" s="7" customFormat="1" ht="30" x14ac:dyDescent="0.25">
      <c r="A6" s="7" t="s">
        <v>7</v>
      </c>
      <c r="B6" s="7" t="s">
        <v>1</v>
      </c>
      <c r="C6" s="7" t="s">
        <v>2</v>
      </c>
      <c r="D6" s="7" t="s">
        <v>52</v>
      </c>
      <c r="E6" s="7" t="s">
        <v>55</v>
      </c>
      <c r="F6" s="7" t="s">
        <v>53</v>
      </c>
      <c r="G6" s="7" t="s">
        <v>50</v>
      </c>
      <c r="H6" s="7" t="s">
        <v>56</v>
      </c>
      <c r="I6" s="7" t="s">
        <v>44</v>
      </c>
      <c r="J6" s="7" t="s">
        <v>66</v>
      </c>
      <c r="K6" s="7" t="s">
        <v>70</v>
      </c>
      <c r="L6" s="7" t="s">
        <v>17</v>
      </c>
      <c r="M6" s="7" t="s">
        <v>67</v>
      </c>
      <c r="N6" s="7" t="s">
        <v>20</v>
      </c>
      <c r="O6" s="7" t="s">
        <v>18</v>
      </c>
      <c r="P6" s="7" t="s">
        <v>19</v>
      </c>
      <c r="Q6" s="7" t="s">
        <v>21</v>
      </c>
      <c r="R6" s="7" t="s">
        <v>68</v>
      </c>
      <c r="S6" s="7" t="s">
        <v>22</v>
      </c>
      <c r="T6" s="7" t="s">
        <v>23</v>
      </c>
      <c r="U6" s="7" t="s">
        <v>24</v>
      </c>
      <c r="V6" s="7" t="s">
        <v>25</v>
      </c>
      <c r="W6" s="7" t="s">
        <v>26</v>
      </c>
      <c r="X6" s="7" t="s">
        <v>27</v>
      </c>
      <c r="Y6" s="7" t="s">
        <v>28</v>
      </c>
      <c r="Z6" s="7" t="s">
        <v>29</v>
      </c>
      <c r="AA6" s="7" t="s">
        <v>30</v>
      </c>
      <c r="AB6" s="7" t="s">
        <v>31</v>
      </c>
      <c r="AC6" s="7" t="s">
        <v>32</v>
      </c>
      <c r="AD6" s="7" t="s">
        <v>33</v>
      </c>
      <c r="AE6" s="7" t="s">
        <v>34</v>
      </c>
      <c r="AF6" s="7" t="s">
        <v>35</v>
      </c>
      <c r="AG6" s="7" t="s">
        <v>36</v>
      </c>
      <c r="AH6" s="7" t="s">
        <v>37</v>
      </c>
      <c r="AI6" s="7" t="s">
        <v>38</v>
      </c>
      <c r="AJ6" s="7" t="s">
        <v>39</v>
      </c>
      <c r="AK6" s="7" t="s">
        <v>40</v>
      </c>
      <c r="AL6" s="7" t="s">
        <v>41</v>
      </c>
      <c r="AM6" s="7" t="s">
        <v>42</v>
      </c>
      <c r="AN6" s="7" t="s">
        <v>43</v>
      </c>
      <c r="AO6" s="7" t="s">
        <v>45</v>
      </c>
      <c r="AP6" s="7" t="s">
        <v>49</v>
      </c>
      <c r="AQ6" s="7" t="s">
        <v>249</v>
      </c>
      <c r="AR6" s="17" t="s">
        <v>57</v>
      </c>
      <c r="AT6" s="31" t="s">
        <v>65</v>
      </c>
    </row>
    <row r="7" spans="1:83" s="10" customFormat="1" x14ac:dyDescent="0.25">
      <c r="A7" s="13"/>
      <c r="B7" s="12"/>
      <c r="C7" s="12"/>
      <c r="D7" s="15"/>
      <c r="E7" s="15"/>
      <c r="F7" s="16"/>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1"/>
      <c r="AQ7" s="69"/>
      <c r="AR7" s="11"/>
      <c r="AT7" s="53"/>
    </row>
    <row r="8" spans="1:83" s="10" customFormat="1" ht="15.75" thickBot="1" x14ac:dyDescent="0.3">
      <c r="A8" s="111" t="s">
        <v>8</v>
      </c>
      <c r="B8" s="112">
        <f>SUBTOTAL(103,Tableau_Lancer_la_requête_à_partir_de_Excel_Files1025678910[Nom_MO])</f>
        <v>0</v>
      </c>
      <c r="C8" s="112"/>
      <c r="D8" s="113">
        <f>SUBTOTAL(109,Tableau_Lancer_la_requête_à_partir_de_Excel_Files1025678910[''Coût total éligible''])</f>
        <v>0</v>
      </c>
      <c r="E8" s="113">
        <f>SUBTOTAL(109,Tableau_Lancer_la_requête_à_partir_de_Excel_Files1025678910[Aide 
publique])</f>
        <v>0</v>
      </c>
      <c r="F8" s="114"/>
      <c r="G8" s="113">
        <f>SUBTOTAL(109,Tableau_Lancer_la_requête_à_partir_de_Excel_Files1025678910[Aide Massif])</f>
        <v>0</v>
      </c>
      <c r="H8" s="114"/>
      <c r="I8" s="113">
        <f>SUBTOTAL(109,Tableau_Lancer_la_requête_à_partir_de_Excel_Files1025678910[''FEDER''])</f>
        <v>0</v>
      </c>
      <c r="J8" s="113">
        <f>SUBTOTAL(109,Tableau_Lancer_la_requête_à_partir_de_Excel_Files1025678910[Total Etat])</f>
        <v>0</v>
      </c>
      <c r="K8" s="111"/>
      <c r="L8" s="113">
        <f>SUBTOTAL(109,Tableau_Lancer_la_requête_à_partir_de_Excel_Files1025678910[''Agriculture''])</f>
        <v>0</v>
      </c>
      <c r="M8" s="113">
        <f>SUBTOTAL(109,Tableau_Lancer_la_requête_à_partir_de_Excel_Files1025678910[Total Régions])</f>
        <v>0</v>
      </c>
      <c r="N8" s="113">
        <f>SUBTOTAL(109,Tableau_Lancer_la_requête_à_partir_de_Excel_Files1025678910[''ALPC''])</f>
        <v>0</v>
      </c>
      <c r="O8" s="113">
        <f>SUBTOTAL(109,Tableau_Lancer_la_requête_à_partir_de_Excel_Files1025678910[''AURA''])</f>
        <v>0</v>
      </c>
      <c r="P8" s="113">
        <f>SUBTOTAL(109,Tableau_Lancer_la_requête_à_partir_de_Excel_Files1025678910[''BFC''])</f>
        <v>0</v>
      </c>
      <c r="Q8" s="113">
        <f>SUBTOTAL(109,Tableau_Lancer_la_requête_à_partir_de_Excel_Files1025678910[''LRMP''])</f>
        <v>0</v>
      </c>
      <c r="R8" s="113">
        <f>SUBTOTAL(109,Tableau_Lancer_la_requête_à_partir_de_Excel_Files1025678910[Total Dpts])</f>
        <v>0</v>
      </c>
      <c r="S8" s="113">
        <f>SUBTOTAL(109,Tableau_Lancer_la_requête_à_partir_de_Excel_Files1025678910[''03''])</f>
        <v>0</v>
      </c>
      <c r="T8" s="113">
        <f>SUBTOTAL(109,Tableau_Lancer_la_requête_à_partir_de_Excel_Files1025678910[''07''])</f>
        <v>0</v>
      </c>
      <c r="U8" s="113">
        <f>SUBTOTAL(109,Tableau_Lancer_la_requête_à_partir_de_Excel_Files1025678910[''11''])</f>
        <v>0</v>
      </c>
      <c r="V8" s="113">
        <f>SUBTOTAL(109,Tableau_Lancer_la_requête_à_partir_de_Excel_Files1025678910[''12''])</f>
        <v>0</v>
      </c>
      <c r="W8" s="113">
        <f>SUBTOTAL(109,Tableau_Lancer_la_requête_à_partir_de_Excel_Files1025678910[''15''])</f>
        <v>0</v>
      </c>
      <c r="X8" s="113">
        <f>SUBTOTAL(109,Tableau_Lancer_la_requête_à_partir_de_Excel_Files1025678910[''19''])</f>
        <v>0</v>
      </c>
      <c r="Y8" s="113">
        <f>SUBTOTAL(109,Tableau_Lancer_la_requête_à_partir_de_Excel_Files1025678910[''21''])</f>
        <v>0</v>
      </c>
      <c r="Z8" s="113">
        <f>SUBTOTAL(109,Tableau_Lancer_la_requête_à_partir_de_Excel_Files1025678910[''23''])</f>
        <v>0</v>
      </c>
      <c r="AA8" s="113">
        <f>SUBTOTAL(109,Tableau_Lancer_la_requête_à_partir_de_Excel_Files1025678910[''30''])</f>
        <v>0</v>
      </c>
      <c r="AB8" s="113">
        <f>SUBTOTAL(109,Tableau_Lancer_la_requête_à_partir_de_Excel_Files1025678910[''34''])</f>
        <v>0</v>
      </c>
      <c r="AC8" s="113">
        <f>SUBTOTAL(109,Tableau_Lancer_la_requête_à_partir_de_Excel_Files1025678910[''42''])</f>
        <v>0</v>
      </c>
      <c r="AD8" s="113">
        <f>SUBTOTAL(109,Tableau_Lancer_la_requête_à_partir_de_Excel_Files1025678910[''43''])</f>
        <v>0</v>
      </c>
      <c r="AE8" s="113">
        <f>SUBTOTAL(109,Tableau_Lancer_la_requête_à_partir_de_Excel_Files1025678910[''46''])</f>
        <v>0</v>
      </c>
      <c r="AF8" s="113">
        <f>SUBTOTAL(109,Tableau_Lancer_la_requête_à_partir_de_Excel_Files1025678910[''48''])</f>
        <v>0</v>
      </c>
      <c r="AG8" s="113">
        <f>SUBTOTAL(109,Tableau_Lancer_la_requête_à_partir_de_Excel_Files1025678910[''58''])</f>
        <v>0</v>
      </c>
      <c r="AH8" s="113">
        <f>SUBTOTAL(109,Tableau_Lancer_la_requête_à_partir_de_Excel_Files1025678910[''63''])</f>
        <v>0</v>
      </c>
      <c r="AI8" s="113">
        <f>SUBTOTAL(109,Tableau_Lancer_la_requête_à_partir_de_Excel_Files1025678910[''69''])</f>
        <v>0</v>
      </c>
      <c r="AJ8" s="113">
        <f>SUBTOTAL(109,Tableau_Lancer_la_requête_à_partir_de_Excel_Files1025678910[''71''])</f>
        <v>0</v>
      </c>
      <c r="AK8" s="113">
        <f>SUBTOTAL(109,Tableau_Lancer_la_requête_à_partir_de_Excel_Files1025678910[''81''])</f>
        <v>0</v>
      </c>
      <c r="AL8" s="113">
        <f>SUBTOTAL(109,Tableau_Lancer_la_requête_à_partir_de_Excel_Files1025678910[''82''])</f>
        <v>0</v>
      </c>
      <c r="AM8" s="113">
        <f>SUBTOTAL(109,Tableau_Lancer_la_requête_à_partir_de_Excel_Files1025678910[''87''])</f>
        <v>0</v>
      </c>
      <c r="AN8" s="113">
        <f>SUBTOTAL(109,Tableau_Lancer_la_requête_à_partir_de_Excel_Files1025678910[''89''])</f>
        <v>0</v>
      </c>
      <c r="AO8" s="113">
        <f>SUBTOTAL(109,Tableau_Lancer_la_requête_à_partir_de_Excel_Files1025678910[''Autre Public''])</f>
        <v>0</v>
      </c>
      <c r="AP8" s="111"/>
      <c r="AQ8" s="111"/>
      <c r="AR8" s="116"/>
      <c r="AT8" s="70"/>
    </row>
    <row r="9" spans="1:83" s="10" customFormat="1" ht="15.75" thickTop="1" x14ac:dyDescent="0.25">
      <c r="A9" s="3"/>
      <c r="B9" s="4"/>
      <c r="C9" s="5"/>
      <c r="D9" s="3"/>
      <c r="E9" s="3"/>
      <c r="F9" s="6"/>
      <c r="G9" s="3"/>
      <c r="H9" s="6"/>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T9" s="29"/>
    </row>
    <row r="10" spans="1:83" s="10" customFormat="1" x14ac:dyDescent="0.25">
      <c r="A10" s="3"/>
      <c r="B10" s="4"/>
      <c r="C10" s="5"/>
      <c r="D10" s="3"/>
      <c r="E10" s="3"/>
      <c r="F10" s="6"/>
      <c r="G10" s="3"/>
      <c r="H10" s="6"/>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71"/>
    </row>
    <row r="11" spans="1:83" s="10" customFormat="1" x14ac:dyDescent="0.25">
      <c r="A11" s="3"/>
      <c r="B11" s="4"/>
      <c r="C11" s="5"/>
      <c r="D11" s="3"/>
      <c r="E11" s="3"/>
      <c r="F11" s="6"/>
      <c r="G11" s="3"/>
      <c r="H11" s="6"/>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83" x14ac:dyDescent="0.25">
      <c r="CB12" s="4"/>
      <c r="CE12" s="3"/>
    </row>
    <row r="13" spans="1:83" x14ac:dyDescent="0.25">
      <c r="CB13" s="4"/>
      <c r="CE13" s="3"/>
    </row>
    <row r="14" spans="1:83" x14ac:dyDescent="0.25">
      <c r="CB14" s="4"/>
      <c r="CE14" s="3"/>
    </row>
    <row r="15" spans="1:83" x14ac:dyDescent="0.25">
      <c r="CB15" s="4"/>
      <c r="CE15" s="3"/>
    </row>
    <row r="16" spans="1:83" x14ac:dyDescent="0.25">
      <c r="CB16" s="4"/>
      <c r="CE16" s="3"/>
    </row>
    <row r="17" spans="1:83" s="7" customFormat="1" x14ac:dyDescent="0.25">
      <c r="A17" s="3"/>
      <c r="B17" s="4"/>
      <c r="C17" s="5"/>
      <c r="D17" s="3"/>
      <c r="E17" s="3"/>
      <c r="F17" s="6"/>
      <c r="G17" s="3"/>
      <c r="H17" s="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1:83" s="10" customFormat="1" x14ac:dyDescent="0.25">
      <c r="A18" s="3"/>
      <c r="B18" s="4"/>
      <c r="C18" s="5"/>
      <c r="D18" s="3"/>
      <c r="E18" s="3" t="s">
        <v>86</v>
      </c>
      <c r="F18" s="6" t="s">
        <v>84</v>
      </c>
      <c r="G18" s="3"/>
      <c r="H18" s="6"/>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1:83" hidden="1" x14ac:dyDescent="0.25">
      <c r="D19" t="s">
        <v>58</v>
      </c>
      <c r="E19" s="3">
        <f>H19+AO19</f>
        <v>0</v>
      </c>
      <c r="F19" s="3">
        <f>I19+AP19</f>
        <v>0</v>
      </c>
      <c r="H19" s="3">
        <f>SUMIF(Tableau_Lancer_la_requête_à_partir_de_Excel_Files1025678910[Avis Prog],"1-Favorable",Tableau_Lancer_la_requête_à_partir_de_Excel_Files1025678910[''FEDER''])</f>
        <v>0</v>
      </c>
      <c r="I19" s="3">
        <f>SUMIF(Tableau_Lancer_la_requête_à_partir_de_Excel_Files1025678910[Avis Cofimac],"1-Favorable",Tableau_Lancer_la_requête_à_partir_de_Excel_Files1025678910[''FEDER''])</f>
        <v>0</v>
      </c>
      <c r="AO19" s="3">
        <f>SUMIF(Tableau_Lancer_la_requête_à_partir_de_Excel_Files1025678910[Avis Prog],"2-Favorable sous réserve",Tableau_Lancer_la_requête_à_partir_de_Excel_Files1025678910[''FEDER''])</f>
        <v>0</v>
      </c>
      <c r="AP19" s="3">
        <f>SUMIF(Tableau_Lancer_la_requête_à_partir_de_Excel_Files1025678910[Avis Cofimac],"2-Favorable sous réserve",Tableau_Lancer_la_requête_à_partir_de_Excel_Files1025678910[''FEDER''])</f>
        <v>0</v>
      </c>
      <c r="CD19" s="4"/>
      <c r="CE19" s="3"/>
    </row>
    <row r="20" spans="1:83" hidden="1" x14ac:dyDescent="0.25">
      <c r="D20" t="s">
        <v>46</v>
      </c>
      <c r="E20" s="3">
        <f t="shared" ref="E20:E48" si="0">H20+AO20</f>
        <v>0</v>
      </c>
      <c r="F20" s="3">
        <f t="shared" ref="F20:F48" si="1">I20+AP20</f>
        <v>0</v>
      </c>
      <c r="H20" s="3">
        <f>SUMIF(Tableau_Lancer_la_requête_à_partir_de_Excel_Files1025678910[Avis Prog],"1-Favorable",Tableau_Lancer_la_requête_à_partir_de_Excel_Files1025678910[Total Etat])</f>
        <v>0</v>
      </c>
      <c r="I20" s="3">
        <f>SUMIF(Tableau_Lancer_la_requête_à_partir_de_Excel_Files1025678910[Avis Cofimac],"1-Favorable",Tableau_Lancer_la_requête_à_partir_de_Excel_Files1025678910[Total Etat])</f>
        <v>0</v>
      </c>
      <c r="AO20" s="3">
        <f>SUMIF(Tableau_Lancer_la_requête_à_partir_de_Excel_Files1025678910[Avis Prog],"2-Favorable sous réserve",Tableau_Lancer_la_requête_à_partir_de_Excel_Files1025678910[Total Etat])</f>
        <v>0</v>
      </c>
      <c r="AP20" s="3">
        <f>SUMIF(Tableau_Lancer_la_requête_à_partir_de_Excel_Files1025678910[Avis Cofimac],"2-Favorable sous réserve",Tableau_Lancer_la_requête_à_partir_de_Excel_Files1025678910[Total Etat])</f>
        <v>0</v>
      </c>
    </row>
    <row r="21" spans="1:83" hidden="1" x14ac:dyDescent="0.25">
      <c r="D21" t="s">
        <v>47</v>
      </c>
      <c r="E21" s="3">
        <f t="shared" si="0"/>
        <v>0</v>
      </c>
      <c r="F21" s="3">
        <f t="shared" si="1"/>
        <v>0</v>
      </c>
      <c r="H21" s="3">
        <f>SUMIF(Tableau_Lancer_la_requête_à_partir_de_Excel_Files1025678910[Avis Prog],"1-Favorable",Tableau_Lancer_la_requête_à_partir_de_Excel_Files1025678910[Total Régions])</f>
        <v>0</v>
      </c>
      <c r="I21" s="3">
        <f>SUMIF(Tableau_Lancer_la_requête_à_partir_de_Excel_Files1025678910[Avis Cofimac],"1-Favorable",Tableau_Lancer_la_requête_à_partir_de_Excel_Files1025678910[Total Régions])</f>
        <v>0</v>
      </c>
      <c r="AO21" s="3">
        <f>SUMIF(Tableau_Lancer_la_requête_à_partir_de_Excel_Files1025678910[Avis Prog],"2-Favorable sous réserve",Tableau_Lancer_la_requête_à_partir_de_Excel_Files1025678910[Total Régions])</f>
        <v>0</v>
      </c>
      <c r="AP21" s="3">
        <f>SUMIF(Tableau_Lancer_la_requête_à_partir_de_Excel_Files1025678910[Avis Cofimac],"2-Favorable sous réserve",Tableau_Lancer_la_requête_à_partir_de_Excel_Files1025678910[Total Régions])</f>
        <v>0</v>
      </c>
    </row>
    <row r="22" spans="1:83" hidden="1" x14ac:dyDescent="0.25">
      <c r="D22" s="3" t="s">
        <v>59</v>
      </c>
      <c r="E22" s="3">
        <f t="shared" si="0"/>
        <v>0</v>
      </c>
      <c r="F22" s="3">
        <f t="shared" si="1"/>
        <v>0</v>
      </c>
      <c r="H22" s="3">
        <f>SUMIF(Tableau_Lancer_la_requête_à_partir_de_Excel_Files1025678910[Avis Prog],"1-Favorable",Tableau_Lancer_la_requête_à_partir_de_Excel_Files1025678910[''ALPC''])</f>
        <v>0</v>
      </c>
      <c r="I22" s="3">
        <f>SUMIF(Tableau_Lancer_la_requête_à_partir_de_Excel_Files1025678910[Avis Cofimac],"1-Favorable",Tableau_Lancer_la_requête_à_partir_de_Excel_Files1025678910[''ALPC''])</f>
        <v>0</v>
      </c>
      <c r="AO22" s="3">
        <f>SUMIF(Tableau_Lancer_la_requête_à_partir_de_Excel_Files1025678910[Avis Prog],"2-Favorable sous réserve",Tableau_Lancer_la_requête_à_partir_de_Excel_Files1025678910[''ALPC''])</f>
        <v>0</v>
      </c>
      <c r="AP22" s="3">
        <f>SUMIF(Tableau_Lancer_la_requête_à_partir_de_Excel_Files1025678910[Avis Cofimac],"2-Favorable sous réserve",Tableau_Lancer_la_requête_à_partir_de_Excel_Files1025678910[''ALPC''])</f>
        <v>0</v>
      </c>
    </row>
    <row r="23" spans="1:83" hidden="1" x14ac:dyDescent="0.25">
      <c r="D23" s="3" t="s">
        <v>60</v>
      </c>
      <c r="E23" s="3">
        <f t="shared" si="0"/>
        <v>0</v>
      </c>
      <c r="F23" s="3">
        <f t="shared" si="1"/>
        <v>0</v>
      </c>
      <c r="H23" s="3">
        <f>SUMIF(Tableau_Lancer_la_requête_à_partir_de_Excel_Files1025678910[Avis Prog],"1-Favorable",Tableau_Lancer_la_requête_à_partir_de_Excel_Files1025678910[''AURA''])</f>
        <v>0</v>
      </c>
      <c r="I23" s="3">
        <f>SUMIF(Tableau_Lancer_la_requête_à_partir_de_Excel_Files1025678910[Avis Cofimac],"1-Favorable",Tableau_Lancer_la_requête_à_partir_de_Excel_Files1025678910[''AURA''])</f>
        <v>0</v>
      </c>
      <c r="AO23" s="3">
        <f>SUMIF(Tableau_Lancer_la_requête_à_partir_de_Excel_Files1025678910[Avis Prog],"2-Favorable sous réserve",Tableau_Lancer_la_requête_à_partir_de_Excel_Files1025678910[''AURA''])</f>
        <v>0</v>
      </c>
      <c r="AP23" s="3">
        <f>SUMIF(Tableau_Lancer_la_requête_à_partir_de_Excel_Files1025678910[Avis Cofimac],"2-Favorable sous réserve",Tableau_Lancer_la_requête_à_partir_de_Excel_Files1025678910[''AURA''])</f>
        <v>0</v>
      </c>
    </row>
    <row r="24" spans="1:83" hidden="1" x14ac:dyDescent="0.25">
      <c r="D24" s="3" t="s">
        <v>61</v>
      </c>
      <c r="E24" s="3">
        <f t="shared" si="0"/>
        <v>0</v>
      </c>
      <c r="F24" s="3">
        <f t="shared" si="1"/>
        <v>0</v>
      </c>
      <c r="H24" s="3">
        <f>SUMIF(Tableau_Lancer_la_requête_à_partir_de_Excel_Files1025678910[Avis Prog],"1-Favorable",Tableau_Lancer_la_requête_à_partir_de_Excel_Files1025678910[''BFC''])</f>
        <v>0</v>
      </c>
      <c r="I24" s="3">
        <f>SUMIF(Tableau_Lancer_la_requête_à_partir_de_Excel_Files1025678910[Avis Cofimac],"1-Favorable",Tableau_Lancer_la_requête_à_partir_de_Excel_Files1025678910[''BFC''])</f>
        <v>0</v>
      </c>
      <c r="AO24" s="3">
        <f>SUMIF(Tableau_Lancer_la_requête_à_partir_de_Excel_Files1025678910[Avis Prog],"2-Favorable sous réserve",Tableau_Lancer_la_requête_à_partir_de_Excel_Files1025678910[''BFC''])</f>
        <v>0</v>
      </c>
      <c r="AP24" s="3">
        <f>SUMIF(Tableau_Lancer_la_requête_à_partir_de_Excel_Files1025678910[Avis Cofimac],"2-Favorable sous réserve",Tableau_Lancer_la_requête_à_partir_de_Excel_Files1025678910[''BFC''])</f>
        <v>0</v>
      </c>
    </row>
    <row r="25" spans="1:83" hidden="1" x14ac:dyDescent="0.25">
      <c r="D25" s="3" t="s">
        <v>62</v>
      </c>
      <c r="E25" s="3">
        <f t="shared" si="0"/>
        <v>0</v>
      </c>
      <c r="F25" s="3">
        <f t="shared" si="1"/>
        <v>0</v>
      </c>
      <c r="H25" s="3">
        <f>SUMIF(Tableau_Lancer_la_requête_à_partir_de_Excel_Files1025678910[Avis Prog],"1-Favorable",Tableau_Lancer_la_requête_à_partir_de_Excel_Files1025678910[''LRMP''])</f>
        <v>0</v>
      </c>
      <c r="I25" s="3">
        <f>SUMIF(Tableau_Lancer_la_requête_à_partir_de_Excel_Files1025678910[Avis Cofimac],"1-Favorable",Tableau_Lancer_la_requête_à_partir_de_Excel_Files1025678910[''LRMP''])</f>
        <v>0</v>
      </c>
      <c r="AO25" s="3">
        <f>SUMIF(Tableau_Lancer_la_requête_à_partir_de_Excel_Files1025678910[Avis Prog],"2-Favorable sous réserve",Tableau_Lancer_la_requête_à_partir_de_Excel_Files1025678910[''LRMP''])</f>
        <v>0</v>
      </c>
      <c r="AP25" s="3">
        <f>SUMIF(Tableau_Lancer_la_requête_à_partir_de_Excel_Files1025678910[Avis Cofimac],"2-Favorable sous réserve",Tableau_Lancer_la_requête_à_partir_de_Excel_Files1025678910[''LRMP''])</f>
        <v>0</v>
      </c>
    </row>
    <row r="26" spans="1:83" hidden="1" x14ac:dyDescent="0.25">
      <c r="D26" t="s">
        <v>48</v>
      </c>
      <c r="E26" s="3">
        <f t="shared" si="0"/>
        <v>0</v>
      </c>
      <c r="F26" s="3">
        <f t="shared" si="1"/>
        <v>0</v>
      </c>
      <c r="H26" s="3">
        <f>SUMIF(Tableau_Lancer_la_requête_à_partir_de_Excel_Files1025678910[Avis Prog],"1-Favorable",Tableau_Lancer_la_requête_à_partir_de_Excel_Files1025678910[Total Dpts])</f>
        <v>0</v>
      </c>
      <c r="I26" s="3">
        <f>SUMIF(Tableau_Lancer_la_requête_à_partir_de_Excel_Files1025678910[Avis Cofimac],"1-Favorable",Tableau_Lancer_la_requête_à_partir_de_Excel_Files1025678910[Total Dpts])</f>
        <v>0</v>
      </c>
      <c r="AO26" s="3">
        <f>SUMIF(Tableau_Lancer_la_requête_à_partir_de_Excel_Files1025678910[Avis Prog],"2-Favorable sous réserve",Tableau_Lancer_la_requête_à_partir_de_Excel_Files1025678910[Total Dpts])</f>
        <v>0</v>
      </c>
      <c r="AP26" s="3">
        <f>SUMIF(Tableau_Lancer_la_requête_à_partir_de_Excel_Files1025678910[Avis Cofimac],"2-Favorable sous réserve",Tableau_Lancer_la_requête_à_partir_de_Excel_Files1025678910[Total Dpts])</f>
        <v>0</v>
      </c>
    </row>
    <row r="27" spans="1:83" hidden="1" x14ac:dyDescent="0.25">
      <c r="D27" t="s">
        <v>22</v>
      </c>
      <c r="E27" s="3">
        <f t="shared" si="0"/>
        <v>0</v>
      </c>
      <c r="F27" s="3">
        <f t="shared" si="1"/>
        <v>0</v>
      </c>
      <c r="H27" s="3">
        <f>SUMIF(Tableau_Lancer_la_requête_à_partir_de_Excel_Files1025678910[Avis Prog],"1-Favorable",Tableau_Lancer_la_requête_à_partir_de_Excel_Files1025678910[''03''])</f>
        <v>0</v>
      </c>
      <c r="I27" s="3">
        <f>SUMIF(Tableau_Lancer_la_requête_à_partir_de_Excel_Files1025678910[Avis Cofimac],"1-Favorable",Tableau_Lancer_la_requête_à_partir_de_Excel_Files1025678910[''03''])</f>
        <v>0</v>
      </c>
      <c r="AO27" s="3">
        <f>SUMIF(Tableau_Lancer_la_requête_à_partir_de_Excel_Files1025678910[Avis Prog],"2-Favorable sous réserve",Tableau_Lancer_la_requête_à_partir_de_Excel_Files1025678910[''03''])</f>
        <v>0</v>
      </c>
      <c r="AP27" s="3">
        <f>SUMIF(Tableau_Lancer_la_requête_à_partir_de_Excel_Files1025678910[Avis Cofimac],"2-Favorable sous réserve",Tableau_Lancer_la_requête_à_partir_de_Excel_Files1025678910[''03''])</f>
        <v>0</v>
      </c>
    </row>
    <row r="28" spans="1:83" hidden="1" x14ac:dyDescent="0.25">
      <c r="D28" t="s">
        <v>23</v>
      </c>
      <c r="E28" s="3">
        <f t="shared" si="0"/>
        <v>0</v>
      </c>
      <c r="F28" s="3">
        <f t="shared" si="1"/>
        <v>0</v>
      </c>
      <c r="H28" s="3">
        <f>SUMIF(Tableau_Lancer_la_requête_à_partir_de_Excel_Files1025678910[Avis Prog],"1-Favorable",Tableau_Lancer_la_requête_à_partir_de_Excel_Files1025678910[''07''])</f>
        <v>0</v>
      </c>
      <c r="I28" s="3">
        <f>SUMIF(Tableau_Lancer_la_requête_à_partir_de_Excel_Files1025678910[Avis Cofimac],"1-Favorable",Tableau_Lancer_la_requête_à_partir_de_Excel_Files1025678910[''07''])</f>
        <v>0</v>
      </c>
      <c r="AO28" s="3">
        <f>SUMIF(Tableau_Lancer_la_requête_à_partir_de_Excel_Files1025678910[Avis Prog],"2-Favorable sous réserve",Tableau_Lancer_la_requête_à_partir_de_Excel_Files1025678910[''07''])</f>
        <v>0</v>
      </c>
      <c r="AP28" s="3">
        <f>SUMIF(Tableau_Lancer_la_requête_à_partir_de_Excel_Files1025678910[Avis Cofimac],"2-Favorable sous réserve",Tableau_Lancer_la_requête_à_partir_de_Excel_Files1025678910[''07''])</f>
        <v>0</v>
      </c>
    </row>
    <row r="29" spans="1:83" hidden="1" x14ac:dyDescent="0.25">
      <c r="D29" t="s">
        <v>24</v>
      </c>
      <c r="E29" s="3">
        <f t="shared" si="0"/>
        <v>0</v>
      </c>
      <c r="F29" s="3">
        <f t="shared" si="1"/>
        <v>0</v>
      </c>
      <c r="H29" s="3">
        <f>SUMIF(Tableau_Lancer_la_requête_à_partir_de_Excel_Files1025678910[Avis Prog],"1-Favorable",Tableau_Lancer_la_requête_à_partir_de_Excel_Files1025678910[''11''])</f>
        <v>0</v>
      </c>
      <c r="I29" s="3">
        <f>SUMIF(Tableau_Lancer_la_requête_à_partir_de_Excel_Files1025678910[Avis Cofimac],"1-Favorable",Tableau_Lancer_la_requête_à_partir_de_Excel_Files1025678910[''11''])</f>
        <v>0</v>
      </c>
      <c r="AO29" s="3">
        <f>SUMIF(Tableau_Lancer_la_requête_à_partir_de_Excel_Files1025678910[Avis Prog],"2-Favorable sous réserve",Tableau_Lancer_la_requête_à_partir_de_Excel_Files1025678910[''11''])</f>
        <v>0</v>
      </c>
      <c r="AP29" s="3">
        <f>SUMIF(Tableau_Lancer_la_requête_à_partir_de_Excel_Files1025678910[Avis Cofimac],"2-Favorable sous réserve",Tableau_Lancer_la_requête_à_partir_de_Excel_Files1025678910[''11''])</f>
        <v>0</v>
      </c>
    </row>
    <row r="30" spans="1:83" hidden="1" x14ac:dyDescent="0.25">
      <c r="D30" t="s">
        <v>25</v>
      </c>
      <c r="E30" s="3">
        <f t="shared" si="0"/>
        <v>0</v>
      </c>
      <c r="F30" s="3">
        <f t="shared" si="1"/>
        <v>0</v>
      </c>
      <c r="H30" s="3">
        <f>SUMIF(Tableau_Lancer_la_requête_à_partir_de_Excel_Files1025678910[Avis Prog],"1-Favorable",Tableau_Lancer_la_requête_à_partir_de_Excel_Files1025678910[''12''])</f>
        <v>0</v>
      </c>
      <c r="I30" s="3">
        <f>SUMIF(Tableau_Lancer_la_requête_à_partir_de_Excel_Files1025678910[Avis Cofimac],"1-Favorable",Tableau_Lancer_la_requête_à_partir_de_Excel_Files1025678910[''12''])</f>
        <v>0</v>
      </c>
      <c r="AO30" s="3">
        <f>SUMIF(Tableau_Lancer_la_requête_à_partir_de_Excel_Files1025678910[Avis Prog],"2-Favorable sous réserve",Tableau_Lancer_la_requête_à_partir_de_Excel_Files1025678910[''12''])</f>
        <v>0</v>
      </c>
      <c r="AP30" s="3">
        <f>SUMIF(Tableau_Lancer_la_requête_à_partir_de_Excel_Files1025678910[Avis Cofimac],"2-Favorable sous réserve",Tableau_Lancer_la_requête_à_partir_de_Excel_Files1025678910[''12''])</f>
        <v>0</v>
      </c>
    </row>
    <row r="31" spans="1:83" hidden="1" x14ac:dyDescent="0.25">
      <c r="D31" t="s">
        <v>26</v>
      </c>
      <c r="E31" s="3">
        <f t="shared" si="0"/>
        <v>0</v>
      </c>
      <c r="F31" s="3">
        <f t="shared" si="1"/>
        <v>0</v>
      </c>
      <c r="H31" s="3">
        <f>SUMIF(Tableau_Lancer_la_requête_à_partir_de_Excel_Files1025678910[Avis Prog],"1-Favorable",Tableau_Lancer_la_requête_à_partir_de_Excel_Files1025678910[''15''])</f>
        <v>0</v>
      </c>
      <c r="I31" s="3">
        <f>SUMIF(Tableau_Lancer_la_requête_à_partir_de_Excel_Files1025678910[Avis Cofimac],"1-Favorable",Tableau_Lancer_la_requête_à_partir_de_Excel_Files1025678910[''15''])</f>
        <v>0</v>
      </c>
      <c r="AO31" s="3">
        <f>SUMIF(Tableau_Lancer_la_requête_à_partir_de_Excel_Files1025678910[Avis Prog],"2-Favorable sous réserve",Tableau_Lancer_la_requête_à_partir_de_Excel_Files1025678910[''15''])</f>
        <v>0</v>
      </c>
      <c r="AP31" s="3">
        <f>SUMIF(Tableau_Lancer_la_requête_à_partir_de_Excel_Files1025678910[Avis Cofimac],"2-Favorable sous réserve",Tableau_Lancer_la_requête_à_partir_de_Excel_Files1025678910[''15''])</f>
        <v>0</v>
      </c>
    </row>
    <row r="32" spans="1:83" hidden="1" x14ac:dyDescent="0.25">
      <c r="D32" t="s">
        <v>27</v>
      </c>
      <c r="E32" s="3">
        <f t="shared" si="0"/>
        <v>0</v>
      </c>
      <c r="F32" s="3">
        <f t="shared" si="1"/>
        <v>0</v>
      </c>
      <c r="H32" s="3">
        <f>SUMIF(Tableau_Lancer_la_requête_à_partir_de_Excel_Files1025678910[Avis Prog],"1-Favorable",Tableau_Lancer_la_requête_à_partir_de_Excel_Files1025678910[''19''])</f>
        <v>0</v>
      </c>
      <c r="I32" s="3">
        <f>SUMIF(Tableau_Lancer_la_requête_à_partir_de_Excel_Files1025678910[Avis Cofimac],"1-Favorable",Tableau_Lancer_la_requête_à_partir_de_Excel_Files1025678910[''19''])</f>
        <v>0</v>
      </c>
      <c r="AO32" s="3">
        <f>SUMIF(Tableau_Lancer_la_requête_à_partir_de_Excel_Files1025678910[Avis Prog],"2-Favorable sous réserve",Tableau_Lancer_la_requête_à_partir_de_Excel_Files1025678910[''19''])</f>
        <v>0</v>
      </c>
      <c r="AP32" s="3">
        <f>SUMIF(Tableau_Lancer_la_requête_à_partir_de_Excel_Files1025678910[Avis Cofimac],"2-Favorable sous réserve",Tableau_Lancer_la_requête_à_partir_de_Excel_Files1025678910[''19''])</f>
        <v>0</v>
      </c>
    </row>
    <row r="33" spans="4:42" hidden="1" x14ac:dyDescent="0.25">
      <c r="D33" t="s">
        <v>28</v>
      </c>
      <c r="E33" s="3">
        <f t="shared" si="0"/>
        <v>0</v>
      </c>
      <c r="F33" s="3">
        <f t="shared" si="1"/>
        <v>0</v>
      </c>
      <c r="H33" s="3">
        <f>SUMIF(Tableau_Lancer_la_requête_à_partir_de_Excel_Files1025678910[Avis Prog],"1-Favorable",Tableau_Lancer_la_requête_à_partir_de_Excel_Files1025678910[''21''])</f>
        <v>0</v>
      </c>
      <c r="I33" s="3">
        <f>SUMIF(Tableau_Lancer_la_requête_à_partir_de_Excel_Files1025678910[Avis Cofimac],"1-Favorable",Tableau_Lancer_la_requête_à_partir_de_Excel_Files1025678910[''21''])</f>
        <v>0</v>
      </c>
      <c r="AO33" s="3">
        <f>SUMIF(Tableau_Lancer_la_requête_à_partir_de_Excel_Files1025678910[Avis Prog],"2-Favorable sous réserve",Tableau_Lancer_la_requête_à_partir_de_Excel_Files1025678910[''21''])</f>
        <v>0</v>
      </c>
      <c r="AP33" s="3">
        <f>SUMIF(Tableau_Lancer_la_requête_à_partir_de_Excel_Files1025678910[Avis Cofimac],"2-Favorable sous réserve",Tableau_Lancer_la_requête_à_partir_de_Excel_Files1025678910[''21''])</f>
        <v>0</v>
      </c>
    </row>
    <row r="34" spans="4:42" hidden="1" x14ac:dyDescent="0.25">
      <c r="D34" t="s">
        <v>29</v>
      </c>
      <c r="E34" s="3">
        <f t="shared" si="0"/>
        <v>0</v>
      </c>
      <c r="F34" s="3">
        <f t="shared" si="1"/>
        <v>0</v>
      </c>
      <c r="H34" s="3">
        <f>SUMIF(Tableau_Lancer_la_requête_à_partir_de_Excel_Files1025678910[Avis Prog],"1-Favorable",Tableau_Lancer_la_requête_à_partir_de_Excel_Files1025678910[''23''])</f>
        <v>0</v>
      </c>
      <c r="I34" s="3">
        <f>SUMIF(Tableau_Lancer_la_requête_à_partir_de_Excel_Files1025678910[Avis Cofimac],"1-Favorable",Tableau_Lancer_la_requête_à_partir_de_Excel_Files1025678910[''23''])</f>
        <v>0</v>
      </c>
      <c r="AO34" s="3">
        <f>SUMIF(Tableau_Lancer_la_requête_à_partir_de_Excel_Files1025678910[Avis Prog],"2-Favorable sous réserve",Tableau_Lancer_la_requête_à_partir_de_Excel_Files1025678910[''23''])</f>
        <v>0</v>
      </c>
      <c r="AP34" s="3">
        <f>SUMIF(Tableau_Lancer_la_requête_à_partir_de_Excel_Files1025678910[Avis Cofimac],"2-Favorable sous réserve",Tableau_Lancer_la_requête_à_partir_de_Excel_Files1025678910[''23''])</f>
        <v>0</v>
      </c>
    </row>
    <row r="35" spans="4:42" hidden="1" x14ac:dyDescent="0.25">
      <c r="D35" t="s">
        <v>30</v>
      </c>
      <c r="E35" s="3">
        <f t="shared" si="0"/>
        <v>0</v>
      </c>
      <c r="F35" s="3">
        <f t="shared" si="1"/>
        <v>0</v>
      </c>
      <c r="H35" s="3">
        <f>SUMIF(Tableau_Lancer_la_requête_à_partir_de_Excel_Files1025678910[Avis Prog],"1-Favorable",Tableau_Lancer_la_requête_à_partir_de_Excel_Files1025678910[''30''])</f>
        <v>0</v>
      </c>
      <c r="I35" s="3">
        <f>SUMIF(Tableau_Lancer_la_requête_à_partir_de_Excel_Files1025678910[Avis Cofimac],"1-Favorable",Tableau_Lancer_la_requête_à_partir_de_Excel_Files1025678910[''30''])</f>
        <v>0</v>
      </c>
      <c r="AO35" s="3">
        <f>SUMIF(Tableau_Lancer_la_requête_à_partir_de_Excel_Files1025678910[Avis Prog],"2-Favorable sous réserve",Tableau_Lancer_la_requête_à_partir_de_Excel_Files1025678910[''30''])</f>
        <v>0</v>
      </c>
      <c r="AP35" s="3">
        <f>SUMIF(Tableau_Lancer_la_requête_à_partir_de_Excel_Files1025678910[Avis Cofimac],"2-Favorable sous réserve",Tableau_Lancer_la_requête_à_partir_de_Excel_Files1025678910[''30''])</f>
        <v>0</v>
      </c>
    </row>
    <row r="36" spans="4:42" hidden="1" x14ac:dyDescent="0.25">
      <c r="D36" t="s">
        <v>31</v>
      </c>
      <c r="E36" s="3">
        <f t="shared" si="0"/>
        <v>0</v>
      </c>
      <c r="F36" s="3">
        <f t="shared" si="1"/>
        <v>0</v>
      </c>
      <c r="H36" s="3">
        <f>SUMIF(Tableau_Lancer_la_requête_à_partir_de_Excel_Files1025678910[Avis Prog],"1-Favorable",Tableau_Lancer_la_requête_à_partir_de_Excel_Files1025678910[''34''])</f>
        <v>0</v>
      </c>
      <c r="I36" s="3">
        <f>SUMIF(Tableau_Lancer_la_requête_à_partir_de_Excel_Files1025678910[Avis Cofimac],"1-Favorable",Tableau_Lancer_la_requête_à_partir_de_Excel_Files1025678910[''34''])</f>
        <v>0</v>
      </c>
      <c r="AO36" s="3">
        <f>SUMIF(Tableau_Lancer_la_requête_à_partir_de_Excel_Files1025678910[Avis Prog],"2-Favorable sous réserve",Tableau_Lancer_la_requête_à_partir_de_Excel_Files1025678910[''34''])</f>
        <v>0</v>
      </c>
      <c r="AP36" s="3">
        <f>SUMIF(Tableau_Lancer_la_requête_à_partir_de_Excel_Files1025678910[Avis Cofimac],"2-Favorable sous réserve",Tableau_Lancer_la_requête_à_partir_de_Excel_Files1025678910[''34''])</f>
        <v>0</v>
      </c>
    </row>
    <row r="37" spans="4:42" hidden="1" x14ac:dyDescent="0.25">
      <c r="D37" t="s">
        <v>32</v>
      </c>
      <c r="E37" s="3">
        <f t="shared" si="0"/>
        <v>0</v>
      </c>
      <c r="F37" s="3">
        <f t="shared" si="1"/>
        <v>0</v>
      </c>
      <c r="H37" s="3">
        <f>SUMIF(Tableau_Lancer_la_requête_à_partir_de_Excel_Files1025678910[Avis Prog],"1-Favorable",Tableau_Lancer_la_requête_à_partir_de_Excel_Files1025678910[''42''])</f>
        <v>0</v>
      </c>
      <c r="I37" s="3">
        <f>SUMIF(Tableau_Lancer_la_requête_à_partir_de_Excel_Files1025678910[Avis Cofimac],"1-Favorable",Tableau_Lancer_la_requête_à_partir_de_Excel_Files1025678910[''42''])</f>
        <v>0</v>
      </c>
      <c r="AO37" s="3">
        <f>SUMIF(Tableau_Lancer_la_requête_à_partir_de_Excel_Files1025678910[Avis Prog],"2-Favorable sous réserve",Tableau_Lancer_la_requête_à_partir_de_Excel_Files1025678910[''42''])</f>
        <v>0</v>
      </c>
      <c r="AP37" s="3">
        <f>SUMIF(Tableau_Lancer_la_requête_à_partir_de_Excel_Files1025678910[Avis Cofimac],"2-Favorable sous réserve",Tableau_Lancer_la_requête_à_partir_de_Excel_Files1025678910[''42''])</f>
        <v>0</v>
      </c>
    </row>
    <row r="38" spans="4:42" hidden="1" x14ac:dyDescent="0.25">
      <c r="D38" t="s">
        <v>33</v>
      </c>
      <c r="E38" s="3">
        <f t="shared" si="0"/>
        <v>0</v>
      </c>
      <c r="F38" s="3">
        <f t="shared" si="1"/>
        <v>0</v>
      </c>
      <c r="H38" s="3">
        <f>SUMIF(Tableau_Lancer_la_requête_à_partir_de_Excel_Files1025678910[Avis Prog],"1-Favorable",Tableau_Lancer_la_requête_à_partir_de_Excel_Files1025678910[''43''])</f>
        <v>0</v>
      </c>
      <c r="I38" s="3">
        <f>SUMIF(Tableau_Lancer_la_requête_à_partir_de_Excel_Files1025678910[Avis Cofimac],"1-Favorable",Tableau_Lancer_la_requête_à_partir_de_Excel_Files1025678910[''43''])</f>
        <v>0</v>
      </c>
      <c r="AO38" s="3">
        <f>SUMIF(Tableau_Lancer_la_requête_à_partir_de_Excel_Files1025678910[Avis Prog],"2-Favorable sous réserve",Tableau_Lancer_la_requête_à_partir_de_Excel_Files1025678910[''43''])</f>
        <v>0</v>
      </c>
      <c r="AP38" s="3">
        <f>SUMIF(Tableau_Lancer_la_requête_à_partir_de_Excel_Files1025678910[Avis Cofimac],"2-Favorable sous réserve",Tableau_Lancer_la_requête_à_partir_de_Excel_Files1025678910[''43''])</f>
        <v>0</v>
      </c>
    </row>
    <row r="39" spans="4:42" hidden="1" x14ac:dyDescent="0.25">
      <c r="D39" t="s">
        <v>34</v>
      </c>
      <c r="E39" s="3">
        <f t="shared" si="0"/>
        <v>0</v>
      </c>
      <c r="F39" s="3">
        <f t="shared" si="1"/>
        <v>0</v>
      </c>
      <c r="H39" s="3">
        <f>SUMIF(Tableau_Lancer_la_requête_à_partir_de_Excel_Files1025678910[Avis Prog],"1-Favorable",Tableau_Lancer_la_requête_à_partir_de_Excel_Files1025678910[''46''])</f>
        <v>0</v>
      </c>
      <c r="I39" s="3">
        <f>SUMIF(Tableau_Lancer_la_requête_à_partir_de_Excel_Files1025678910[Avis Cofimac],"1-Favorable",Tableau_Lancer_la_requête_à_partir_de_Excel_Files1025678910[''46''])</f>
        <v>0</v>
      </c>
      <c r="AO39" s="3">
        <f>SUMIF(Tableau_Lancer_la_requête_à_partir_de_Excel_Files1025678910[Avis Prog],"2-Favorable sous réserve",Tableau_Lancer_la_requête_à_partir_de_Excel_Files1025678910[''46''])</f>
        <v>0</v>
      </c>
      <c r="AP39" s="3">
        <f>SUMIF(Tableau_Lancer_la_requête_à_partir_de_Excel_Files1025678910[Avis Cofimac],"2-Favorable sous réserve",Tableau_Lancer_la_requête_à_partir_de_Excel_Files1025678910[''46''])</f>
        <v>0</v>
      </c>
    </row>
    <row r="40" spans="4:42" hidden="1" x14ac:dyDescent="0.25">
      <c r="D40" t="s">
        <v>35</v>
      </c>
      <c r="E40" s="3">
        <f t="shared" si="0"/>
        <v>0</v>
      </c>
      <c r="F40" s="3">
        <f t="shared" si="1"/>
        <v>0</v>
      </c>
      <c r="H40" s="3">
        <f>SUMIF(Tableau_Lancer_la_requête_à_partir_de_Excel_Files1025678910[Avis Prog],"1-Favorable",Tableau_Lancer_la_requête_à_partir_de_Excel_Files1025678910[''48''])</f>
        <v>0</v>
      </c>
      <c r="I40" s="3">
        <f>SUMIF(Tableau_Lancer_la_requête_à_partir_de_Excel_Files1025678910[Avis Cofimac],"1-Favorable",Tableau_Lancer_la_requête_à_partir_de_Excel_Files1025678910[''48''])</f>
        <v>0</v>
      </c>
      <c r="AO40" s="3">
        <f>SUMIF(Tableau_Lancer_la_requête_à_partir_de_Excel_Files1025678910[Avis Prog],"2-Favorable sous réserve",Tableau_Lancer_la_requête_à_partir_de_Excel_Files1025678910[''48''])</f>
        <v>0</v>
      </c>
      <c r="AP40" s="3">
        <f>SUMIF(Tableau_Lancer_la_requête_à_partir_de_Excel_Files1025678910[Avis Cofimac],"2-Favorable sous réserve",Tableau_Lancer_la_requête_à_partir_de_Excel_Files1025678910[''48''])</f>
        <v>0</v>
      </c>
    </row>
    <row r="41" spans="4:42" hidden="1" x14ac:dyDescent="0.25">
      <c r="D41" t="s">
        <v>36</v>
      </c>
      <c r="E41" s="3">
        <f t="shared" si="0"/>
        <v>0</v>
      </c>
      <c r="F41" s="3">
        <f t="shared" si="1"/>
        <v>0</v>
      </c>
      <c r="H41" s="3">
        <f>SUMIF(Tableau_Lancer_la_requête_à_partir_de_Excel_Files1025678910[Avis Prog],"1-Favorable",Tableau_Lancer_la_requête_à_partir_de_Excel_Files1025678910[''58''])</f>
        <v>0</v>
      </c>
      <c r="I41" s="3">
        <f>SUMIF(Tableau_Lancer_la_requête_à_partir_de_Excel_Files1025678910[Avis Cofimac],"1-Favorable",Tableau_Lancer_la_requête_à_partir_de_Excel_Files1025678910[''58''])</f>
        <v>0</v>
      </c>
      <c r="AO41" s="3">
        <f>SUMIF(Tableau_Lancer_la_requête_à_partir_de_Excel_Files1025678910[Avis Prog],"2-Favorable sous réserve",Tableau_Lancer_la_requête_à_partir_de_Excel_Files1025678910[''58''])</f>
        <v>0</v>
      </c>
      <c r="AP41" s="3">
        <f>SUMIF(Tableau_Lancer_la_requête_à_partir_de_Excel_Files1025678910[Avis Cofimac],"2-Favorable sous réserve",Tableau_Lancer_la_requête_à_partir_de_Excel_Files1025678910[''58''])</f>
        <v>0</v>
      </c>
    </row>
    <row r="42" spans="4:42" hidden="1" x14ac:dyDescent="0.25">
      <c r="D42" t="s">
        <v>37</v>
      </c>
      <c r="E42" s="3">
        <f t="shared" si="0"/>
        <v>0</v>
      </c>
      <c r="F42" s="3">
        <f t="shared" si="1"/>
        <v>0</v>
      </c>
      <c r="H42" s="3">
        <f>SUMIF(Tableau_Lancer_la_requête_à_partir_de_Excel_Files1025678910[Avis Prog],"1-Favorable",Tableau_Lancer_la_requête_à_partir_de_Excel_Files1025678910[''63''])</f>
        <v>0</v>
      </c>
      <c r="I42" s="3">
        <f>SUMIF(Tableau_Lancer_la_requête_à_partir_de_Excel_Files1025678910[Avis Cofimac],"1-Favorable",Tableau_Lancer_la_requête_à_partir_de_Excel_Files1025678910[''63''])</f>
        <v>0</v>
      </c>
      <c r="AO42" s="3">
        <f>SUMIF(Tableau_Lancer_la_requête_à_partir_de_Excel_Files1025678910[Avis Prog],"2-Favorable sous réserve",Tableau_Lancer_la_requête_à_partir_de_Excel_Files1025678910[''63''])</f>
        <v>0</v>
      </c>
      <c r="AP42" s="3">
        <f>SUMIF(Tableau_Lancer_la_requête_à_partir_de_Excel_Files1025678910[Avis Cofimac],"2-Favorable sous réserve",Tableau_Lancer_la_requête_à_partir_de_Excel_Files1025678910[''63''])</f>
        <v>0</v>
      </c>
    </row>
    <row r="43" spans="4:42" hidden="1" x14ac:dyDescent="0.25">
      <c r="D43" t="s">
        <v>38</v>
      </c>
      <c r="E43" s="3">
        <f t="shared" si="0"/>
        <v>0</v>
      </c>
      <c r="F43" s="3">
        <f t="shared" si="1"/>
        <v>0</v>
      </c>
      <c r="H43" s="3">
        <f>SUMIF(Tableau_Lancer_la_requête_à_partir_de_Excel_Files1025678910[Avis Prog],"1-Favorable",Tableau_Lancer_la_requête_à_partir_de_Excel_Files1025678910[''69''])</f>
        <v>0</v>
      </c>
      <c r="I43" s="3">
        <f>SUMIF(Tableau_Lancer_la_requête_à_partir_de_Excel_Files1025678910[Avis Cofimac],"1-Favorable",Tableau_Lancer_la_requête_à_partir_de_Excel_Files1025678910[''69''])</f>
        <v>0</v>
      </c>
      <c r="AO43" s="3">
        <f>SUMIF(Tableau_Lancer_la_requête_à_partir_de_Excel_Files1025678910[Avis Prog],"2-Favorable sous réserve",Tableau_Lancer_la_requête_à_partir_de_Excel_Files1025678910[''69''])</f>
        <v>0</v>
      </c>
      <c r="AP43" s="3">
        <f>SUMIF(Tableau_Lancer_la_requête_à_partir_de_Excel_Files1025678910[Avis Cofimac],"2-Favorable sous réserve",Tableau_Lancer_la_requête_à_partir_de_Excel_Files1025678910[''69''])</f>
        <v>0</v>
      </c>
    </row>
    <row r="44" spans="4:42" hidden="1" x14ac:dyDescent="0.25">
      <c r="D44" t="s">
        <v>39</v>
      </c>
      <c r="E44" s="3">
        <f t="shared" si="0"/>
        <v>0</v>
      </c>
      <c r="F44" s="3">
        <f t="shared" si="1"/>
        <v>0</v>
      </c>
      <c r="H44" s="3">
        <f>SUMIF(Tableau_Lancer_la_requête_à_partir_de_Excel_Files1025678910[Avis Prog],"1-Favorable",Tableau_Lancer_la_requête_à_partir_de_Excel_Files1025678910[''71''])</f>
        <v>0</v>
      </c>
      <c r="I44" s="3">
        <f>SUMIF(Tableau_Lancer_la_requête_à_partir_de_Excel_Files1025678910[Avis Cofimac],"1-Favorable",Tableau_Lancer_la_requête_à_partir_de_Excel_Files1025678910[''71''])</f>
        <v>0</v>
      </c>
      <c r="AO44" s="3">
        <f>SUMIF(Tableau_Lancer_la_requête_à_partir_de_Excel_Files1025678910[Avis Prog],"2-Favorable sous réserve",Tableau_Lancer_la_requête_à_partir_de_Excel_Files1025678910[''71''])</f>
        <v>0</v>
      </c>
      <c r="AP44" s="3">
        <f>SUMIF(Tableau_Lancer_la_requête_à_partir_de_Excel_Files1025678910[Avis Cofimac],"2-Favorable sous réserve",Tableau_Lancer_la_requête_à_partir_de_Excel_Files1025678910[''71''])</f>
        <v>0</v>
      </c>
    </row>
    <row r="45" spans="4:42" hidden="1" x14ac:dyDescent="0.25">
      <c r="D45" t="s">
        <v>40</v>
      </c>
      <c r="E45" s="3">
        <f t="shared" si="0"/>
        <v>0</v>
      </c>
      <c r="F45" s="3">
        <f t="shared" si="1"/>
        <v>0</v>
      </c>
      <c r="H45" s="3">
        <f>SUMIF(Tableau_Lancer_la_requête_à_partir_de_Excel_Files1025678910[Avis Prog],"1-Favorable",Tableau_Lancer_la_requête_à_partir_de_Excel_Files1025678910[''81''])</f>
        <v>0</v>
      </c>
      <c r="I45" s="3">
        <f>SUMIF(Tableau_Lancer_la_requête_à_partir_de_Excel_Files1025678910[Avis Cofimac],"1-Favorable",Tableau_Lancer_la_requête_à_partir_de_Excel_Files1025678910[''81''])</f>
        <v>0</v>
      </c>
      <c r="AO45" s="3">
        <f>SUMIF(Tableau_Lancer_la_requête_à_partir_de_Excel_Files1025678910[Avis Prog],"2-Favorable sous réserve",Tableau_Lancer_la_requête_à_partir_de_Excel_Files1025678910[''81''])</f>
        <v>0</v>
      </c>
      <c r="AP45" s="3">
        <f>SUMIF(Tableau_Lancer_la_requête_à_partir_de_Excel_Files1025678910[Avis Cofimac],"2-Favorable sous réserve",Tableau_Lancer_la_requête_à_partir_de_Excel_Files1025678910[''81''])</f>
        <v>0</v>
      </c>
    </row>
    <row r="46" spans="4:42" hidden="1" x14ac:dyDescent="0.25">
      <c r="D46" t="s">
        <v>41</v>
      </c>
      <c r="E46" s="3">
        <f t="shared" si="0"/>
        <v>0</v>
      </c>
      <c r="F46" s="3">
        <f t="shared" si="1"/>
        <v>0</v>
      </c>
      <c r="H46" s="3">
        <f>SUMIF(Tableau_Lancer_la_requête_à_partir_de_Excel_Files1025678910[Avis Prog],"1-Favorable",Tableau_Lancer_la_requête_à_partir_de_Excel_Files1025678910[''82''])</f>
        <v>0</v>
      </c>
      <c r="I46" s="3">
        <f>SUMIF(Tableau_Lancer_la_requête_à_partir_de_Excel_Files1025678910[Avis Cofimac],"1-Favorable",Tableau_Lancer_la_requête_à_partir_de_Excel_Files1025678910[''82''])</f>
        <v>0</v>
      </c>
      <c r="AO46" s="3">
        <f>SUMIF(Tableau_Lancer_la_requête_à_partir_de_Excel_Files1025678910[Avis Prog],"2-Favorable sous réserve",Tableau_Lancer_la_requête_à_partir_de_Excel_Files1025678910[''82''])</f>
        <v>0</v>
      </c>
      <c r="AP46" s="3">
        <f>SUMIF(Tableau_Lancer_la_requête_à_partir_de_Excel_Files1025678910[Avis Cofimac],"2-Favorable sous réserve",Tableau_Lancer_la_requête_à_partir_de_Excel_Files1025678910[''82''])</f>
        <v>0</v>
      </c>
    </row>
    <row r="47" spans="4:42" hidden="1" x14ac:dyDescent="0.25">
      <c r="D47" t="s">
        <v>42</v>
      </c>
      <c r="E47" s="3">
        <f t="shared" si="0"/>
        <v>0</v>
      </c>
      <c r="F47" s="3">
        <f t="shared" si="1"/>
        <v>0</v>
      </c>
      <c r="H47" s="3">
        <f>SUMIF(Tableau_Lancer_la_requête_à_partir_de_Excel_Files1025678910[Avis Prog],"1-Favorable",Tableau_Lancer_la_requête_à_partir_de_Excel_Files1025678910[''87''])</f>
        <v>0</v>
      </c>
      <c r="I47" s="3">
        <f>SUMIF(Tableau_Lancer_la_requête_à_partir_de_Excel_Files1025678910[Avis Cofimac],"1-Favorable",Tableau_Lancer_la_requête_à_partir_de_Excel_Files1025678910[''87''])</f>
        <v>0</v>
      </c>
      <c r="AO47" s="3">
        <f>SUMIF(Tableau_Lancer_la_requête_à_partir_de_Excel_Files1025678910[Avis Prog],"2-Favorable sous réserve",Tableau_Lancer_la_requête_à_partir_de_Excel_Files1025678910[''87''])</f>
        <v>0</v>
      </c>
      <c r="AP47" s="3">
        <f>SUMIF(Tableau_Lancer_la_requête_à_partir_de_Excel_Files1025678910[Avis Cofimac],"2-Favorable sous réserve",Tableau_Lancer_la_requête_à_partir_de_Excel_Files1025678910[''87''])</f>
        <v>0</v>
      </c>
    </row>
    <row r="48" spans="4:42" hidden="1" x14ac:dyDescent="0.25">
      <c r="D48" t="s">
        <v>43</v>
      </c>
      <c r="E48" s="3">
        <f t="shared" si="0"/>
        <v>0</v>
      </c>
      <c r="F48" s="3">
        <f t="shared" si="1"/>
        <v>0</v>
      </c>
      <c r="H48" s="3">
        <f>SUMIF(Tableau_Lancer_la_requête_à_partir_de_Excel_Files1025678910[Avis Prog],"1-Favorable",Tableau_Lancer_la_requête_à_partir_de_Excel_Files1025678910[''89''])</f>
        <v>0</v>
      </c>
      <c r="I48" s="3">
        <f>SUMIF(Tableau_Lancer_la_requête_à_partir_de_Excel_Files1025678910[Avis Cofimac],"1-Favorable",Tableau_Lancer_la_requête_à_partir_de_Excel_Files1025678910[''89''])</f>
        <v>0</v>
      </c>
      <c r="AO48" s="3">
        <f>SUMIF(Tableau_Lancer_la_requête_à_partir_de_Excel_Files1025678910[Avis Prog],"2-Favorable sous réserve",Tableau_Lancer_la_requête_à_partir_de_Excel_Files1025678910[''89''])</f>
        <v>0</v>
      </c>
      <c r="AP48" s="3">
        <f>SUMIF(Tableau_Lancer_la_requête_à_partir_de_Excel_Files1025678910[Avis Cofimac],"2-Favorable sous réserve",Tableau_Lancer_la_requête_à_partir_de_Excel_Files1025678910[''89''])</f>
        <v>0</v>
      </c>
    </row>
    <row r="49" hidden="1" x14ac:dyDescent="0.25"/>
    <row r="50" hidden="1" x14ac:dyDescent="0.25"/>
  </sheetData>
  <conditionalFormatting sqref="AT6">
    <cfRule type="cellIs" dxfId="504" priority="10" operator="equal">
      <formula>"6-Retiré/Abandon"</formula>
    </cfRule>
    <cfRule type="cellIs" dxfId="503" priority="11" operator="equal">
      <formula>"5-Défavorable"</formula>
    </cfRule>
    <cfRule type="cellIs" dxfId="502" priority="12" operator="equal">
      <formula>"4-Ajournement"</formula>
    </cfRule>
    <cfRule type="cellIs" dxfId="501" priority="13" operator="equal">
      <formula>"1-Favorable"</formula>
    </cfRule>
  </conditionalFormatting>
  <conditionalFormatting sqref="AT7">
    <cfRule type="cellIs" dxfId="500" priority="6" operator="equal">
      <formula>"6-Retiré/Abandon"</formula>
    </cfRule>
    <cfRule type="cellIs" dxfId="499" priority="7" operator="equal">
      <formula>"5-Défavorable"</formula>
    </cfRule>
    <cfRule type="cellIs" dxfId="498" priority="8" operator="equal">
      <formula>"4-Ajournement"</formula>
    </cfRule>
    <cfRule type="cellIs" dxfId="497" priority="9" operator="equal">
      <formula>"1-Favorable"</formula>
    </cfRule>
  </conditionalFormatting>
  <conditionalFormatting sqref="AT8">
    <cfRule type="cellIs" dxfId="496" priority="2" operator="equal">
      <formula>"6-Retiré/Abandon"</formula>
    </cfRule>
    <cfRule type="cellIs" dxfId="495" priority="3" operator="equal">
      <formula>"5-Défavorable"</formula>
    </cfRule>
    <cfRule type="cellIs" dxfId="494" priority="4" operator="equal">
      <formula>"4-Ajournement"</formula>
    </cfRule>
    <cfRule type="cellIs" dxfId="493" priority="5" operator="equal">
      <formula>"1-Favorable"</formula>
    </cfRule>
  </conditionalFormatting>
  <conditionalFormatting sqref="AP7 AR7">
    <cfRule type="cellIs" dxfId="492" priority="1" operator="equal">
      <formula>"2-Favorable sous réserve"</formula>
    </cfRule>
    <cfRule type="cellIs" dxfId="491" priority="14" operator="equal">
      <formula>"6-Retiré/Abandon"</formula>
    </cfRule>
    <cfRule type="cellIs" dxfId="490" priority="15" operator="equal">
      <formula>"5-Défavorable"</formula>
    </cfRule>
    <cfRule type="cellIs" dxfId="489" priority="16" operator="equal">
      <formula>"4-Ajournement"</formula>
    </cfRule>
    <cfRule type="cellIs" dxfId="488" priority="17" operator="equal">
      <formula>"1-Favorable"</formula>
    </cfRule>
  </conditionalFormatting>
  <dataValidations count="1">
    <dataValidation type="list" allowBlank="1" showInputMessage="1" showErrorMessage="1" sqref="AR7">
      <formula1>"1-Favorable,2-Favorable sous réserve,4-Ajournement,5-Défavorable,6-Retiré/Abandon"</formula1>
    </dataValidation>
  </dataValidations>
  <printOptions horizontalCentered="1" verticalCentered="1"/>
  <pageMargins left="0.25" right="0.25" top="0.75" bottom="0.75" header="0.3" footer="0.3"/>
  <pageSetup paperSize="8" scale="60" fitToHeight="0"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2"/>
  <sheetViews>
    <sheetView topLeftCell="A16" zoomScale="80" zoomScaleNormal="80" workbookViewId="0">
      <selection activeCell="P29" sqref="P29"/>
    </sheetView>
  </sheetViews>
  <sheetFormatPr baseColWidth="10" defaultRowHeight="15" outlineLevelCol="1" x14ac:dyDescent="0.25"/>
  <cols>
    <col min="1" max="1" width="14.5703125" style="34" customWidth="1"/>
    <col min="2" max="2" width="12.140625" style="34" hidden="1" customWidth="1"/>
    <col min="3" max="3" width="16.28515625" style="34" bestFit="1" customWidth="1"/>
    <col min="4" max="4" width="39.85546875" style="34" customWidth="1"/>
    <col min="5" max="5" width="46" style="34" customWidth="1"/>
    <col min="6" max="6" width="7.28515625" style="34" hidden="1" customWidth="1"/>
    <col min="7" max="7" width="20.85546875" style="34" hidden="1" customWidth="1"/>
    <col min="8" max="8" width="16" style="34" bestFit="1" customWidth="1"/>
    <col min="9" max="9" width="21" style="34" hidden="1" customWidth="1"/>
    <col min="10" max="10" width="13" style="34" hidden="1" customWidth="1"/>
    <col min="11" max="11" width="16.5703125" style="34" hidden="1" customWidth="1"/>
    <col min="12" max="12" width="16.140625" style="34" customWidth="1"/>
    <col min="13" max="13" width="14.5703125" style="34" customWidth="1"/>
    <col min="14" max="14" width="22.5703125" style="34" hidden="1" customWidth="1" outlineLevel="1"/>
    <col min="15" max="15" width="17.28515625" style="34" hidden="1" customWidth="1" outlineLevel="1" collapsed="1"/>
    <col min="16" max="16" width="14.7109375" style="34" customWidth="1" collapsed="1"/>
    <col min="17" max="20" width="22.5703125" style="34" hidden="1" customWidth="1" outlineLevel="1"/>
    <col min="21" max="21" width="18.85546875" style="34" bestFit="1" customWidth="1" collapsed="1"/>
    <col min="22" max="43" width="22.5703125" style="34" hidden="1" customWidth="1" outlineLevel="1"/>
    <col min="44" max="44" width="16.7109375" style="34" customWidth="1" collapsed="1"/>
    <col min="45" max="45" width="17.7109375" style="34" bestFit="1" customWidth="1"/>
    <col min="46" max="46" width="14.140625" style="34" bestFit="1" customWidth="1"/>
    <col min="47" max="47" width="2.42578125" style="37" customWidth="1"/>
    <col min="48" max="48" width="77.28515625" style="43" customWidth="1"/>
    <col min="49" max="49" width="24.28515625" style="37" customWidth="1"/>
    <col min="50" max="50" width="14.140625" style="34" customWidth="1"/>
    <col min="51" max="51" width="22.5703125" style="34" customWidth="1"/>
    <col min="52" max="52" width="17.28515625" style="34" customWidth="1" outlineLevel="1" collapsed="1"/>
    <col min="53" max="53" width="12.85546875" style="34" customWidth="1" outlineLevel="1"/>
    <col min="54" max="54" width="22.5703125" style="34" customWidth="1"/>
    <col min="55" max="57" width="22.5703125" style="34" customWidth="1" outlineLevel="1"/>
    <col min="58" max="58" width="18.85546875" style="34" customWidth="1" outlineLevel="1" collapsed="1"/>
    <col min="59" max="59" width="22.5703125" style="34" customWidth="1"/>
    <col min="60" max="80" width="22.5703125" style="34" hidden="1" customWidth="1" outlineLevel="1"/>
    <col min="81" max="81" width="12.42578125" style="34" hidden="1" customWidth="1" outlineLevel="1" collapsed="1"/>
    <col min="82" max="82" width="14.28515625" style="34" customWidth="1" collapsed="1"/>
    <col min="83" max="83" width="17.42578125" style="34" customWidth="1" collapsed="1"/>
    <col min="84" max="84" width="11.42578125" style="34" customWidth="1" collapsed="1"/>
    <col min="85" max="85" width="11.42578125" style="34" customWidth="1"/>
    <col min="86" max="86" width="15.5703125" style="34" customWidth="1"/>
    <col min="87" max="87" width="36.85546875" style="34" customWidth="1"/>
    <col min="88" max="88" width="10" style="34" customWidth="1"/>
    <col min="89" max="89" width="19.28515625" style="34" customWidth="1"/>
    <col min="90" max="90" width="21.5703125" style="34" customWidth="1" collapsed="1"/>
    <col min="91" max="91" width="9.7109375" style="38" customWidth="1" collapsed="1"/>
    <col min="92" max="112" width="9.7109375" style="38" customWidth="1"/>
    <col min="113" max="113" width="12" style="34" customWidth="1" collapsed="1"/>
    <col min="114" max="114" width="14.28515625" style="34" bestFit="1" customWidth="1" collapsed="1"/>
    <col min="115" max="115" width="17.42578125" style="34" bestFit="1" customWidth="1"/>
    <col min="116" max="116" width="17" style="34" bestFit="1" customWidth="1"/>
    <col min="117" max="117" width="14.7109375" style="34" bestFit="1" customWidth="1"/>
    <col min="118" max="16384" width="11.42578125" style="34"/>
  </cols>
  <sheetData>
    <row r="1" spans="1:112" ht="18.75" x14ac:dyDescent="0.3">
      <c r="D1" s="35" t="s">
        <v>78</v>
      </c>
      <c r="E1" s="36">
        <v>42663</v>
      </c>
      <c r="H1" s="36"/>
    </row>
    <row r="5" spans="1:112" x14ac:dyDescent="0.25">
      <c r="C5" s="39" t="s">
        <v>79</v>
      </c>
    </row>
    <row r="6" spans="1:112" s="41" customFormat="1" ht="60" x14ac:dyDescent="0.25">
      <c r="A6" s="40" t="s">
        <v>0</v>
      </c>
      <c r="B6" s="40" t="s">
        <v>10</v>
      </c>
      <c r="C6" s="40" t="s">
        <v>7</v>
      </c>
      <c r="D6" s="40" t="s">
        <v>1</v>
      </c>
      <c r="E6" s="40" t="s">
        <v>2</v>
      </c>
      <c r="F6" s="40" t="s">
        <v>3</v>
      </c>
      <c r="G6" s="40" t="s">
        <v>14</v>
      </c>
      <c r="H6" s="40" t="s">
        <v>15</v>
      </c>
      <c r="I6" s="40" t="s">
        <v>13</v>
      </c>
      <c r="J6" s="40" t="s">
        <v>6</v>
      </c>
      <c r="K6" s="40" t="s">
        <v>5</v>
      </c>
      <c r="L6" s="40" t="s">
        <v>4</v>
      </c>
      <c r="M6" s="40" t="s">
        <v>46</v>
      </c>
      <c r="N6" s="40" t="s">
        <v>16</v>
      </c>
      <c r="O6" s="40" t="s">
        <v>17</v>
      </c>
      <c r="P6" s="40" t="s">
        <v>47</v>
      </c>
      <c r="Q6" s="40" t="s">
        <v>20</v>
      </c>
      <c r="R6" s="40" t="s">
        <v>18</v>
      </c>
      <c r="S6" s="40" t="s">
        <v>19</v>
      </c>
      <c r="T6" s="40" t="s">
        <v>21</v>
      </c>
      <c r="U6" s="40" t="s">
        <v>48</v>
      </c>
      <c r="V6" s="40" t="s">
        <v>22</v>
      </c>
      <c r="W6" s="40" t="s">
        <v>23</v>
      </c>
      <c r="X6" s="40" t="s">
        <v>24</v>
      </c>
      <c r="Y6" s="40" t="s">
        <v>25</v>
      </c>
      <c r="Z6" s="40" t="s">
        <v>26</v>
      </c>
      <c r="AA6" s="40" t="s">
        <v>27</v>
      </c>
      <c r="AB6" s="40" t="s">
        <v>28</v>
      </c>
      <c r="AC6" s="40" t="s">
        <v>29</v>
      </c>
      <c r="AD6" s="40" t="s">
        <v>30</v>
      </c>
      <c r="AE6" s="40" t="s">
        <v>31</v>
      </c>
      <c r="AF6" s="40" t="s">
        <v>32</v>
      </c>
      <c r="AG6" s="40" t="s">
        <v>33</v>
      </c>
      <c r="AH6" s="40" t="s">
        <v>34</v>
      </c>
      <c r="AI6" s="40" t="s">
        <v>35</v>
      </c>
      <c r="AJ6" s="40" t="s">
        <v>36</v>
      </c>
      <c r="AK6" s="40" t="s">
        <v>37</v>
      </c>
      <c r="AL6" s="40" t="s">
        <v>38</v>
      </c>
      <c r="AM6" s="40" t="s">
        <v>39</v>
      </c>
      <c r="AN6" s="40" t="s">
        <v>40</v>
      </c>
      <c r="AO6" s="40" t="s">
        <v>41</v>
      </c>
      <c r="AP6" s="40" t="s">
        <v>42</v>
      </c>
      <c r="AQ6" s="40" t="s">
        <v>43</v>
      </c>
      <c r="AR6" s="40" t="s">
        <v>44</v>
      </c>
      <c r="AS6" s="40" t="s">
        <v>45</v>
      </c>
      <c r="AT6" s="40" t="s">
        <v>57</v>
      </c>
      <c r="AV6" s="33" t="s">
        <v>12</v>
      </c>
      <c r="AX6" s="41" t="s">
        <v>63</v>
      </c>
      <c r="AY6" s="40" t="s">
        <v>46</v>
      </c>
      <c r="AZ6" s="40" t="s">
        <v>16</v>
      </c>
      <c r="BA6" s="40" t="s">
        <v>17</v>
      </c>
      <c r="BB6" s="40" t="s">
        <v>47</v>
      </c>
      <c r="BC6" s="40" t="s">
        <v>20</v>
      </c>
      <c r="BD6" s="40" t="s">
        <v>18</v>
      </c>
      <c r="BE6" s="40" t="s">
        <v>19</v>
      </c>
      <c r="BF6" s="40" t="s">
        <v>21</v>
      </c>
      <c r="BG6" s="40" t="s">
        <v>48</v>
      </c>
      <c r="BH6" s="40" t="s">
        <v>22</v>
      </c>
      <c r="BI6" s="40" t="s">
        <v>23</v>
      </c>
      <c r="BJ6" s="40" t="s">
        <v>24</v>
      </c>
      <c r="BK6" s="40" t="s">
        <v>25</v>
      </c>
      <c r="BL6" s="40" t="s">
        <v>26</v>
      </c>
      <c r="BM6" s="40" t="s">
        <v>27</v>
      </c>
      <c r="BN6" s="40" t="s">
        <v>28</v>
      </c>
      <c r="BO6" s="40" t="s">
        <v>29</v>
      </c>
      <c r="BP6" s="40" t="s">
        <v>30</v>
      </c>
      <c r="BQ6" s="40" t="s">
        <v>31</v>
      </c>
      <c r="BR6" s="40" t="s">
        <v>32</v>
      </c>
      <c r="BS6" s="40" t="s">
        <v>33</v>
      </c>
      <c r="BT6" s="40" t="s">
        <v>34</v>
      </c>
      <c r="BU6" s="40" t="s">
        <v>35</v>
      </c>
      <c r="BV6" s="40" t="s">
        <v>36</v>
      </c>
      <c r="BW6" s="40" t="s">
        <v>37</v>
      </c>
      <c r="BX6" s="40" t="s">
        <v>38</v>
      </c>
      <c r="BY6" s="40" t="s">
        <v>39</v>
      </c>
      <c r="BZ6" s="40" t="s">
        <v>40</v>
      </c>
      <c r="CA6" s="40" t="s">
        <v>41</v>
      </c>
      <c r="CB6" s="40" t="s">
        <v>42</v>
      </c>
      <c r="CC6" s="40" t="s">
        <v>43</v>
      </c>
      <c r="CD6" s="40" t="s">
        <v>44</v>
      </c>
      <c r="CE6" s="41" t="s">
        <v>64</v>
      </c>
    </row>
    <row r="7" spans="1:112" ht="30" x14ac:dyDescent="0.25">
      <c r="A7" s="40" t="s">
        <v>321</v>
      </c>
      <c r="B7" s="42" t="s">
        <v>322</v>
      </c>
      <c r="C7" s="42" t="s">
        <v>322</v>
      </c>
      <c r="D7" s="43" t="s">
        <v>323</v>
      </c>
      <c r="E7" s="43" t="s">
        <v>324</v>
      </c>
      <c r="F7" s="44">
        <v>77064.34</v>
      </c>
      <c r="G7" s="44"/>
      <c r="H7" s="44">
        <f>IF(Tableau_Lancer_la_requête_à_partir_de_Excel_Files3[[#This Row],[Coût total Eligible FEDER]]="",Tableau_Lancer_la_requête_à_partir_de_Excel_Files3[[#This Row],[Coût total déposé]],Tableau_Lancer_la_requête_à_partir_de_Excel_Files3[[#This Row],[Coût total Eligible FEDER]])</f>
        <v>77064.34</v>
      </c>
      <c r="I7" s="44">
        <f>Tableau_Lancer_la_requête_à_partir_de_Excel_Files3[[#This Row],[Aide Massif Obtenu]]+Tableau_Lancer_la_requête_à_partir_de_Excel_Files3[[#This Row],[''Autre Public'']]</f>
        <v>43900</v>
      </c>
      <c r="J7" s="45">
        <f>Tableau_Lancer_la_requête_à_partir_de_Excel_Files3[[#This Row],[Aide Publique Obtenue]]/Tableau_Lancer_la_requête_à_partir_de_Excel_Files3[[#This Row],[Coût total]]</f>
        <v>0.5696538762286163</v>
      </c>
      <c r="K7" s="44">
        <f>Tableau_Lancer_la_requête_à_partir_de_Excel_Files3[[#This Row],[Etat]]+Tableau_Lancer_la_requête_à_partir_de_Excel_Files3[[#This Row],[Régions]]+Tableau_Lancer_la_requête_à_partir_de_Excel_Files3[[#This Row],[Départements]]+Tableau_Lancer_la_requête_à_partir_de_Excel_Files3[[#This Row],[''FEDER'']]</f>
        <v>43900</v>
      </c>
      <c r="L7" s="45">
        <f>Tableau_Lancer_la_requête_à_partir_de_Excel_Files3[[#This Row],[Aide Massif Obtenu]]/Tableau_Lancer_la_requête_à_partir_de_Excel_Files3[[#This Row],[Coût total]]</f>
        <v>0.5696538762286163</v>
      </c>
      <c r="M7" s="46">
        <f>Tableau_Lancer_la_requête_à_partir_de_Excel_Files3[[#This Row],[''FNADT'']]+Tableau_Lancer_la_requête_à_partir_de_Excel_Files3[[#This Row],[''Agriculture'']]</f>
        <v>33900</v>
      </c>
      <c r="N7" s="44">
        <v>33900</v>
      </c>
      <c r="O7" s="44"/>
      <c r="P7" s="46">
        <f>Tableau_Lancer_la_requête_à_partir_de_Excel_Files3[[#This Row],[''ALPC'']]+Tableau_Lancer_la_requête_à_partir_de_Excel_Files3[[#This Row],[''AURA'']]+Tableau_Lancer_la_requête_à_partir_de_Excel_Files3[[#This Row],[''BFC'']]+Tableau_Lancer_la_requête_à_partir_de_Excel_Files3[[#This Row],[''LRMP'']]</f>
        <v>10000</v>
      </c>
      <c r="Q7" s="44">
        <v>5000</v>
      </c>
      <c r="R7" s="44"/>
      <c r="S7" s="44"/>
      <c r="T7" s="44">
        <v>5000</v>
      </c>
      <c r="U7"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7" s="44"/>
      <c r="W7" s="44"/>
      <c r="X7" s="44"/>
      <c r="Y7" s="44"/>
      <c r="Z7" s="44"/>
      <c r="AA7" s="44"/>
      <c r="AB7" s="44"/>
      <c r="AC7" s="44"/>
      <c r="AD7" s="44"/>
      <c r="AE7" s="44"/>
      <c r="AF7" s="44"/>
      <c r="AG7" s="44"/>
      <c r="AH7" s="44"/>
      <c r="AI7" s="44"/>
      <c r="AJ7" s="44"/>
      <c r="AK7" s="44"/>
      <c r="AL7" s="44"/>
      <c r="AM7" s="44"/>
      <c r="AN7" s="44"/>
      <c r="AO7" s="44"/>
      <c r="AP7" s="44"/>
      <c r="AQ7" s="44"/>
      <c r="AR7" s="44">
        <v>0</v>
      </c>
      <c r="AS7" s="44">
        <v>0</v>
      </c>
      <c r="AT7" s="47"/>
      <c r="AU7" s="34"/>
      <c r="AV7" s="51" t="s">
        <v>332</v>
      </c>
      <c r="AW7" s="37" t="s">
        <v>322</v>
      </c>
      <c r="AX7" s="37" t="s">
        <v>254</v>
      </c>
      <c r="AY7" s="46">
        <f t="shared" ref="AY7:AY23" si="0">SUM(AZ7:BA7)</f>
        <v>0</v>
      </c>
      <c r="AZ7" s="46"/>
      <c r="BA7" s="46"/>
      <c r="BB7" s="46">
        <f t="shared" ref="BB7:BB23" si="1">SUM(BC7:BF7)</f>
        <v>0</v>
      </c>
      <c r="BC7" s="46"/>
      <c r="BD7" s="46"/>
      <c r="BE7" s="46"/>
      <c r="BF7" s="46"/>
      <c r="BG7" s="46">
        <f t="shared" ref="BG7:BG23" si="2">SUM(BH7:CC7)</f>
        <v>0</v>
      </c>
      <c r="BH7" s="46"/>
      <c r="BI7" s="46"/>
      <c r="BJ7" s="46"/>
      <c r="BK7" s="46"/>
      <c r="BL7" s="46"/>
      <c r="BM7" s="46"/>
      <c r="BN7" s="46"/>
      <c r="BO7" s="46"/>
      <c r="BP7" s="46"/>
      <c r="BQ7" s="46"/>
      <c r="BR7" s="46"/>
      <c r="BS7" s="46"/>
      <c r="BT7" s="46"/>
      <c r="BU7" s="46"/>
      <c r="BV7" s="46"/>
      <c r="BW7" s="46"/>
      <c r="BX7" s="46"/>
      <c r="BY7" s="46"/>
      <c r="BZ7" s="46"/>
      <c r="CA7" s="46"/>
      <c r="CB7" s="46"/>
      <c r="CC7" s="46"/>
      <c r="CD7" s="46">
        <v>37821.57</v>
      </c>
      <c r="CE7" s="34">
        <f>VLOOKUP(Tableau3[[#This Row],[NumSym]],Tableau_Lancer_la_requête_à_partir_de_Excel_Files3[[ID_Synergie]:[Avis Prog]],44)</f>
        <v>0</v>
      </c>
      <c r="CM7" s="34"/>
      <c r="CN7" s="34"/>
      <c r="CO7" s="34"/>
      <c r="CP7" s="34"/>
      <c r="CQ7" s="34"/>
      <c r="CR7" s="34"/>
      <c r="CS7" s="34"/>
      <c r="CT7" s="34"/>
      <c r="CU7" s="34"/>
      <c r="CV7" s="34"/>
      <c r="CW7" s="34"/>
      <c r="CX7" s="34"/>
      <c r="CY7" s="34"/>
      <c r="CZ7" s="34"/>
      <c r="DA7" s="34"/>
      <c r="DB7" s="34"/>
      <c r="DC7" s="34"/>
      <c r="DD7" s="34"/>
      <c r="DE7" s="34"/>
      <c r="DF7" s="34"/>
      <c r="DG7" s="34"/>
      <c r="DH7" s="34"/>
    </row>
    <row r="8" spans="1:112" ht="30" x14ac:dyDescent="0.25">
      <c r="A8" s="40" t="s">
        <v>321</v>
      </c>
      <c r="B8" s="42" t="s">
        <v>328</v>
      </c>
      <c r="C8" s="42" t="s">
        <v>328</v>
      </c>
      <c r="D8" s="43" t="s">
        <v>329</v>
      </c>
      <c r="E8" s="43" t="s">
        <v>330</v>
      </c>
      <c r="F8" s="44">
        <v>17300.009999999998</v>
      </c>
      <c r="G8" s="44"/>
      <c r="H8" s="44">
        <f>IF(Tableau_Lancer_la_requête_à_partir_de_Excel_Files3[[#This Row],[Coût total Eligible FEDER]]="",Tableau_Lancer_la_requête_à_partir_de_Excel_Files3[[#This Row],[Coût total déposé]],Tableau_Lancer_la_requête_à_partir_de_Excel_Files3[[#This Row],[Coût total Eligible FEDER]])</f>
        <v>17300.009999999998</v>
      </c>
      <c r="I8" s="44">
        <f>Tableau_Lancer_la_requête_à_partir_de_Excel_Files3[[#This Row],[Aide Massif Obtenu]]+Tableau_Lancer_la_requête_à_partir_de_Excel_Files3[[#This Row],[''Autre Public'']]</f>
        <v>12110</v>
      </c>
      <c r="J8" s="45">
        <f>Tableau_Lancer_la_requête_à_partir_de_Excel_Files3[[#This Row],[Aide Publique Obtenue]]/Tableau_Lancer_la_requête_à_partir_de_Excel_Files3[[#This Row],[Coût total]]</f>
        <v>0.69999959537595646</v>
      </c>
      <c r="K8" s="44">
        <f>Tableau_Lancer_la_requête_à_partir_de_Excel_Files3[[#This Row],[Etat]]+Tableau_Lancer_la_requête_à_partir_de_Excel_Files3[[#This Row],[Régions]]+Tableau_Lancer_la_requête_à_partir_de_Excel_Files3[[#This Row],[Départements]]+Tableau_Lancer_la_requête_à_partir_de_Excel_Files3[[#This Row],[''FEDER'']]</f>
        <v>12110</v>
      </c>
      <c r="L8" s="45">
        <f>Tableau_Lancer_la_requête_à_partir_de_Excel_Files3[[#This Row],[Aide Massif Obtenu]]/Tableau_Lancer_la_requête_à_partir_de_Excel_Files3[[#This Row],[Coût total]]</f>
        <v>0.69999959537595646</v>
      </c>
      <c r="M8" s="46">
        <f>Tableau_Lancer_la_requête_à_partir_de_Excel_Files3[[#This Row],[''FNADT'']]+Tableau_Lancer_la_requête_à_partir_de_Excel_Files3[[#This Row],[''Agriculture'']]</f>
        <v>12110</v>
      </c>
      <c r="N8" s="44">
        <v>12110</v>
      </c>
      <c r="O8" s="44"/>
      <c r="P8" s="46">
        <f>Tableau_Lancer_la_requête_à_partir_de_Excel_Files3[[#This Row],[''ALPC'']]+Tableau_Lancer_la_requête_à_partir_de_Excel_Files3[[#This Row],[''AURA'']]+Tableau_Lancer_la_requête_à_partir_de_Excel_Files3[[#This Row],[''BFC'']]+Tableau_Lancer_la_requête_à_partir_de_Excel_Files3[[#This Row],[''LRMP'']]</f>
        <v>0</v>
      </c>
      <c r="Q8" s="44"/>
      <c r="R8" s="44"/>
      <c r="S8" s="44"/>
      <c r="T8" s="44"/>
      <c r="U8"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8" s="44"/>
      <c r="W8" s="44"/>
      <c r="X8" s="44"/>
      <c r="Y8" s="44"/>
      <c r="Z8" s="44"/>
      <c r="AA8" s="44"/>
      <c r="AB8" s="44"/>
      <c r="AC8" s="44"/>
      <c r="AD8" s="44"/>
      <c r="AE8" s="44"/>
      <c r="AF8" s="44"/>
      <c r="AG8" s="44"/>
      <c r="AH8" s="44"/>
      <c r="AI8" s="44"/>
      <c r="AJ8" s="44"/>
      <c r="AK8" s="44"/>
      <c r="AL8" s="44"/>
      <c r="AM8" s="44"/>
      <c r="AN8" s="44"/>
      <c r="AO8" s="44"/>
      <c r="AP8" s="44"/>
      <c r="AQ8" s="44"/>
      <c r="AR8" s="44">
        <v>0</v>
      </c>
      <c r="AS8" s="44">
        <v>0</v>
      </c>
      <c r="AT8" s="79"/>
      <c r="AU8" s="34"/>
      <c r="AV8" s="43" t="s">
        <v>333</v>
      </c>
      <c r="AW8" s="37" t="s">
        <v>328</v>
      </c>
      <c r="AX8" s="37" t="s">
        <v>298</v>
      </c>
      <c r="AY8" s="46">
        <f t="shared" si="0"/>
        <v>0</v>
      </c>
      <c r="AZ8" s="46"/>
      <c r="BA8" s="46"/>
      <c r="BB8" s="46">
        <f t="shared" si="1"/>
        <v>40886</v>
      </c>
      <c r="BC8" s="46"/>
      <c r="BD8" s="46"/>
      <c r="BE8" s="46"/>
      <c r="BF8" s="46">
        <v>40886</v>
      </c>
      <c r="BG8" s="46">
        <f t="shared" si="2"/>
        <v>0</v>
      </c>
      <c r="BH8" s="46"/>
      <c r="BI8" s="46"/>
      <c r="BJ8" s="46"/>
      <c r="BK8" s="46"/>
      <c r="BL8" s="46"/>
      <c r="BM8" s="46"/>
      <c r="BN8" s="46"/>
      <c r="BO8" s="46"/>
      <c r="BP8" s="46"/>
      <c r="BQ8" s="46"/>
      <c r="BR8" s="46"/>
      <c r="BS8" s="46"/>
      <c r="BT8" s="46"/>
      <c r="BU8" s="46"/>
      <c r="BV8" s="46"/>
      <c r="BW8" s="46"/>
      <c r="BX8" s="46"/>
      <c r="BY8" s="46"/>
      <c r="BZ8" s="46"/>
      <c r="CA8" s="46"/>
      <c r="CB8" s="46"/>
      <c r="CC8" s="46"/>
      <c r="CD8" s="46">
        <v>-40023.799999999996</v>
      </c>
      <c r="CE8" s="34">
        <f>VLOOKUP(Tableau3[[#This Row],[NumSym]],Tableau_Lancer_la_requête_à_partir_de_Excel_Files3[[ID_Synergie]:[Avis Prog]],44)</f>
        <v>0</v>
      </c>
      <c r="CM8" s="34"/>
      <c r="CN8" s="34"/>
      <c r="CO8" s="34"/>
      <c r="CP8" s="34"/>
      <c r="CQ8" s="34"/>
      <c r="CR8" s="34"/>
      <c r="CS8" s="34"/>
      <c r="CT8" s="34"/>
      <c r="CU8" s="34"/>
      <c r="CV8" s="34"/>
      <c r="CW8" s="34"/>
      <c r="CX8" s="34"/>
      <c r="CY8" s="34"/>
      <c r="CZ8" s="34"/>
      <c r="DA8" s="34"/>
      <c r="DB8" s="34"/>
      <c r="DC8" s="34"/>
      <c r="DD8" s="34"/>
      <c r="DE8" s="34"/>
      <c r="DF8" s="34"/>
      <c r="DG8" s="34"/>
      <c r="DH8" s="34"/>
    </row>
    <row r="9" spans="1:112" ht="30" x14ac:dyDescent="0.25">
      <c r="A9" s="40" t="s">
        <v>321</v>
      </c>
      <c r="B9" s="42" t="s">
        <v>331</v>
      </c>
      <c r="C9" s="42" t="s">
        <v>331</v>
      </c>
      <c r="D9" s="43" t="s">
        <v>9</v>
      </c>
      <c r="E9" s="43" t="s">
        <v>330</v>
      </c>
      <c r="F9" s="44">
        <v>31369.11</v>
      </c>
      <c r="G9" s="44"/>
      <c r="H9" s="44">
        <f>IF(Tableau_Lancer_la_requête_à_partir_de_Excel_Files3[[#This Row],[Coût total Eligible FEDER]]="",Tableau_Lancer_la_requête_à_partir_de_Excel_Files3[[#This Row],[Coût total déposé]],Tableau_Lancer_la_requête_à_partir_de_Excel_Files3[[#This Row],[Coût total Eligible FEDER]])</f>
        <v>31369.11</v>
      </c>
      <c r="I9" s="44">
        <f>Tableau_Lancer_la_requête_à_partir_de_Excel_Files3[[#This Row],[Aide Massif Obtenu]]+Tableau_Lancer_la_requête_à_partir_de_Excel_Files3[[#This Row],[''Autre Public'']]</f>
        <v>21958</v>
      </c>
      <c r="J9" s="45">
        <f>Tableau_Lancer_la_requête_à_partir_de_Excel_Files3[[#This Row],[Aide Publique Obtenue]]/Tableau_Lancer_la_requête_à_partir_de_Excel_Files3[[#This Row],[Coût total]]</f>
        <v>0.69998798180758071</v>
      </c>
      <c r="K9" s="44">
        <f>Tableau_Lancer_la_requête_à_partir_de_Excel_Files3[[#This Row],[Etat]]+Tableau_Lancer_la_requête_à_partir_de_Excel_Files3[[#This Row],[Régions]]+Tableau_Lancer_la_requête_à_partir_de_Excel_Files3[[#This Row],[Départements]]+Tableau_Lancer_la_requête_à_partir_de_Excel_Files3[[#This Row],[''FEDER'']]</f>
        <v>21958</v>
      </c>
      <c r="L9" s="45">
        <f>Tableau_Lancer_la_requête_à_partir_de_Excel_Files3[[#This Row],[Aide Massif Obtenu]]/Tableau_Lancer_la_requête_à_partir_de_Excel_Files3[[#This Row],[Coût total]]</f>
        <v>0.69998798180758071</v>
      </c>
      <c r="M9" s="46">
        <f>Tableau_Lancer_la_requête_à_partir_de_Excel_Files3[[#This Row],[''FNADT'']]+Tableau_Lancer_la_requête_à_partir_de_Excel_Files3[[#This Row],[''Agriculture'']]</f>
        <v>21958</v>
      </c>
      <c r="N9" s="44">
        <v>21958</v>
      </c>
      <c r="O9" s="44"/>
      <c r="P9" s="46">
        <f>Tableau_Lancer_la_requête_à_partir_de_Excel_Files3[[#This Row],[''ALPC'']]+Tableau_Lancer_la_requête_à_partir_de_Excel_Files3[[#This Row],[''AURA'']]+Tableau_Lancer_la_requête_à_partir_de_Excel_Files3[[#This Row],[''BFC'']]+Tableau_Lancer_la_requête_à_partir_de_Excel_Files3[[#This Row],[''LRMP'']]</f>
        <v>0</v>
      </c>
      <c r="Q9" s="44"/>
      <c r="R9" s="44"/>
      <c r="S9" s="44"/>
      <c r="T9" s="44"/>
      <c r="U9"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9" s="44"/>
      <c r="W9" s="44"/>
      <c r="X9" s="44"/>
      <c r="Y9" s="44"/>
      <c r="Z9" s="44"/>
      <c r="AA9" s="44"/>
      <c r="AB9" s="44"/>
      <c r="AC9" s="44"/>
      <c r="AD9" s="44"/>
      <c r="AE9" s="44"/>
      <c r="AF9" s="44"/>
      <c r="AG9" s="44"/>
      <c r="AH9" s="44"/>
      <c r="AI9" s="44"/>
      <c r="AJ9" s="44"/>
      <c r="AK9" s="44"/>
      <c r="AL9" s="44"/>
      <c r="AM9" s="44"/>
      <c r="AN9" s="44"/>
      <c r="AO9" s="44"/>
      <c r="AP9" s="44"/>
      <c r="AQ9" s="44"/>
      <c r="AR9" s="44">
        <v>0</v>
      </c>
      <c r="AS9" s="44">
        <v>0</v>
      </c>
      <c r="AT9" s="79"/>
      <c r="AU9" s="34"/>
      <c r="AV9" s="51" t="s">
        <v>334</v>
      </c>
      <c r="AW9" s="37" t="s">
        <v>331</v>
      </c>
      <c r="AX9" s="37" t="s">
        <v>322</v>
      </c>
      <c r="AY9" s="46">
        <f t="shared" si="0"/>
        <v>5000</v>
      </c>
      <c r="AZ9" s="46">
        <v>5000</v>
      </c>
      <c r="BA9" s="46"/>
      <c r="BB9" s="46">
        <f t="shared" si="1"/>
        <v>-5000</v>
      </c>
      <c r="BC9" s="46"/>
      <c r="BD9" s="46">
        <v>-5000</v>
      </c>
      <c r="BE9" s="46"/>
      <c r="BF9" s="46"/>
      <c r="BG9" s="46">
        <f t="shared" si="2"/>
        <v>0</v>
      </c>
      <c r="BH9" s="46"/>
      <c r="BI9" s="46"/>
      <c r="BJ9" s="46"/>
      <c r="BK9" s="46"/>
      <c r="BL9" s="46"/>
      <c r="BM9" s="46"/>
      <c r="BN9" s="46"/>
      <c r="BO9" s="46"/>
      <c r="BP9" s="46"/>
      <c r="BQ9" s="46"/>
      <c r="BR9" s="46"/>
      <c r="BS9" s="46"/>
      <c r="BT9" s="46"/>
      <c r="BU9" s="46"/>
      <c r="BV9" s="46"/>
      <c r="BW9" s="46"/>
      <c r="BX9" s="46"/>
      <c r="BY9" s="46"/>
      <c r="BZ9" s="46"/>
      <c r="CA9" s="46"/>
      <c r="CB9" s="46"/>
      <c r="CC9" s="46"/>
      <c r="CD9" s="46"/>
      <c r="CE9" s="34">
        <f>VLOOKUP(Tableau3[[#This Row],[NumSym]],Tableau_Lancer_la_requête_à_partir_de_Excel_Files3[[ID_Synergie]:[Avis Prog]],44)</f>
        <v>0</v>
      </c>
      <c r="CM9" s="34"/>
      <c r="CN9" s="34"/>
      <c r="CO9" s="34"/>
      <c r="CP9" s="34"/>
      <c r="CQ9" s="34"/>
      <c r="CR9" s="34"/>
      <c r="CS9" s="34"/>
      <c r="CT9" s="34"/>
      <c r="CU9" s="34"/>
      <c r="CV9" s="34"/>
      <c r="CW9" s="34"/>
      <c r="CX9" s="34"/>
      <c r="CY9" s="34"/>
      <c r="CZ9" s="34"/>
      <c r="DA9" s="34"/>
      <c r="DB9" s="34"/>
      <c r="DC9" s="34"/>
      <c r="DD9" s="34"/>
      <c r="DE9" s="34"/>
      <c r="DF9" s="34"/>
      <c r="DG9" s="34"/>
      <c r="DH9" s="34"/>
    </row>
    <row r="10" spans="1:112" ht="90" x14ac:dyDescent="0.25">
      <c r="A10" s="40" t="s">
        <v>253</v>
      </c>
      <c r="B10" s="42" t="s">
        <v>327</v>
      </c>
      <c r="C10" s="42" t="s">
        <v>325</v>
      </c>
      <c r="D10" s="43" t="s">
        <v>306</v>
      </c>
      <c r="E10" s="43" t="s">
        <v>326</v>
      </c>
      <c r="F10" s="44">
        <v>45000</v>
      </c>
      <c r="G10" s="44">
        <v>45000</v>
      </c>
      <c r="H10" s="44">
        <f>IF(Tableau_Lancer_la_requête_à_partir_de_Excel_Files3[[#This Row],[Coût total Eligible FEDER]]="",Tableau_Lancer_la_requête_à_partir_de_Excel_Files3[[#This Row],[Coût total déposé]],Tableau_Lancer_la_requête_à_partir_de_Excel_Files3[[#This Row],[Coût total Eligible FEDER]])</f>
        <v>45000</v>
      </c>
      <c r="I10" s="44">
        <f>Tableau_Lancer_la_requête_à_partir_de_Excel_Files3[[#This Row],[Aide Massif Obtenu]]+Tableau_Lancer_la_requête_à_partir_de_Excel_Files3[[#This Row],[''Autre Public'']]</f>
        <v>29835</v>
      </c>
      <c r="J10" s="45">
        <f>Tableau_Lancer_la_requête_à_partir_de_Excel_Files3[[#This Row],[Aide Publique Obtenue]]/Tableau_Lancer_la_requête_à_partir_de_Excel_Files3[[#This Row],[Coût total]]</f>
        <v>0.66300000000000003</v>
      </c>
      <c r="K10" s="44">
        <f>Tableau_Lancer_la_requête_à_partir_de_Excel_Files3[[#This Row],[Etat]]+Tableau_Lancer_la_requête_à_partir_de_Excel_Files3[[#This Row],[Régions]]+Tableau_Lancer_la_requête_à_partir_de_Excel_Files3[[#This Row],[Départements]]+Tableau_Lancer_la_requête_à_partir_de_Excel_Files3[[#This Row],[''FEDER'']]</f>
        <v>29835</v>
      </c>
      <c r="L10" s="45">
        <f>Tableau_Lancer_la_requête_à_partir_de_Excel_Files3[[#This Row],[Aide Massif Obtenu]]/Tableau_Lancer_la_requête_à_partir_de_Excel_Files3[[#This Row],[Coût total]]</f>
        <v>0.66300000000000003</v>
      </c>
      <c r="M10" s="46">
        <f>Tableau_Lancer_la_requête_à_partir_de_Excel_Files3[[#This Row],[''FNADT'']]+Tableau_Lancer_la_requête_à_partir_de_Excel_Files3[[#This Row],[''Agriculture'']]</f>
        <v>0</v>
      </c>
      <c r="N10" s="44"/>
      <c r="O10" s="44"/>
      <c r="P10" s="46">
        <f>Tableau_Lancer_la_requête_à_partir_de_Excel_Files3[[#This Row],[''ALPC'']]+Tableau_Lancer_la_requête_à_partir_de_Excel_Files3[[#This Row],[''AURA'']]+Tableau_Lancer_la_requête_à_partir_de_Excel_Files3[[#This Row],[''BFC'']]+Tableau_Lancer_la_requête_à_partir_de_Excel_Files3[[#This Row],[''LRMP'']]</f>
        <v>11835</v>
      </c>
      <c r="Q10" s="44"/>
      <c r="R10" s="44"/>
      <c r="S10" s="44"/>
      <c r="T10" s="44">
        <v>11835</v>
      </c>
      <c r="U10"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0" s="44"/>
      <c r="W10" s="44"/>
      <c r="X10" s="44"/>
      <c r="Y10" s="44"/>
      <c r="Z10" s="44"/>
      <c r="AA10" s="44"/>
      <c r="AB10" s="44"/>
      <c r="AC10" s="44"/>
      <c r="AD10" s="44"/>
      <c r="AE10" s="44"/>
      <c r="AF10" s="44"/>
      <c r="AG10" s="44"/>
      <c r="AH10" s="44"/>
      <c r="AI10" s="44"/>
      <c r="AJ10" s="44"/>
      <c r="AK10" s="44"/>
      <c r="AL10" s="44"/>
      <c r="AM10" s="44"/>
      <c r="AN10" s="44"/>
      <c r="AO10" s="44"/>
      <c r="AP10" s="44"/>
      <c r="AQ10" s="44"/>
      <c r="AR10" s="44">
        <v>18000</v>
      </c>
      <c r="AS10" s="44">
        <v>0</v>
      </c>
      <c r="AT10" s="79"/>
      <c r="AU10" s="34"/>
      <c r="AV10" s="52" t="s">
        <v>335</v>
      </c>
      <c r="AW10" s="37" t="s">
        <v>325</v>
      </c>
      <c r="AX10" s="37" t="s">
        <v>328</v>
      </c>
      <c r="AY10" s="46">
        <f t="shared" si="0"/>
        <v>6055</v>
      </c>
      <c r="AZ10" s="46">
        <v>6055</v>
      </c>
      <c r="BA10" s="46"/>
      <c r="BB10" s="46">
        <f t="shared" si="1"/>
        <v>0</v>
      </c>
      <c r="BC10" s="46"/>
      <c r="BD10" s="46"/>
      <c r="BE10" s="46"/>
      <c r="BF10" s="46"/>
      <c r="BG10" s="46">
        <f t="shared" si="2"/>
        <v>0</v>
      </c>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34">
        <f>VLOOKUP(Tableau3[[#This Row],[NumSym]],Tableau_Lancer_la_requête_à_partir_de_Excel_Files3[[ID_Synergie]:[Avis Prog]],44)</f>
        <v>0</v>
      </c>
      <c r="CM10" s="34"/>
      <c r="CN10" s="34"/>
      <c r="CO10" s="34"/>
      <c r="CP10" s="34"/>
      <c r="CQ10" s="34"/>
      <c r="CR10" s="34"/>
      <c r="CS10" s="34"/>
      <c r="CT10" s="34"/>
      <c r="CU10" s="34"/>
      <c r="CV10" s="34"/>
      <c r="CW10" s="34"/>
      <c r="CX10" s="34"/>
      <c r="CY10" s="34"/>
      <c r="CZ10" s="34"/>
      <c r="DA10" s="34"/>
      <c r="DB10" s="34"/>
      <c r="DC10" s="34"/>
      <c r="DD10" s="34"/>
      <c r="DE10" s="34"/>
      <c r="DF10" s="34"/>
      <c r="DG10" s="34"/>
      <c r="DH10" s="34"/>
    </row>
    <row r="11" spans="1:112" ht="30" x14ac:dyDescent="0.25">
      <c r="A11" s="40" t="s">
        <v>253</v>
      </c>
      <c r="B11" s="42" t="s">
        <v>289</v>
      </c>
      <c r="C11" s="42" t="s">
        <v>286</v>
      </c>
      <c r="D11" s="43" t="s">
        <v>287</v>
      </c>
      <c r="E11" s="43" t="s">
        <v>288</v>
      </c>
      <c r="F11" s="44">
        <v>230000</v>
      </c>
      <c r="G11" s="44">
        <v>230041</v>
      </c>
      <c r="H11" s="44">
        <f>IF(Tableau_Lancer_la_requête_à_partir_de_Excel_Files3[[#This Row],[Coût total Eligible FEDER]]="",Tableau_Lancer_la_requête_à_partir_de_Excel_Files3[[#This Row],[Coût total déposé]],Tableau_Lancer_la_requête_à_partir_de_Excel_Files3[[#This Row],[Coût total Eligible FEDER]])</f>
        <v>230041</v>
      </c>
      <c r="I11" s="44">
        <f>Tableau_Lancer_la_requête_à_partir_de_Excel_Files3[[#This Row],[Aide Massif Obtenu]]+Tableau_Lancer_la_requête_à_partir_de_Excel_Files3[[#This Row],[''Autre Public'']]</f>
        <v>230041</v>
      </c>
      <c r="J11" s="45">
        <f>Tableau_Lancer_la_requête_à_partir_de_Excel_Files3[[#This Row],[Aide Publique Obtenue]]/Tableau_Lancer_la_requête_à_partir_de_Excel_Files3[[#This Row],[Coût total]]</f>
        <v>1</v>
      </c>
      <c r="K11" s="44">
        <f>Tableau_Lancer_la_requête_à_partir_de_Excel_Files3[[#This Row],[Etat]]+Tableau_Lancer_la_requête_à_partir_de_Excel_Files3[[#This Row],[Régions]]+Tableau_Lancer_la_requête_à_partir_de_Excel_Files3[[#This Row],[Départements]]+Tableau_Lancer_la_requête_à_partir_de_Excel_Files3[[#This Row],[''FEDER'']]</f>
        <v>225501</v>
      </c>
      <c r="L11" s="45">
        <f>Tableau_Lancer_la_requête_à_partir_de_Excel_Files3[[#This Row],[Aide Massif Obtenu]]/Tableau_Lancer_la_requête_à_partir_de_Excel_Files3[[#This Row],[Coût total]]</f>
        <v>0.98026438765263579</v>
      </c>
      <c r="M11" s="46">
        <f>Tableau_Lancer_la_requête_à_partir_de_Excel_Files3[[#This Row],[''FNADT'']]+Tableau_Lancer_la_requête_à_partir_de_Excel_Files3[[#This Row],[''Agriculture'']]</f>
        <v>0</v>
      </c>
      <c r="N11" s="44"/>
      <c r="O11" s="44"/>
      <c r="P11" s="46">
        <f>Tableau_Lancer_la_requête_à_partir_de_Excel_Files3[[#This Row],[''ALPC'']]+Tableau_Lancer_la_requête_à_partir_de_Excel_Files3[[#This Row],[''AURA'']]+Tableau_Lancer_la_requête_à_partir_de_Excel_Files3[[#This Row],[''BFC'']]+Tableau_Lancer_la_requête_à_partir_de_Excel_Files3[[#This Row],[''LRMP'']]</f>
        <v>80000</v>
      </c>
      <c r="Q11" s="44"/>
      <c r="R11" s="44">
        <v>80000</v>
      </c>
      <c r="S11" s="44"/>
      <c r="T11" s="44"/>
      <c r="U11"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31810</v>
      </c>
      <c r="V11" s="44"/>
      <c r="W11" s="44"/>
      <c r="X11" s="44"/>
      <c r="Y11" s="44"/>
      <c r="Z11" s="44"/>
      <c r="AA11" s="44"/>
      <c r="AB11" s="44"/>
      <c r="AC11" s="44"/>
      <c r="AD11" s="44"/>
      <c r="AE11" s="44"/>
      <c r="AF11" s="44">
        <v>25000</v>
      </c>
      <c r="AG11" s="44"/>
      <c r="AH11" s="44"/>
      <c r="AI11" s="44"/>
      <c r="AJ11" s="44"/>
      <c r="AK11" s="44"/>
      <c r="AL11" s="44">
        <v>6810</v>
      </c>
      <c r="AM11" s="44"/>
      <c r="AN11" s="44"/>
      <c r="AO11" s="44"/>
      <c r="AP11" s="44"/>
      <c r="AQ11" s="44"/>
      <c r="AR11" s="44">
        <v>113691</v>
      </c>
      <c r="AS11" s="44">
        <v>4540</v>
      </c>
      <c r="AT11" s="79"/>
      <c r="AU11" s="34"/>
      <c r="AV11" s="51"/>
      <c r="AW11" s="37" t="s">
        <v>286</v>
      </c>
      <c r="AX11" s="37" t="s">
        <v>331</v>
      </c>
      <c r="AY11" s="46">
        <f t="shared" si="0"/>
        <v>10979</v>
      </c>
      <c r="AZ11" s="46">
        <v>10979</v>
      </c>
      <c r="BA11" s="46"/>
      <c r="BB11" s="46">
        <f t="shared" si="1"/>
        <v>0</v>
      </c>
      <c r="BC11" s="46"/>
      <c r="BD11" s="46"/>
      <c r="BE11" s="46"/>
      <c r="BF11" s="46"/>
      <c r="BG11" s="46">
        <f t="shared" si="2"/>
        <v>0</v>
      </c>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34">
        <f>VLOOKUP(Tableau3[[#This Row],[NumSym]],Tableau_Lancer_la_requête_à_partir_de_Excel_Files3[[ID_Synergie]:[Avis Prog]],44)</f>
        <v>0</v>
      </c>
      <c r="CM11" s="34"/>
      <c r="CN11" s="34"/>
      <c r="CO11" s="34"/>
      <c r="CP11" s="34"/>
      <c r="CQ11" s="34"/>
      <c r="CR11" s="34"/>
      <c r="CS11" s="34"/>
      <c r="CT11" s="34"/>
      <c r="CU11" s="34"/>
      <c r="CV11" s="34"/>
      <c r="CW11" s="34"/>
      <c r="CX11" s="34"/>
      <c r="CY11" s="34"/>
      <c r="CZ11" s="34"/>
      <c r="DA11" s="34"/>
      <c r="DB11" s="34"/>
      <c r="DC11" s="34"/>
      <c r="DD11" s="34"/>
      <c r="DE11" s="34"/>
      <c r="DF11" s="34"/>
      <c r="DG11" s="34"/>
      <c r="DH11" s="34"/>
    </row>
    <row r="12" spans="1:112" ht="60" x14ac:dyDescent="0.25">
      <c r="A12" s="40" t="s">
        <v>253</v>
      </c>
      <c r="B12" s="42" t="s">
        <v>257</v>
      </c>
      <c r="C12" s="42" t="s">
        <v>254</v>
      </c>
      <c r="D12" s="43" t="s">
        <v>255</v>
      </c>
      <c r="E12" s="43" t="s">
        <v>256</v>
      </c>
      <c r="F12" s="44">
        <v>453529.2</v>
      </c>
      <c r="G12" s="44">
        <v>408339.20000000001</v>
      </c>
      <c r="H12" s="44">
        <f>IF(Tableau_Lancer_la_requête_à_partir_de_Excel_Files3[[#This Row],[Coût total Eligible FEDER]]="",Tableau_Lancer_la_requête_à_partir_de_Excel_Files3[[#This Row],[Coût total déposé]],Tableau_Lancer_la_requête_à_partir_de_Excel_Files3[[#This Row],[Coût total Eligible FEDER]])</f>
        <v>408339.20000000001</v>
      </c>
      <c r="I12" s="44">
        <f>Tableau_Lancer_la_requête_à_partir_de_Excel_Files3[[#This Row],[Aide Massif Obtenu]]+Tableau_Lancer_la_requête_à_partir_de_Excel_Files3[[#This Row],[''Autre Public'']]</f>
        <v>260582.68</v>
      </c>
      <c r="J12" s="45">
        <f>Tableau_Lancer_la_requête_à_partir_de_Excel_Files3[[#This Row],[Aide Publique Obtenue]]/Tableau_Lancer_la_requête_à_partir_de_Excel_Files3[[#This Row],[Coût total]]</f>
        <v>0.63815249674780183</v>
      </c>
      <c r="K12" s="44">
        <f>Tableau_Lancer_la_requête_à_partir_de_Excel_Files3[[#This Row],[Etat]]+Tableau_Lancer_la_requête_à_partir_de_Excel_Files3[[#This Row],[Régions]]+Tableau_Lancer_la_requête_à_partir_de_Excel_Files3[[#This Row],[Départements]]+Tableau_Lancer_la_requête_à_partir_de_Excel_Files3[[#This Row],[''FEDER'']]</f>
        <v>260582.68</v>
      </c>
      <c r="L12" s="45">
        <f>Tableau_Lancer_la_requête_à_partir_de_Excel_Files3[[#This Row],[Aide Massif Obtenu]]/Tableau_Lancer_la_requête_à_partir_de_Excel_Files3[[#This Row],[Coût total]]</f>
        <v>0.63815249674780183</v>
      </c>
      <c r="M12" s="46">
        <f>Tableau_Lancer_la_requête_à_partir_de_Excel_Files3[[#This Row],[''FNADT'']]+Tableau_Lancer_la_requête_à_partir_de_Excel_Files3[[#This Row],[''Agriculture'']]</f>
        <v>22235</v>
      </c>
      <c r="N12" s="44">
        <v>22235</v>
      </c>
      <c r="O12" s="44"/>
      <c r="P12" s="46">
        <f>Tableau_Lancer_la_requête_à_partir_de_Excel_Files3[[#This Row],[''ALPC'']]+Tableau_Lancer_la_requête_à_partir_de_Excel_Files3[[#This Row],[''AURA'']]+Tableau_Lancer_la_requête_à_partir_de_Excel_Files3[[#This Row],[''BFC'']]+Tableau_Lancer_la_requête_à_partir_de_Excel_Files3[[#This Row],[''LRMP'']]</f>
        <v>62512</v>
      </c>
      <c r="Q12" s="44"/>
      <c r="R12" s="44">
        <v>62512</v>
      </c>
      <c r="S12" s="44"/>
      <c r="T12" s="44"/>
      <c r="U12"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12500</v>
      </c>
      <c r="V12" s="44"/>
      <c r="W12" s="44"/>
      <c r="X12" s="44"/>
      <c r="Y12" s="44"/>
      <c r="Z12" s="44"/>
      <c r="AA12" s="44"/>
      <c r="AB12" s="44"/>
      <c r="AC12" s="44"/>
      <c r="AD12" s="44"/>
      <c r="AE12" s="44"/>
      <c r="AF12" s="44"/>
      <c r="AG12" s="44"/>
      <c r="AH12" s="44"/>
      <c r="AI12" s="44"/>
      <c r="AJ12" s="44"/>
      <c r="AK12" s="44">
        <v>12500</v>
      </c>
      <c r="AL12" s="44"/>
      <c r="AM12" s="44"/>
      <c r="AN12" s="44"/>
      <c r="AO12" s="44"/>
      <c r="AP12" s="44"/>
      <c r="AQ12" s="44"/>
      <c r="AR12" s="44">
        <v>163335.67999999999</v>
      </c>
      <c r="AS12" s="44">
        <v>0</v>
      </c>
      <c r="AT12" s="82"/>
      <c r="AU12" s="34"/>
      <c r="AV12" s="52" t="s">
        <v>258</v>
      </c>
      <c r="AW12" s="37" t="s">
        <v>254</v>
      </c>
      <c r="AX12" s="37" t="s">
        <v>302</v>
      </c>
      <c r="AY12" s="46">
        <f t="shared" si="0"/>
        <v>0</v>
      </c>
      <c r="AZ12" s="46"/>
      <c r="BA12" s="46"/>
      <c r="BB12" s="46">
        <f t="shared" si="1"/>
        <v>0</v>
      </c>
      <c r="BC12" s="46"/>
      <c r="BD12" s="46"/>
      <c r="BE12" s="46"/>
      <c r="BF12" s="46"/>
      <c r="BG12" s="46">
        <f t="shared" si="2"/>
        <v>1368.63</v>
      </c>
      <c r="BH12" s="46"/>
      <c r="BI12" s="46"/>
      <c r="BJ12" s="46"/>
      <c r="BK12" s="46"/>
      <c r="BL12" s="46"/>
      <c r="BM12" s="46"/>
      <c r="BN12" s="46"/>
      <c r="BO12" s="46"/>
      <c r="BP12" s="46"/>
      <c r="BQ12" s="46"/>
      <c r="BR12" s="46"/>
      <c r="BS12" s="46"/>
      <c r="BT12" s="46"/>
      <c r="BU12" s="46"/>
      <c r="BV12" s="46"/>
      <c r="BW12" s="46">
        <v>1368.63</v>
      </c>
      <c r="BX12" s="46"/>
      <c r="BY12" s="46"/>
      <c r="BZ12" s="46"/>
      <c r="CA12" s="46"/>
      <c r="CB12" s="46"/>
      <c r="CC12" s="46"/>
      <c r="CD12" s="46">
        <v>2187.25</v>
      </c>
      <c r="CE12" s="34">
        <f>VLOOKUP(Tableau3[[#This Row],[NumSym]],Tableau_Lancer_la_requête_à_partir_de_Excel_Files3[[ID_Synergie]:[Avis Prog]],44)</f>
        <v>0</v>
      </c>
      <c r="CM12" s="34"/>
      <c r="CN12" s="34"/>
      <c r="CO12" s="34"/>
      <c r="CP12" s="34"/>
      <c r="CQ12" s="34"/>
      <c r="CR12" s="34"/>
      <c r="CS12" s="34"/>
      <c r="CT12" s="34"/>
      <c r="CU12" s="34"/>
      <c r="CV12" s="34"/>
      <c r="CW12" s="34"/>
      <c r="CX12" s="34"/>
      <c r="CY12" s="34"/>
      <c r="CZ12" s="34"/>
      <c r="DA12" s="34"/>
      <c r="DB12" s="34"/>
      <c r="DC12" s="34"/>
      <c r="DD12" s="34"/>
      <c r="DE12" s="34"/>
      <c r="DF12" s="34"/>
      <c r="DG12" s="34"/>
      <c r="DH12" s="34"/>
    </row>
    <row r="13" spans="1:112" ht="30" x14ac:dyDescent="0.25">
      <c r="A13" s="40" t="s">
        <v>253</v>
      </c>
      <c r="B13" s="42" t="s">
        <v>297</v>
      </c>
      <c r="C13" s="42" t="s">
        <v>295</v>
      </c>
      <c r="D13" s="43" t="s">
        <v>88</v>
      </c>
      <c r="E13" s="43" t="s">
        <v>296</v>
      </c>
      <c r="F13" s="44">
        <v>113184.20000000001</v>
      </c>
      <c r="G13" s="44">
        <v>113303.72</v>
      </c>
      <c r="H13" s="44">
        <f>IF(Tableau_Lancer_la_requête_à_partir_de_Excel_Files3[[#This Row],[Coût total Eligible FEDER]]="",Tableau_Lancer_la_requête_à_partir_de_Excel_Files3[[#This Row],[Coût total déposé]],Tableau_Lancer_la_requête_à_partir_de_Excel_Files3[[#This Row],[Coût total Eligible FEDER]])</f>
        <v>113303.72</v>
      </c>
      <c r="I13" s="44">
        <f>Tableau_Lancer_la_requête_à_partir_de_Excel_Files3[[#This Row],[Aide Massif Obtenu]]+Tableau_Lancer_la_requête_à_partir_de_Excel_Files3[[#This Row],[''Autre Public'']]</f>
        <v>104837.03</v>
      </c>
      <c r="J13" s="45">
        <f>Tableau_Lancer_la_requête_à_partir_de_Excel_Files3[[#This Row],[Aide Publique Obtenue]]/Tableau_Lancer_la_requête_à_partir_de_Excel_Files3[[#This Row],[Coût total]]</f>
        <v>0.925274386401435</v>
      </c>
      <c r="K13" s="44">
        <f>Tableau_Lancer_la_requête_à_partir_de_Excel_Files3[[#This Row],[Etat]]+Tableau_Lancer_la_requête_à_partir_de_Excel_Files3[[#This Row],[Régions]]+Tableau_Lancer_la_requête_à_partir_de_Excel_Files3[[#This Row],[Départements]]+Tableau_Lancer_la_requête_à_partir_de_Excel_Files3[[#This Row],[''FEDER'']]</f>
        <v>104837.03</v>
      </c>
      <c r="L13" s="45">
        <f>Tableau_Lancer_la_requête_à_partir_de_Excel_Files3[[#This Row],[Aide Massif Obtenu]]/Tableau_Lancer_la_requête_à_partir_de_Excel_Files3[[#This Row],[Coût total]]</f>
        <v>0.925274386401435</v>
      </c>
      <c r="M13" s="46">
        <f>Tableau_Lancer_la_requête_à_partir_de_Excel_Files3[[#This Row],[''FNADT'']]+Tableau_Lancer_la_requête_à_partir_de_Excel_Files3[[#This Row],[''Agriculture'']]</f>
        <v>28836</v>
      </c>
      <c r="N13" s="44">
        <v>28836</v>
      </c>
      <c r="O13" s="44"/>
      <c r="P13" s="46">
        <f>Tableau_Lancer_la_requête_à_partir_de_Excel_Files3[[#This Row],[''ALPC'']]+Tableau_Lancer_la_requête_à_partir_de_Excel_Files3[[#This Row],[''AURA'']]+Tableau_Lancer_la_requête_à_partir_de_Excel_Files3[[#This Row],[''BFC'']]+Tableau_Lancer_la_requête_à_partir_de_Excel_Files3[[#This Row],[''LRMP'']]</f>
        <v>14469.17</v>
      </c>
      <c r="Q13" s="44"/>
      <c r="R13" s="44">
        <v>14469.17</v>
      </c>
      <c r="S13" s="44"/>
      <c r="T13" s="44"/>
      <c r="U13"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4880</v>
      </c>
      <c r="V13" s="44">
        <v>4880</v>
      </c>
      <c r="W13" s="44"/>
      <c r="X13" s="44"/>
      <c r="Y13" s="44"/>
      <c r="Z13" s="44"/>
      <c r="AA13" s="44"/>
      <c r="AB13" s="44"/>
      <c r="AC13" s="44"/>
      <c r="AD13" s="44"/>
      <c r="AE13" s="44"/>
      <c r="AF13" s="44"/>
      <c r="AG13" s="44"/>
      <c r="AH13" s="44"/>
      <c r="AI13" s="44"/>
      <c r="AJ13" s="44"/>
      <c r="AK13" s="44"/>
      <c r="AL13" s="44"/>
      <c r="AM13" s="44"/>
      <c r="AN13" s="44"/>
      <c r="AO13" s="44"/>
      <c r="AP13" s="44"/>
      <c r="AQ13" s="44"/>
      <c r="AR13" s="44">
        <v>56651.86</v>
      </c>
      <c r="AS13" s="44">
        <v>0</v>
      </c>
      <c r="AT13" s="82"/>
      <c r="AU13" s="34"/>
      <c r="AV13" s="51"/>
      <c r="AW13" s="37" t="s">
        <v>295</v>
      </c>
      <c r="AX13" s="37" t="s">
        <v>309</v>
      </c>
      <c r="AY13" s="46">
        <f t="shared" si="0"/>
        <v>0</v>
      </c>
      <c r="AZ13" s="46"/>
      <c r="BA13" s="46"/>
      <c r="BB13" s="46">
        <f t="shared" si="1"/>
        <v>0</v>
      </c>
      <c r="BC13" s="46"/>
      <c r="BD13" s="46"/>
      <c r="BE13" s="46"/>
      <c r="BF13" s="46"/>
      <c r="BG13" s="46">
        <f t="shared" si="2"/>
        <v>0</v>
      </c>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34">
        <f>VLOOKUP(Tableau3[[#This Row],[NumSym]],Tableau_Lancer_la_requête_à_partir_de_Excel_Files3[[ID_Synergie]:[Avis Prog]],44)</f>
        <v>0</v>
      </c>
      <c r="CM13" s="34"/>
      <c r="CN13" s="34"/>
      <c r="CO13" s="34"/>
      <c r="CP13" s="34"/>
      <c r="CQ13" s="34"/>
      <c r="CR13" s="34"/>
      <c r="CS13" s="34"/>
      <c r="CT13" s="34"/>
      <c r="CU13" s="34"/>
      <c r="CV13" s="34"/>
      <c r="CW13" s="34"/>
      <c r="CX13" s="34"/>
      <c r="CY13" s="34"/>
      <c r="CZ13" s="34"/>
      <c r="DA13" s="34"/>
      <c r="DB13" s="34"/>
      <c r="DC13" s="34"/>
      <c r="DD13" s="34"/>
      <c r="DE13" s="34"/>
      <c r="DF13" s="34"/>
      <c r="DG13" s="34"/>
      <c r="DH13" s="34"/>
    </row>
    <row r="14" spans="1:112" ht="45" x14ac:dyDescent="0.25">
      <c r="A14" s="40" t="s">
        <v>253</v>
      </c>
      <c r="B14" s="42" t="s">
        <v>316</v>
      </c>
      <c r="C14" s="42" t="s">
        <v>313</v>
      </c>
      <c r="D14" s="43" t="s">
        <v>314</v>
      </c>
      <c r="E14" s="43" t="s">
        <v>315</v>
      </c>
      <c r="F14" s="44">
        <v>150000</v>
      </c>
      <c r="G14" s="44">
        <v>125000</v>
      </c>
      <c r="H14" s="44">
        <f>IF(Tableau_Lancer_la_requête_à_partir_de_Excel_Files3[[#This Row],[Coût total Eligible FEDER]]="",Tableau_Lancer_la_requête_à_partir_de_Excel_Files3[[#This Row],[Coût total déposé]],Tableau_Lancer_la_requête_à_partir_de_Excel_Files3[[#This Row],[Coût total Eligible FEDER]])</f>
        <v>125000</v>
      </c>
      <c r="I14" s="44">
        <f>Tableau_Lancer_la_requête_à_partir_de_Excel_Files3[[#This Row],[Aide Massif Obtenu]]+Tableau_Lancer_la_requête_à_partir_de_Excel_Files3[[#This Row],[''Autre Public'']]</f>
        <v>80000</v>
      </c>
      <c r="J14" s="45">
        <f>Tableau_Lancer_la_requête_à_partir_de_Excel_Files3[[#This Row],[Aide Publique Obtenue]]/Tableau_Lancer_la_requête_à_partir_de_Excel_Files3[[#This Row],[Coût total]]</f>
        <v>0.64</v>
      </c>
      <c r="K14" s="44">
        <f>Tableau_Lancer_la_requête_à_partir_de_Excel_Files3[[#This Row],[Etat]]+Tableau_Lancer_la_requête_à_partir_de_Excel_Files3[[#This Row],[Régions]]+Tableau_Lancer_la_requête_à_partir_de_Excel_Files3[[#This Row],[Départements]]+Tableau_Lancer_la_requête_à_partir_de_Excel_Files3[[#This Row],[''FEDER'']]</f>
        <v>80000</v>
      </c>
      <c r="L14" s="45">
        <f>Tableau_Lancer_la_requête_à_partir_de_Excel_Files3[[#This Row],[Aide Massif Obtenu]]/Tableau_Lancer_la_requête_à_partir_de_Excel_Files3[[#This Row],[Coût total]]</f>
        <v>0.64</v>
      </c>
      <c r="M14" s="46">
        <f>Tableau_Lancer_la_requête_à_partir_de_Excel_Files3[[#This Row],[''FNADT'']]+Tableau_Lancer_la_requête_à_partir_de_Excel_Files3[[#This Row],[''Agriculture'']]</f>
        <v>25000</v>
      </c>
      <c r="N14" s="44">
        <v>25000</v>
      </c>
      <c r="O14" s="44"/>
      <c r="P14" s="46">
        <f>Tableau_Lancer_la_requête_à_partir_de_Excel_Files3[[#This Row],[''ALPC'']]+Tableau_Lancer_la_requête_à_partir_de_Excel_Files3[[#This Row],[''AURA'']]+Tableau_Lancer_la_requête_à_partir_de_Excel_Files3[[#This Row],[''BFC'']]+Tableau_Lancer_la_requête_à_partir_de_Excel_Files3[[#This Row],[''LRMP'']]</f>
        <v>0</v>
      </c>
      <c r="Q14" s="44"/>
      <c r="R14" s="44"/>
      <c r="S14" s="44"/>
      <c r="T14" s="44"/>
      <c r="U14"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4" s="44"/>
      <c r="W14" s="44"/>
      <c r="X14" s="44"/>
      <c r="Y14" s="44"/>
      <c r="Z14" s="44"/>
      <c r="AA14" s="44"/>
      <c r="AB14" s="44"/>
      <c r="AC14" s="44"/>
      <c r="AD14" s="44"/>
      <c r="AE14" s="44"/>
      <c r="AF14" s="44"/>
      <c r="AG14" s="44"/>
      <c r="AH14" s="44"/>
      <c r="AI14" s="44"/>
      <c r="AJ14" s="44"/>
      <c r="AK14" s="44"/>
      <c r="AL14" s="44"/>
      <c r="AM14" s="44"/>
      <c r="AN14" s="44"/>
      <c r="AO14" s="44"/>
      <c r="AP14" s="44"/>
      <c r="AQ14" s="44"/>
      <c r="AR14" s="44">
        <v>55000</v>
      </c>
      <c r="AS14" s="44">
        <v>0</v>
      </c>
      <c r="AT14" s="82"/>
      <c r="AU14" s="34"/>
      <c r="AV14" s="50" t="s">
        <v>336</v>
      </c>
      <c r="AW14" s="37" t="s">
        <v>313</v>
      </c>
      <c r="AX14" s="37"/>
      <c r="AY14" s="46">
        <f t="shared" si="0"/>
        <v>0</v>
      </c>
      <c r="AZ14" s="44"/>
      <c r="BA14" s="44"/>
      <c r="BB14" s="46">
        <f t="shared" si="1"/>
        <v>0</v>
      </c>
      <c r="BC14" s="44"/>
      <c r="BD14" s="44"/>
      <c r="BE14" s="44"/>
      <c r="BF14" s="44"/>
      <c r="BG14" s="46">
        <f t="shared" si="2"/>
        <v>0</v>
      </c>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34" t="e">
        <f>VLOOKUP(Tableau3[[#This Row],[NumSym]],Tableau_Lancer_la_requête_à_partir_de_Excel_Files3[[ID_Synergie]:[Avis Prog]],44)</f>
        <v>#N/A</v>
      </c>
      <c r="CM14" s="34"/>
      <c r="CN14" s="34"/>
      <c r="CO14" s="34"/>
      <c r="CP14" s="34"/>
      <c r="CQ14" s="34"/>
      <c r="CR14" s="34"/>
      <c r="CS14" s="34"/>
      <c r="CT14" s="34"/>
      <c r="CU14" s="34"/>
      <c r="CV14" s="34"/>
      <c r="CW14" s="34"/>
      <c r="CX14" s="34"/>
      <c r="CY14" s="34"/>
      <c r="CZ14" s="34"/>
      <c r="DA14" s="34"/>
      <c r="DB14" s="34"/>
      <c r="DC14" s="34"/>
      <c r="DD14" s="34"/>
      <c r="DE14" s="34"/>
      <c r="DF14" s="34"/>
      <c r="DG14" s="34"/>
      <c r="DH14" s="34"/>
    </row>
    <row r="15" spans="1:112" ht="45" x14ac:dyDescent="0.25">
      <c r="A15" s="40" t="s">
        <v>253</v>
      </c>
      <c r="B15" s="42" t="s">
        <v>318</v>
      </c>
      <c r="C15" s="42" t="s">
        <v>313</v>
      </c>
      <c r="D15" s="43" t="s">
        <v>317</v>
      </c>
      <c r="E15" s="43" t="s">
        <v>315</v>
      </c>
      <c r="F15" s="44">
        <v>5540.6</v>
      </c>
      <c r="G15" s="44">
        <v>5500</v>
      </c>
      <c r="H15" s="44">
        <f>IF(Tableau_Lancer_la_requête_à_partir_de_Excel_Files3[[#This Row],[Coût total Eligible FEDER]]="",Tableau_Lancer_la_requête_à_partir_de_Excel_Files3[[#This Row],[Coût total déposé]],Tableau_Lancer_la_requête_à_partir_de_Excel_Files3[[#This Row],[Coût total Eligible FEDER]])</f>
        <v>5500</v>
      </c>
      <c r="I15" s="44">
        <f>Tableau_Lancer_la_requête_à_partir_de_Excel_Files3[[#This Row],[Aide Massif Obtenu]]+Tableau_Lancer_la_requête_à_partir_de_Excel_Files3[[#This Row],[''Autre Public'']]</f>
        <v>4400</v>
      </c>
      <c r="J15" s="45">
        <f>Tableau_Lancer_la_requête_à_partir_de_Excel_Files3[[#This Row],[Aide Publique Obtenue]]/Tableau_Lancer_la_requête_à_partir_de_Excel_Files3[[#This Row],[Coût total]]</f>
        <v>0.8</v>
      </c>
      <c r="K15" s="44">
        <f>Tableau_Lancer_la_requête_à_partir_de_Excel_Files3[[#This Row],[Etat]]+Tableau_Lancer_la_requête_à_partir_de_Excel_Files3[[#This Row],[Régions]]+Tableau_Lancer_la_requête_à_partir_de_Excel_Files3[[#This Row],[Départements]]+Tableau_Lancer_la_requête_à_partir_de_Excel_Files3[[#This Row],[''FEDER'']]</f>
        <v>4400</v>
      </c>
      <c r="L15" s="45">
        <f>Tableau_Lancer_la_requête_à_partir_de_Excel_Files3[[#This Row],[Aide Massif Obtenu]]/Tableau_Lancer_la_requête_à_partir_de_Excel_Files3[[#This Row],[Coût total]]</f>
        <v>0.8</v>
      </c>
      <c r="M15" s="46">
        <f>Tableau_Lancer_la_requête_à_partir_de_Excel_Files3[[#This Row],[''FNADT'']]+Tableau_Lancer_la_requête_à_partir_de_Excel_Files3[[#This Row],[''Agriculture'']]</f>
        <v>0</v>
      </c>
      <c r="N15" s="44"/>
      <c r="O15" s="44"/>
      <c r="P15" s="46">
        <f>Tableau_Lancer_la_requête_à_partir_de_Excel_Files3[[#This Row],[''ALPC'']]+Tableau_Lancer_la_requête_à_partir_de_Excel_Files3[[#This Row],[''AURA'']]+Tableau_Lancer_la_requête_à_partir_de_Excel_Files3[[#This Row],[''BFC'']]+Tableau_Lancer_la_requête_à_partir_de_Excel_Files3[[#This Row],[''LRMP'']]</f>
        <v>0</v>
      </c>
      <c r="Q15" s="44"/>
      <c r="R15" s="44"/>
      <c r="S15" s="44"/>
      <c r="T15" s="44"/>
      <c r="U15"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5" s="44"/>
      <c r="W15" s="44"/>
      <c r="X15" s="44"/>
      <c r="Y15" s="44"/>
      <c r="Z15" s="44"/>
      <c r="AA15" s="44"/>
      <c r="AB15" s="44"/>
      <c r="AC15" s="44"/>
      <c r="AD15" s="44"/>
      <c r="AE15" s="44"/>
      <c r="AF15" s="44"/>
      <c r="AG15" s="44"/>
      <c r="AH15" s="44"/>
      <c r="AI15" s="44"/>
      <c r="AJ15" s="44"/>
      <c r="AK15" s="44"/>
      <c r="AL15" s="44"/>
      <c r="AM15" s="44"/>
      <c r="AN15" s="44"/>
      <c r="AO15" s="44"/>
      <c r="AP15" s="44"/>
      <c r="AQ15" s="44"/>
      <c r="AR15" s="44">
        <v>4400</v>
      </c>
      <c r="AS15" s="44">
        <v>0</v>
      </c>
      <c r="AT15" s="82"/>
      <c r="AV15" s="50" t="s">
        <v>336</v>
      </c>
      <c r="AW15" s="37" t="s">
        <v>313</v>
      </c>
      <c r="AX15" s="46"/>
      <c r="AY15" s="46">
        <f t="shared" si="0"/>
        <v>0</v>
      </c>
      <c r="BA15" s="46"/>
      <c r="BB15" s="46">
        <f t="shared" si="1"/>
        <v>0</v>
      </c>
      <c r="BF15" s="46"/>
      <c r="BG15" s="46">
        <f t="shared" si="2"/>
        <v>0</v>
      </c>
      <c r="CE15" s="34" t="e">
        <f>VLOOKUP(Tableau3[[#This Row],[NumSym]],Tableau_Lancer_la_requête_à_partir_de_Excel_Files3[[ID_Synergie]:[Avis Prog]],44)</f>
        <v>#N/A</v>
      </c>
      <c r="CM15" s="34"/>
      <c r="CN15" s="34"/>
      <c r="CO15" s="34"/>
      <c r="CP15" s="34"/>
      <c r="CQ15" s="34"/>
      <c r="CR15" s="34"/>
      <c r="CS15" s="34"/>
      <c r="CT15" s="34"/>
      <c r="CU15" s="34"/>
      <c r="CV15" s="34"/>
      <c r="CW15" s="34"/>
      <c r="CX15" s="34"/>
      <c r="CY15" s="34"/>
      <c r="CZ15" s="34"/>
      <c r="DA15" s="34"/>
      <c r="DB15" s="34"/>
      <c r="DC15" s="34"/>
      <c r="DD15" s="34"/>
      <c r="DE15" s="34"/>
      <c r="DF15" s="34"/>
      <c r="DG15" s="34"/>
      <c r="DH15" s="34"/>
    </row>
    <row r="16" spans="1:112" ht="45" x14ac:dyDescent="0.25">
      <c r="A16" s="40" t="s">
        <v>253</v>
      </c>
      <c r="B16" s="42" t="s">
        <v>320</v>
      </c>
      <c r="C16" s="42" t="s">
        <v>313</v>
      </c>
      <c r="D16" s="43" t="s">
        <v>319</v>
      </c>
      <c r="E16" s="43" t="s">
        <v>315</v>
      </c>
      <c r="F16" s="44">
        <v>19500</v>
      </c>
      <c r="G16" s="44">
        <v>19500</v>
      </c>
      <c r="H16" s="44">
        <f>IF(Tableau_Lancer_la_requête_à_partir_de_Excel_Files3[[#This Row],[Coût total Eligible FEDER]]="",Tableau_Lancer_la_requête_à_partir_de_Excel_Files3[[#This Row],[Coût total déposé]],Tableau_Lancer_la_requête_à_partir_de_Excel_Files3[[#This Row],[Coût total Eligible FEDER]])</f>
        <v>19500</v>
      </c>
      <c r="I16" s="44">
        <f>Tableau_Lancer_la_requête_à_partir_de_Excel_Files3[[#This Row],[Aide Massif Obtenu]]+Tableau_Lancer_la_requête_à_partir_de_Excel_Files3[[#This Row],[''Autre Public'']]</f>
        <v>15600</v>
      </c>
      <c r="J16" s="45">
        <f>Tableau_Lancer_la_requête_à_partir_de_Excel_Files3[[#This Row],[Aide Publique Obtenue]]/Tableau_Lancer_la_requête_à_partir_de_Excel_Files3[[#This Row],[Coût total]]</f>
        <v>0.8</v>
      </c>
      <c r="K16" s="44">
        <f>Tableau_Lancer_la_requête_à_partir_de_Excel_Files3[[#This Row],[Etat]]+Tableau_Lancer_la_requête_à_partir_de_Excel_Files3[[#This Row],[Régions]]+Tableau_Lancer_la_requête_à_partir_de_Excel_Files3[[#This Row],[Départements]]+Tableau_Lancer_la_requête_à_partir_de_Excel_Files3[[#This Row],[''FEDER'']]</f>
        <v>15600</v>
      </c>
      <c r="L16" s="45">
        <f>Tableau_Lancer_la_requête_à_partir_de_Excel_Files3[[#This Row],[Aide Massif Obtenu]]/Tableau_Lancer_la_requête_à_partir_de_Excel_Files3[[#This Row],[Coût total]]</f>
        <v>0.8</v>
      </c>
      <c r="M16" s="46">
        <f>Tableau_Lancer_la_requête_à_partir_de_Excel_Files3[[#This Row],[''FNADT'']]+Tableau_Lancer_la_requête_à_partir_de_Excel_Files3[[#This Row],[''Agriculture'']]</f>
        <v>0</v>
      </c>
      <c r="N16" s="44"/>
      <c r="O16" s="44"/>
      <c r="P16" s="46">
        <f>Tableau_Lancer_la_requête_à_partir_de_Excel_Files3[[#This Row],[''ALPC'']]+Tableau_Lancer_la_requête_à_partir_de_Excel_Files3[[#This Row],[''AURA'']]+Tableau_Lancer_la_requête_à_partir_de_Excel_Files3[[#This Row],[''BFC'']]+Tableau_Lancer_la_requête_à_partir_de_Excel_Files3[[#This Row],[''LRMP'']]</f>
        <v>0</v>
      </c>
      <c r="Q16" s="44"/>
      <c r="R16" s="44"/>
      <c r="S16" s="44"/>
      <c r="T16" s="44"/>
      <c r="U16"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6" s="44"/>
      <c r="W16" s="44"/>
      <c r="X16" s="44"/>
      <c r="Y16" s="44"/>
      <c r="Z16" s="44"/>
      <c r="AA16" s="44"/>
      <c r="AB16" s="44"/>
      <c r="AC16" s="44"/>
      <c r="AD16" s="44"/>
      <c r="AE16" s="44"/>
      <c r="AF16" s="44"/>
      <c r="AG16" s="44"/>
      <c r="AH16" s="44"/>
      <c r="AI16" s="44"/>
      <c r="AJ16" s="44"/>
      <c r="AK16" s="44"/>
      <c r="AL16" s="44"/>
      <c r="AM16" s="44"/>
      <c r="AN16" s="44"/>
      <c r="AO16" s="44"/>
      <c r="AP16" s="44"/>
      <c r="AQ16" s="44"/>
      <c r="AR16" s="44">
        <v>15600</v>
      </c>
      <c r="AS16" s="44">
        <v>0</v>
      </c>
      <c r="AT16" s="82"/>
      <c r="AV16" s="50" t="s">
        <v>336</v>
      </c>
      <c r="AW16" s="37" t="s">
        <v>313</v>
      </c>
      <c r="AX16" s="46"/>
      <c r="AY16" s="46">
        <f t="shared" si="0"/>
        <v>0</v>
      </c>
      <c r="BA16" s="46"/>
      <c r="BB16" s="46">
        <f t="shared" si="1"/>
        <v>0</v>
      </c>
      <c r="BF16" s="46"/>
      <c r="BG16" s="46">
        <f t="shared" si="2"/>
        <v>0</v>
      </c>
      <c r="CE16" s="34" t="e">
        <f>VLOOKUP(Tableau3[[#This Row],[NumSym]],Tableau_Lancer_la_requête_à_partir_de_Excel_Files3[[ID_Synergie]:[Avis Prog]],44)</f>
        <v>#N/A</v>
      </c>
      <c r="CM16" s="34"/>
      <c r="CN16" s="34"/>
      <c r="CO16" s="34"/>
      <c r="CP16" s="34"/>
      <c r="CQ16" s="34"/>
      <c r="CR16" s="34"/>
      <c r="CS16" s="34"/>
      <c r="CT16" s="34"/>
      <c r="CU16" s="34"/>
      <c r="CV16" s="34"/>
      <c r="CW16" s="34"/>
      <c r="CX16" s="34"/>
      <c r="CY16" s="34"/>
      <c r="CZ16" s="34"/>
      <c r="DA16" s="34"/>
      <c r="DB16" s="34"/>
      <c r="DC16" s="34"/>
      <c r="DD16" s="34"/>
      <c r="DE16" s="34"/>
      <c r="DF16" s="34"/>
      <c r="DG16" s="34"/>
      <c r="DH16" s="34"/>
    </row>
    <row r="17" spans="1:112" ht="30" x14ac:dyDescent="0.25">
      <c r="A17" s="40" t="s">
        <v>253</v>
      </c>
      <c r="B17" s="42" t="s">
        <v>293</v>
      </c>
      <c r="C17" s="42" t="s">
        <v>290</v>
      </c>
      <c r="D17" s="43" t="s">
        <v>291</v>
      </c>
      <c r="E17" s="43" t="s">
        <v>292</v>
      </c>
      <c r="F17" s="44">
        <v>106345</v>
      </c>
      <c r="G17" s="44">
        <v>84569.62</v>
      </c>
      <c r="H17" s="44">
        <f>IF(Tableau_Lancer_la_requête_à_partir_de_Excel_Files3[[#This Row],[Coût total Eligible FEDER]]="",Tableau_Lancer_la_requête_à_partir_de_Excel_Files3[[#This Row],[Coût total déposé]],Tableau_Lancer_la_requête_à_partir_de_Excel_Files3[[#This Row],[Coût total Eligible FEDER]])</f>
        <v>84569.62</v>
      </c>
      <c r="I17" s="44">
        <f>Tableau_Lancer_la_requête_à_partir_de_Excel_Files3[[#This Row],[Aide Massif Obtenu]]+Tableau_Lancer_la_requête_à_partir_de_Excel_Files3[[#This Row],[''Autre Public'']]</f>
        <v>90037.08</v>
      </c>
      <c r="J17" s="45">
        <f>Tableau_Lancer_la_requête_à_partir_de_Excel_Files3[[#This Row],[Aide Publique Obtenue]]/Tableau_Lancer_la_requête_à_partir_de_Excel_Files3[[#This Row],[Coût total]]</f>
        <v>1.0646504028278714</v>
      </c>
      <c r="K17" s="44">
        <f>Tableau_Lancer_la_requête_à_partir_de_Excel_Files3[[#This Row],[Etat]]+Tableau_Lancer_la_requête_à_partir_de_Excel_Files3[[#This Row],[Régions]]+Tableau_Lancer_la_requête_à_partir_de_Excel_Files3[[#This Row],[Départements]]+Tableau_Lancer_la_requête_à_partir_de_Excel_Files3[[#This Row],[''FEDER'']]</f>
        <v>81037.08</v>
      </c>
      <c r="L17" s="45">
        <f>Tableau_Lancer_la_requête_à_partir_de_Excel_Files3[[#This Row],[Aide Massif Obtenu]]/Tableau_Lancer_la_requête_à_partir_de_Excel_Files3[[#This Row],[Coût total]]</f>
        <v>0.95822920807732148</v>
      </c>
      <c r="M17" s="46">
        <f>Tableau_Lancer_la_requête_à_partir_de_Excel_Files3[[#This Row],[''FNADT'']]+Tableau_Lancer_la_requête_à_partir_de_Excel_Files3[[#This Row],[''Agriculture'']]</f>
        <v>20744.72</v>
      </c>
      <c r="N17" s="44">
        <v>20744.72</v>
      </c>
      <c r="O17" s="44"/>
      <c r="P17" s="46">
        <f>Tableau_Lancer_la_requête_à_partir_de_Excel_Files3[[#This Row],[''ALPC'']]+Tableau_Lancer_la_requête_à_partir_de_Excel_Files3[[#This Row],[''AURA'']]+Tableau_Lancer_la_requête_à_partir_de_Excel_Files3[[#This Row],[''BFC'']]+Tableau_Lancer_la_requête_à_partir_de_Excel_Files3[[#This Row],[''LRMP'']]</f>
        <v>10828.75</v>
      </c>
      <c r="Q17" s="44"/>
      <c r="R17" s="44">
        <v>10828.75</v>
      </c>
      <c r="S17" s="44"/>
      <c r="T17" s="44"/>
      <c r="U17"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7263</v>
      </c>
      <c r="V17" s="44"/>
      <c r="W17" s="44"/>
      <c r="X17" s="44"/>
      <c r="Y17" s="44"/>
      <c r="Z17" s="44"/>
      <c r="AA17" s="44"/>
      <c r="AB17" s="44"/>
      <c r="AC17" s="44"/>
      <c r="AD17" s="44"/>
      <c r="AE17" s="44"/>
      <c r="AF17" s="44"/>
      <c r="AG17" s="44">
        <v>7263</v>
      </c>
      <c r="AH17" s="44"/>
      <c r="AI17" s="44"/>
      <c r="AJ17" s="44"/>
      <c r="AK17" s="44"/>
      <c r="AL17" s="44"/>
      <c r="AM17" s="44"/>
      <c r="AN17" s="44"/>
      <c r="AO17" s="44"/>
      <c r="AP17" s="44"/>
      <c r="AQ17" s="44"/>
      <c r="AR17" s="44">
        <v>42200.61</v>
      </c>
      <c r="AS17" s="44">
        <v>9000</v>
      </c>
      <c r="AT17" s="82"/>
      <c r="AV17" s="55"/>
      <c r="AW17" s="37" t="s">
        <v>290</v>
      </c>
      <c r="AX17" s="46"/>
      <c r="AY17" s="46">
        <f t="shared" si="0"/>
        <v>0</v>
      </c>
      <c r="BA17" s="46"/>
      <c r="BB17" s="46">
        <f t="shared" si="1"/>
        <v>0</v>
      </c>
      <c r="BF17" s="46"/>
      <c r="BG17" s="46">
        <f t="shared" si="2"/>
        <v>0</v>
      </c>
      <c r="CE17" s="34" t="e">
        <f>VLOOKUP(Tableau3[[#This Row],[NumSym]],Tableau_Lancer_la_requête_à_partir_de_Excel_Files3[[ID_Synergie]:[Avis Prog]],44)</f>
        <v>#N/A</v>
      </c>
      <c r="CM17" s="34"/>
      <c r="CN17" s="34"/>
      <c r="CO17" s="34"/>
      <c r="CP17" s="34"/>
      <c r="CQ17" s="34"/>
      <c r="CR17" s="34"/>
      <c r="CS17" s="34"/>
      <c r="CT17" s="34"/>
      <c r="CU17" s="34"/>
      <c r="CV17" s="34"/>
      <c r="CW17" s="34"/>
      <c r="CX17" s="34"/>
      <c r="CY17" s="34"/>
      <c r="CZ17" s="34"/>
      <c r="DA17" s="34"/>
      <c r="DB17" s="34"/>
      <c r="DC17" s="34"/>
      <c r="DD17" s="34"/>
      <c r="DE17" s="34"/>
      <c r="DF17" s="34"/>
      <c r="DG17" s="34"/>
      <c r="DH17" s="34"/>
    </row>
    <row r="18" spans="1:112" ht="30" x14ac:dyDescent="0.25">
      <c r="A18" s="40" t="s">
        <v>253</v>
      </c>
      <c r="B18" s="42" t="s">
        <v>294</v>
      </c>
      <c r="C18" s="42" t="s">
        <v>290</v>
      </c>
      <c r="D18" s="43" t="s">
        <v>135</v>
      </c>
      <c r="E18" s="43" t="s">
        <v>292</v>
      </c>
      <c r="F18" s="44">
        <v>22858</v>
      </c>
      <c r="G18" s="44">
        <v>17294.740000000002</v>
      </c>
      <c r="H18" s="44">
        <f>IF(Tableau_Lancer_la_requête_à_partir_de_Excel_Files3[[#This Row],[Coût total Eligible FEDER]]="",Tableau_Lancer_la_requête_à_partir_de_Excel_Files3[[#This Row],[Coût total déposé]],Tableau_Lancer_la_requête_à_partir_de_Excel_Files3[[#This Row],[Coût total Eligible FEDER]])</f>
        <v>17294.740000000002</v>
      </c>
      <c r="I18" s="44">
        <f>Tableau_Lancer_la_requête_à_partir_de_Excel_Files3[[#This Row],[Aide Massif Obtenu]]+Tableau_Lancer_la_requête_à_partir_de_Excel_Files3[[#This Row],[''Autre Public'']]</f>
        <v>20076.129999999997</v>
      </c>
      <c r="J18" s="45">
        <f>Tableau_Lancer_la_requête_à_partir_de_Excel_Files3[[#This Row],[Aide Publique Obtenue]]/Tableau_Lancer_la_requête_à_partir_de_Excel_Files3[[#This Row],[Coût total]]</f>
        <v>1.1608228860335568</v>
      </c>
      <c r="K18" s="44">
        <f>Tableau_Lancer_la_requête_à_partir_de_Excel_Files3[[#This Row],[Etat]]+Tableau_Lancer_la_requête_à_partir_de_Excel_Files3[[#This Row],[Régions]]+Tableau_Lancer_la_requête_à_partir_de_Excel_Files3[[#This Row],[Départements]]+Tableau_Lancer_la_requête_à_partir_de_Excel_Files3[[#This Row],[''FEDER'']]</f>
        <v>16362.13</v>
      </c>
      <c r="L18" s="45">
        <f>Tableau_Lancer_la_requête_à_partir_de_Excel_Files3[[#This Row],[Aide Massif Obtenu]]/Tableau_Lancer_la_requête_à_partir_de_Excel_Files3[[#This Row],[Coût total]]</f>
        <v>0.94607551197647366</v>
      </c>
      <c r="M18" s="46">
        <f>Tableau_Lancer_la_requête_à_partir_de_Excel_Files3[[#This Row],[''FNADT'']]+Tableau_Lancer_la_requête_à_partir_de_Excel_Files3[[#This Row],[''Agriculture'']]</f>
        <v>0</v>
      </c>
      <c r="N18" s="44"/>
      <c r="O18" s="44"/>
      <c r="P18" s="46">
        <f>Tableau_Lancer_la_requête_à_partir_de_Excel_Files3[[#This Row],[''ALPC'']]+Tableau_Lancer_la_requête_à_partir_de_Excel_Files3[[#This Row],[''AURA'']]+Tableau_Lancer_la_requête_à_partir_de_Excel_Files3[[#This Row],[''BFC'']]+Tableau_Lancer_la_requête_à_partir_de_Excel_Files3[[#This Row],[''LRMP'']]</f>
        <v>3714</v>
      </c>
      <c r="Q18" s="44"/>
      <c r="R18" s="44">
        <v>3714</v>
      </c>
      <c r="S18" s="44"/>
      <c r="T18" s="44"/>
      <c r="U18"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4000</v>
      </c>
      <c r="V18" s="44">
        <v>4000</v>
      </c>
      <c r="W18" s="44"/>
      <c r="X18" s="44"/>
      <c r="Y18" s="44"/>
      <c r="Z18" s="44"/>
      <c r="AA18" s="44"/>
      <c r="AB18" s="44"/>
      <c r="AC18" s="44"/>
      <c r="AD18" s="44"/>
      <c r="AE18" s="44"/>
      <c r="AF18" s="44"/>
      <c r="AG18" s="44"/>
      <c r="AH18" s="44"/>
      <c r="AI18" s="44"/>
      <c r="AJ18" s="44"/>
      <c r="AK18" s="44"/>
      <c r="AL18" s="44"/>
      <c r="AM18" s="44"/>
      <c r="AN18" s="44"/>
      <c r="AO18" s="44"/>
      <c r="AP18" s="44"/>
      <c r="AQ18" s="44"/>
      <c r="AR18" s="44">
        <v>8648.1299999999992</v>
      </c>
      <c r="AS18" s="44">
        <v>3714</v>
      </c>
      <c r="AT18" s="82"/>
      <c r="AV18" s="50"/>
      <c r="AW18" s="37" t="s">
        <v>290</v>
      </c>
      <c r="AX18" s="46"/>
      <c r="AY18" s="46">
        <f t="shared" si="0"/>
        <v>0</v>
      </c>
      <c r="BA18" s="46"/>
      <c r="BB18" s="46">
        <f t="shared" si="1"/>
        <v>0</v>
      </c>
      <c r="BF18" s="46"/>
      <c r="BG18" s="46">
        <f t="shared" si="2"/>
        <v>0</v>
      </c>
      <c r="CE18" s="34" t="e">
        <f>VLOOKUP(Tableau3[[#This Row],[NumSym]],Tableau_Lancer_la_requête_à_partir_de_Excel_Files3[[ID_Synergie]:[Avis Prog]],44)</f>
        <v>#N/A</v>
      </c>
      <c r="CM18" s="34"/>
      <c r="CN18" s="34"/>
      <c r="CO18" s="34"/>
      <c r="CP18" s="34"/>
      <c r="CQ18" s="34"/>
      <c r="CR18" s="34"/>
      <c r="CS18" s="34"/>
      <c r="CT18" s="34"/>
      <c r="CU18" s="34"/>
      <c r="CV18" s="34"/>
      <c r="CW18" s="34"/>
      <c r="CX18" s="34"/>
      <c r="CY18" s="34"/>
      <c r="CZ18" s="34"/>
      <c r="DA18" s="34"/>
      <c r="DB18" s="34"/>
      <c r="DC18" s="34"/>
      <c r="DD18" s="34"/>
      <c r="DE18" s="34"/>
      <c r="DF18" s="34"/>
      <c r="DG18" s="34"/>
      <c r="DH18" s="34"/>
    </row>
    <row r="19" spans="1:112" ht="60" x14ac:dyDescent="0.25">
      <c r="A19" s="40" t="s">
        <v>253</v>
      </c>
      <c r="B19" s="42" t="s">
        <v>305</v>
      </c>
      <c r="C19" s="42" t="s">
        <v>302</v>
      </c>
      <c r="D19" s="43" t="s">
        <v>303</v>
      </c>
      <c r="E19" s="43" t="s">
        <v>304</v>
      </c>
      <c r="F19" s="44">
        <v>167960</v>
      </c>
      <c r="G19" s="44">
        <v>167960</v>
      </c>
      <c r="H19" s="44">
        <f>IF(Tableau_Lancer_la_requête_à_partir_de_Excel_Files3[[#This Row],[Coût total Eligible FEDER]]="",Tableau_Lancer_la_requête_à_partir_de_Excel_Files3[[#This Row],[Coût total déposé]],Tableau_Lancer_la_requête_à_partir_de_Excel_Files3[[#This Row],[Coût total Eligible FEDER]])</f>
        <v>167960</v>
      </c>
      <c r="I19" s="44">
        <f>Tableau_Lancer_la_requête_à_partir_de_Excel_Files3[[#This Row],[Aide Massif Obtenu]]+Tableau_Lancer_la_requête_à_partir_de_Excel_Files3[[#This Row],[''Autre Public'']]</f>
        <v>110164.91</v>
      </c>
      <c r="J19" s="45">
        <f>Tableau_Lancer_la_requête_à_partir_de_Excel_Files3[[#This Row],[Aide Publique Obtenue]]/Tableau_Lancer_la_requête_à_partir_de_Excel_Files3[[#This Row],[Coût total]]</f>
        <v>0.65589967849487973</v>
      </c>
      <c r="K19" s="44">
        <f>Tableau_Lancer_la_requête_à_partir_de_Excel_Files3[[#This Row],[Etat]]+Tableau_Lancer_la_requête_à_partir_de_Excel_Files3[[#This Row],[Régions]]+Tableau_Lancer_la_requête_à_partir_de_Excel_Files3[[#This Row],[Départements]]+Tableau_Lancer_la_requête_à_partir_de_Excel_Files3[[#This Row],[''FEDER'']]</f>
        <v>110164.91</v>
      </c>
      <c r="L19" s="45">
        <f>Tableau_Lancer_la_requête_à_partir_de_Excel_Files3[[#This Row],[Aide Massif Obtenu]]/Tableau_Lancer_la_requête_à_partir_de_Excel_Files3[[#This Row],[Coût total]]</f>
        <v>0.65589967849487973</v>
      </c>
      <c r="M19" s="46">
        <f>Tableau_Lancer_la_requête_à_partir_de_Excel_Files3[[#This Row],[''FNADT'']]+Tableau_Lancer_la_requête_à_partir_de_Excel_Files3[[#This Row],[''Agriculture'']]</f>
        <v>0</v>
      </c>
      <c r="N19" s="44"/>
      <c r="O19" s="44"/>
      <c r="P19" s="46">
        <f>Tableau_Lancer_la_requête_à_partir_de_Excel_Files3[[#This Row],[''ALPC'']]+Tableau_Lancer_la_requête_à_partir_de_Excel_Files3[[#This Row],[''AURA'']]+Tableau_Lancer_la_requête_à_partir_de_Excel_Files3[[#This Row],[''BFC'']]+Tableau_Lancer_la_requête_à_partir_de_Excel_Files3[[#This Row],[''LRMP'']]</f>
        <v>30437</v>
      </c>
      <c r="Q19" s="44"/>
      <c r="R19" s="44">
        <v>30437</v>
      </c>
      <c r="S19" s="44"/>
      <c r="T19" s="44"/>
      <c r="U19"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30650</v>
      </c>
      <c r="V19" s="44"/>
      <c r="W19" s="44"/>
      <c r="X19" s="44"/>
      <c r="Y19" s="44"/>
      <c r="Z19" s="44"/>
      <c r="AA19" s="44"/>
      <c r="AB19" s="44"/>
      <c r="AC19" s="44"/>
      <c r="AD19" s="44"/>
      <c r="AE19" s="44"/>
      <c r="AF19" s="44"/>
      <c r="AG19" s="44"/>
      <c r="AH19" s="44"/>
      <c r="AI19" s="44"/>
      <c r="AJ19" s="44"/>
      <c r="AK19" s="44">
        <v>30650</v>
      </c>
      <c r="AL19" s="44"/>
      <c r="AM19" s="44"/>
      <c r="AN19" s="44"/>
      <c r="AO19" s="44"/>
      <c r="AP19" s="44"/>
      <c r="AQ19" s="44"/>
      <c r="AR19" s="44">
        <v>49077.91</v>
      </c>
      <c r="AS19" s="44">
        <v>0</v>
      </c>
      <c r="AT19" s="82"/>
      <c r="AV19" s="55" t="s">
        <v>474</v>
      </c>
      <c r="AW19" s="37" t="s">
        <v>302</v>
      </c>
      <c r="AX19" s="46"/>
      <c r="AY19" s="46">
        <f t="shared" si="0"/>
        <v>0</v>
      </c>
      <c r="BA19" s="46"/>
      <c r="BB19" s="46">
        <f t="shared" si="1"/>
        <v>0</v>
      </c>
      <c r="BF19" s="46"/>
      <c r="BG19" s="46">
        <f t="shared" si="2"/>
        <v>0</v>
      </c>
      <c r="CE19" s="34" t="e">
        <f>VLOOKUP(Tableau3[[#This Row],[NumSym]],Tableau_Lancer_la_requête_à_partir_de_Excel_Files3[[ID_Synergie]:[Avis Prog]],44)</f>
        <v>#N/A</v>
      </c>
      <c r="CM19" s="34"/>
      <c r="CN19" s="34"/>
      <c r="CO19" s="34"/>
      <c r="CP19" s="34"/>
      <c r="CQ19" s="34"/>
      <c r="CR19" s="34"/>
      <c r="CS19" s="34"/>
      <c r="CT19" s="34"/>
      <c r="CU19" s="34"/>
      <c r="CV19" s="34"/>
      <c r="CW19" s="34"/>
      <c r="CX19" s="34"/>
      <c r="CY19" s="34"/>
      <c r="CZ19" s="34"/>
      <c r="DA19" s="34"/>
      <c r="DB19" s="34"/>
      <c r="DC19" s="34"/>
      <c r="DD19" s="34"/>
      <c r="DE19" s="34"/>
      <c r="DF19" s="34"/>
      <c r="DG19" s="34"/>
      <c r="DH19" s="34"/>
    </row>
    <row r="20" spans="1:112" ht="45" x14ac:dyDescent="0.25">
      <c r="A20" s="40" t="s">
        <v>253</v>
      </c>
      <c r="B20" s="42" t="s">
        <v>308</v>
      </c>
      <c r="C20" s="42" t="s">
        <v>298</v>
      </c>
      <c r="D20" s="43" t="s">
        <v>306</v>
      </c>
      <c r="E20" s="43" t="s">
        <v>307</v>
      </c>
      <c r="F20" s="44">
        <v>434560</v>
      </c>
      <c r="G20" s="44">
        <v>355704</v>
      </c>
      <c r="H20" s="44">
        <f>IF(Tableau_Lancer_la_requête_à_partir_de_Excel_Files3[[#This Row],[Coût total Eligible FEDER]]="",Tableau_Lancer_la_requête_à_partir_de_Excel_Files3[[#This Row],[Coût total déposé]],Tableau_Lancer_la_requête_à_partir_de_Excel_Files3[[#This Row],[Coût total Eligible FEDER]])</f>
        <v>355704</v>
      </c>
      <c r="I20" s="44">
        <f>Tableau_Lancer_la_requête_à_partir_de_Excel_Files3[[#This Row],[Aide Massif Obtenu]]+Tableau_Lancer_la_requête_à_partir_de_Excel_Files3[[#This Row],[''Autre Public'']]</f>
        <v>208089</v>
      </c>
      <c r="J20" s="45">
        <f>Tableau_Lancer_la_requête_à_partir_de_Excel_Files3[[#This Row],[Aide Publique Obtenue]]/Tableau_Lancer_la_requête_à_partir_de_Excel_Files3[[#This Row],[Coût total]]</f>
        <v>0.58500607246474601</v>
      </c>
      <c r="K20" s="44">
        <f>Tableau_Lancer_la_requête_à_partir_de_Excel_Files3[[#This Row],[Etat]]+Tableau_Lancer_la_requête_à_partir_de_Excel_Files3[[#This Row],[Régions]]+Tableau_Lancer_la_requête_à_partir_de_Excel_Files3[[#This Row],[Départements]]+Tableau_Lancer_la_requête_à_partir_de_Excel_Files3[[#This Row],[''FEDER'']]</f>
        <v>198089</v>
      </c>
      <c r="L20" s="45">
        <f>Tableau_Lancer_la_requête_à_partir_de_Excel_Files3[[#This Row],[Aide Massif Obtenu]]/Tableau_Lancer_la_requête_à_partir_de_Excel_Files3[[#This Row],[Coût total]]</f>
        <v>0.55689280975192856</v>
      </c>
      <c r="M20" s="46">
        <f>Tableau_Lancer_la_requête_à_partir_de_Excel_Files3[[#This Row],[''FNADT'']]+Tableau_Lancer_la_requête_à_partir_de_Excel_Files3[[#This Row],[''Agriculture'']]</f>
        <v>20671.2</v>
      </c>
      <c r="N20" s="44">
        <v>20671.2</v>
      </c>
      <c r="O20" s="44"/>
      <c r="P20" s="46">
        <f>Tableau_Lancer_la_requête_à_partir_de_Excel_Files3[[#This Row],[''ALPC'']]+Tableau_Lancer_la_requête_à_partir_de_Excel_Files3[[#This Row],[''AURA'']]+Tableau_Lancer_la_requête_à_partir_de_Excel_Files3[[#This Row],[''BFC'']]+Tableau_Lancer_la_requête_à_partir_de_Excel_Files3[[#This Row],[''LRMP'']]</f>
        <v>12926.2</v>
      </c>
      <c r="Q20" s="44"/>
      <c r="R20" s="44"/>
      <c r="S20" s="44"/>
      <c r="T20" s="44">
        <v>12926.2</v>
      </c>
      <c r="U20"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125000</v>
      </c>
      <c r="V20" s="44"/>
      <c r="W20" s="44"/>
      <c r="X20" s="44"/>
      <c r="Y20" s="44"/>
      <c r="Z20" s="44"/>
      <c r="AA20" s="44"/>
      <c r="AB20" s="44"/>
      <c r="AC20" s="44"/>
      <c r="AD20" s="44">
        <v>120000</v>
      </c>
      <c r="AE20" s="44"/>
      <c r="AF20" s="44"/>
      <c r="AG20" s="44"/>
      <c r="AH20" s="44"/>
      <c r="AI20" s="44">
        <v>5000</v>
      </c>
      <c r="AJ20" s="44"/>
      <c r="AK20" s="44"/>
      <c r="AL20" s="44"/>
      <c r="AM20" s="44"/>
      <c r="AN20" s="44"/>
      <c r="AO20" s="44"/>
      <c r="AP20" s="44"/>
      <c r="AQ20" s="44"/>
      <c r="AR20" s="44">
        <v>39491.599999999999</v>
      </c>
      <c r="AS20" s="44">
        <v>10000</v>
      </c>
      <c r="AT20" s="82"/>
      <c r="AV20" s="50"/>
      <c r="AW20" s="37" t="s">
        <v>298</v>
      </c>
      <c r="AX20" s="46"/>
      <c r="AY20" s="46">
        <f t="shared" si="0"/>
        <v>0</v>
      </c>
      <c r="BA20" s="46"/>
      <c r="BB20" s="46">
        <f t="shared" si="1"/>
        <v>0</v>
      </c>
      <c r="BF20" s="46"/>
      <c r="BG20" s="46">
        <f t="shared" si="2"/>
        <v>0</v>
      </c>
      <c r="CE20" s="34" t="e">
        <f>VLOOKUP(Tableau3[[#This Row],[NumSym]],Tableau_Lancer_la_requête_à_partir_de_Excel_Files3[[ID_Synergie]:[Avis Prog]],44)</f>
        <v>#N/A</v>
      </c>
      <c r="CM20" s="34"/>
      <c r="CN20" s="34"/>
      <c r="CO20" s="34"/>
      <c r="CP20" s="34"/>
      <c r="CQ20" s="34"/>
      <c r="CR20" s="34"/>
      <c r="CS20" s="34"/>
      <c r="CT20" s="34"/>
      <c r="CU20" s="34"/>
      <c r="CV20" s="34"/>
      <c r="CW20" s="34"/>
      <c r="CX20" s="34"/>
      <c r="CY20" s="34"/>
      <c r="CZ20" s="34"/>
      <c r="DA20" s="34"/>
      <c r="DB20" s="34"/>
      <c r="DC20" s="34"/>
      <c r="DD20" s="34"/>
      <c r="DE20" s="34"/>
      <c r="DF20" s="34"/>
      <c r="DG20" s="34"/>
      <c r="DH20" s="34"/>
    </row>
    <row r="21" spans="1:112" ht="45.75" thickBot="1" x14ac:dyDescent="0.3">
      <c r="A21" s="40" t="s">
        <v>253</v>
      </c>
      <c r="B21" s="42" t="s">
        <v>312</v>
      </c>
      <c r="C21" s="42" t="s">
        <v>309</v>
      </c>
      <c r="D21" s="43" t="s">
        <v>310</v>
      </c>
      <c r="E21" s="43" t="s">
        <v>311</v>
      </c>
      <c r="F21" s="44">
        <v>75108.995999999999</v>
      </c>
      <c r="G21" s="44">
        <v>72554.11</v>
      </c>
      <c r="H21" s="44">
        <f>IF(Tableau_Lancer_la_requête_à_partir_de_Excel_Files3[[#This Row],[Coût total Eligible FEDER]]="",Tableau_Lancer_la_requête_à_partir_de_Excel_Files3[[#This Row],[Coût total déposé]],Tableau_Lancer_la_requête_à_partir_de_Excel_Files3[[#This Row],[Coût total Eligible FEDER]])</f>
        <v>72554.11</v>
      </c>
      <c r="I21" s="44">
        <f>Tableau_Lancer_la_requête_à_partir_de_Excel_Files3[[#This Row],[Aide Massif Obtenu]]+Tableau_Lancer_la_requête_à_partir_de_Excel_Files3[[#This Row],[''Autre Public'']]</f>
        <v>45761.644</v>
      </c>
      <c r="J21" s="45">
        <f>Tableau_Lancer_la_requête_à_partir_de_Excel_Files3[[#This Row],[Aide Publique Obtenue]]/Tableau_Lancer_la_requête_à_partir_de_Excel_Files3[[#This Row],[Coût total]]</f>
        <v>0.63072435179757558</v>
      </c>
      <c r="K21" s="44">
        <f>Tableau_Lancer_la_requête_à_partir_de_Excel_Files3[[#This Row],[Etat]]+Tableau_Lancer_la_requête_à_partir_de_Excel_Files3[[#This Row],[Régions]]+Tableau_Lancer_la_requête_à_partir_de_Excel_Files3[[#This Row],[Départements]]+Tableau_Lancer_la_requête_à_partir_de_Excel_Files3[[#This Row],[''FEDER'']]</f>
        <v>45761.644</v>
      </c>
      <c r="L21" s="45">
        <f>Tableau_Lancer_la_requête_à_partir_de_Excel_Files3[[#This Row],[Aide Massif Obtenu]]/Tableau_Lancer_la_requête_à_partir_de_Excel_Files3[[#This Row],[Coût total]]</f>
        <v>0.63072435179757558</v>
      </c>
      <c r="M21" s="46">
        <f>Tableau_Lancer_la_requête_à_partir_de_Excel_Files3[[#This Row],[''FNADT'']]+Tableau_Lancer_la_requête_à_partir_de_Excel_Files3[[#This Row],[''Agriculture'']]</f>
        <v>0</v>
      </c>
      <c r="N21" s="44"/>
      <c r="O21" s="44"/>
      <c r="P21" s="46">
        <f>Tableau_Lancer_la_requête_à_partir_de_Excel_Files3[[#This Row],[''ALPC'']]+Tableau_Lancer_la_requête_à_partir_de_Excel_Files3[[#This Row],[''AURA'']]+Tableau_Lancer_la_requête_à_partir_de_Excel_Files3[[#This Row],[''BFC'']]+Tableau_Lancer_la_requête_à_partir_de_Excel_Files3[[#This Row],[''LRMP'']]</f>
        <v>16740</v>
      </c>
      <c r="Q21" s="44"/>
      <c r="R21" s="44"/>
      <c r="S21" s="44">
        <v>16740</v>
      </c>
      <c r="T21" s="44"/>
      <c r="U21" s="4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1" s="44"/>
      <c r="W21" s="44"/>
      <c r="X21" s="44"/>
      <c r="Y21" s="44"/>
      <c r="Z21" s="44"/>
      <c r="AA21" s="44"/>
      <c r="AB21" s="44"/>
      <c r="AC21" s="44"/>
      <c r="AD21" s="44"/>
      <c r="AE21" s="44"/>
      <c r="AF21" s="44"/>
      <c r="AG21" s="44"/>
      <c r="AH21" s="44"/>
      <c r="AI21" s="44"/>
      <c r="AJ21" s="44"/>
      <c r="AK21" s="44"/>
      <c r="AL21" s="44"/>
      <c r="AM21" s="44"/>
      <c r="AN21" s="44"/>
      <c r="AO21" s="44"/>
      <c r="AP21" s="44"/>
      <c r="AQ21" s="44"/>
      <c r="AR21" s="44">
        <v>29021.644</v>
      </c>
      <c r="AS21" s="44">
        <v>0</v>
      </c>
      <c r="AT21" s="82"/>
      <c r="AV21" s="55" t="s">
        <v>479</v>
      </c>
      <c r="AW21" s="37" t="s">
        <v>309</v>
      </c>
      <c r="AX21" s="46"/>
      <c r="AY21" s="46">
        <f t="shared" si="0"/>
        <v>0</v>
      </c>
      <c r="BA21" s="46"/>
      <c r="BB21" s="46">
        <f t="shared" si="1"/>
        <v>0</v>
      </c>
      <c r="BF21" s="46"/>
      <c r="BG21" s="46">
        <f t="shared" si="2"/>
        <v>0</v>
      </c>
      <c r="CD21" s="34">
        <v>3259.44</v>
      </c>
      <c r="CE21" s="34" t="e">
        <f>VLOOKUP(Tableau3[[#This Row],[NumSym]],Tableau_Lancer_la_requête_à_partir_de_Excel_Files3[[ID_Synergie]:[Avis Prog]],44)</f>
        <v>#N/A</v>
      </c>
      <c r="CM21" s="34"/>
      <c r="CN21" s="34"/>
      <c r="CO21" s="34"/>
      <c r="CP21" s="34"/>
      <c r="CQ21" s="34"/>
      <c r="CR21" s="34"/>
      <c r="CS21" s="34"/>
      <c r="CT21" s="34"/>
      <c r="CU21" s="34"/>
      <c r="CV21" s="34"/>
      <c r="CW21" s="34"/>
      <c r="CX21" s="34"/>
      <c r="CY21" s="34"/>
      <c r="CZ21" s="34"/>
      <c r="DA21" s="34"/>
      <c r="DB21" s="34"/>
      <c r="DC21" s="34"/>
      <c r="DD21" s="34"/>
      <c r="DE21" s="34"/>
      <c r="DF21" s="34"/>
      <c r="DG21" s="34"/>
      <c r="DH21" s="34"/>
    </row>
    <row r="22" spans="1:112" ht="15.75" thickTop="1" x14ac:dyDescent="0.25">
      <c r="A22" s="43" t="s">
        <v>8</v>
      </c>
      <c r="B22" s="43"/>
      <c r="C22" s="43">
        <f>SUBTOTAL(103,Tableau_Lancer_la_requête_à_partir_de_Excel_Files3[ID_Synergie])</f>
        <v>15</v>
      </c>
      <c r="D22" s="43"/>
      <c r="E22" s="43"/>
      <c r="F22" s="44">
        <f>SUBTOTAL(109,Tableau_Lancer_la_requête_à_partir_de_Excel_Files3[Coût total déposé])</f>
        <v>1949319.456</v>
      </c>
      <c r="G22" s="44"/>
      <c r="H22" s="44">
        <f>SUBTOTAL(109,Tableau_Lancer_la_requête_à_partir_de_Excel_Files3[Coût total])</f>
        <v>1770499.85</v>
      </c>
      <c r="I22" s="44">
        <f>SUBTOTAL(109,Tableau_Lancer_la_requête_à_partir_de_Excel_Files3[Aide Publique Obtenue])</f>
        <v>1277392.4740000002</v>
      </c>
      <c r="J22" s="44"/>
      <c r="K22" s="44">
        <f>SUBTOTAL(109,Tableau_Lancer_la_requête_à_partir_de_Excel_Files3[Aide Massif Obtenu])</f>
        <v>1250138.4740000002</v>
      </c>
      <c r="L22" s="43"/>
      <c r="M22" s="44">
        <f>SUBTOTAL(109,Tableau_Lancer_la_requête_à_partir_de_Excel_Files3[Etat])</f>
        <v>185454.92</v>
      </c>
      <c r="N22" s="44"/>
      <c r="O22" s="44"/>
      <c r="P22" s="44">
        <f>SUBTOTAL(109,Tableau_Lancer_la_requête_à_partir_de_Excel_Files3[Régions])</f>
        <v>253462.12000000002</v>
      </c>
      <c r="Q22" s="44"/>
      <c r="R22" s="44"/>
      <c r="S22" s="44"/>
      <c r="T22" s="44"/>
      <c r="U22" s="44">
        <f>SUBTOTAL(109,Tableau_Lancer_la_requête_à_partir_de_Excel_Files3[Départements])</f>
        <v>216103</v>
      </c>
      <c r="V22" s="44"/>
      <c r="W22" s="44"/>
      <c r="X22" s="44"/>
      <c r="Y22" s="44"/>
      <c r="Z22" s="44"/>
      <c r="AA22" s="44"/>
      <c r="AB22" s="44"/>
      <c r="AC22" s="44"/>
      <c r="AD22" s="44"/>
      <c r="AE22" s="44"/>
      <c r="AF22" s="44"/>
      <c r="AG22" s="44"/>
      <c r="AH22" s="44"/>
      <c r="AI22" s="44"/>
      <c r="AJ22" s="44"/>
      <c r="AK22" s="44"/>
      <c r="AL22" s="44"/>
      <c r="AM22" s="44"/>
      <c r="AN22" s="44"/>
      <c r="AO22" s="44"/>
      <c r="AP22" s="44"/>
      <c r="AQ22" s="44"/>
      <c r="AR22" s="44">
        <f>SUBTOTAL(109,Tableau_Lancer_la_requête_à_partir_de_Excel_Files3[''FEDER''])</f>
        <v>595118.43399999989</v>
      </c>
      <c r="AS22" s="44"/>
      <c r="AT22" s="43"/>
      <c r="AV22" s="81"/>
      <c r="AX22" s="46"/>
      <c r="AY22" s="46">
        <f t="shared" si="0"/>
        <v>0</v>
      </c>
      <c r="BA22" s="46"/>
      <c r="BB22" s="46">
        <f t="shared" si="1"/>
        <v>0</v>
      </c>
      <c r="BF22" s="46"/>
      <c r="BG22" s="46">
        <f t="shared" si="2"/>
        <v>0</v>
      </c>
      <c r="CE22" s="34" t="e">
        <f>VLOOKUP(Tableau3[[#This Row],[NumSym]],Tableau_Lancer_la_requête_à_partir_de_Excel_Files3[[ID_Synergie]:[Avis Prog]],44)</f>
        <v>#N/A</v>
      </c>
      <c r="CM22" s="34"/>
      <c r="CN22" s="34"/>
      <c r="CO22" s="34"/>
      <c r="CP22" s="34"/>
      <c r="CQ22" s="34"/>
      <c r="CR22" s="34"/>
      <c r="CS22" s="34"/>
      <c r="CT22" s="34"/>
      <c r="CU22" s="34"/>
      <c r="CV22" s="34"/>
      <c r="CW22" s="34"/>
      <c r="CX22" s="34"/>
      <c r="CY22" s="34"/>
      <c r="CZ22" s="34"/>
      <c r="DA22" s="34"/>
      <c r="DB22" s="34"/>
      <c r="DC22" s="34"/>
      <c r="DD22" s="34"/>
      <c r="DE22" s="34"/>
      <c r="DF22" s="34"/>
      <c r="DG22" s="34"/>
      <c r="DH22" s="34"/>
    </row>
    <row r="23" spans="1:112" x14ac:dyDescent="0.25">
      <c r="AX23" s="46"/>
      <c r="AY23" s="46">
        <f t="shared" si="0"/>
        <v>0</v>
      </c>
      <c r="BA23" s="46"/>
      <c r="BB23" s="46">
        <f t="shared" si="1"/>
        <v>0</v>
      </c>
      <c r="BF23" s="46"/>
      <c r="BG23" s="46">
        <f t="shared" si="2"/>
        <v>0</v>
      </c>
      <c r="CE23" s="34" t="e">
        <f>VLOOKUP(Tableau3[[#This Row],[NumSym]],Tableau_Lancer_la_requête_à_partir_de_Excel_Files3[[ID_Synergie]:[Avis Prog]],44)</f>
        <v>#N/A</v>
      </c>
      <c r="CM23" s="34"/>
      <c r="CN23" s="34"/>
      <c r="CO23" s="34"/>
      <c r="CP23" s="34"/>
      <c r="CQ23" s="34"/>
      <c r="CR23" s="34"/>
      <c r="CS23" s="34"/>
      <c r="CT23" s="34"/>
      <c r="CU23" s="34"/>
      <c r="CV23" s="34"/>
      <c r="CW23" s="34"/>
      <c r="CX23" s="34"/>
      <c r="CY23" s="34"/>
      <c r="CZ23" s="34"/>
      <c r="DA23" s="34"/>
      <c r="DB23" s="34"/>
      <c r="DC23" s="34"/>
      <c r="DD23" s="34"/>
      <c r="DE23" s="34"/>
      <c r="DF23" s="34"/>
      <c r="DG23" s="34"/>
      <c r="DH23" s="34"/>
    </row>
    <row r="24" spans="1:112" x14ac:dyDescent="0.25">
      <c r="AX24" s="48" t="s">
        <v>8</v>
      </c>
      <c r="AY24" s="46">
        <f>SUBTOTAL(109,Tableau3[Etat])</f>
        <v>22034</v>
      </c>
      <c r="AZ24" s="46">
        <f>SUBTOTAL(109,Tableau3[''FNADT''])</f>
        <v>22034</v>
      </c>
      <c r="BA24" s="46">
        <f>SUBTOTAL(109,Tableau3[''Agriculture''])</f>
        <v>0</v>
      </c>
      <c r="BB24" s="46">
        <f>SUBTOTAL(109,Tableau3[Régions])</f>
        <v>35886</v>
      </c>
      <c r="BC24" s="46">
        <f>SUBTOTAL(109,Tableau3[''ALPC''])</f>
        <v>0</v>
      </c>
      <c r="BD24" s="46">
        <f>SUBTOTAL(109,Tableau3[''AURA''])</f>
        <v>-5000</v>
      </c>
      <c r="BE24" s="46">
        <f>SUBTOTAL(109,Tableau3[''BFC''])</f>
        <v>0</v>
      </c>
      <c r="BF24" s="46">
        <f>SUBTOTAL(109,Tableau3[''LRMP''])</f>
        <v>40886</v>
      </c>
      <c r="BG24" s="46">
        <f>SUBTOTAL(109,Tableau3[Départements])</f>
        <v>1368.63</v>
      </c>
      <c r="BH24" s="46">
        <f>SUBTOTAL(109,Tableau3[''03''])</f>
        <v>0</v>
      </c>
      <c r="BI24" s="46">
        <f>SUBTOTAL(109,Tableau3[''07''])</f>
        <v>0</v>
      </c>
      <c r="BJ24" s="46">
        <f>SUBTOTAL(109,Tableau3[''11''])</f>
        <v>0</v>
      </c>
      <c r="BK24" s="46">
        <f>SUBTOTAL(109,Tableau3[''12''])</f>
        <v>0</v>
      </c>
      <c r="BL24" s="46">
        <f>SUBTOTAL(109,Tableau3[''15''])</f>
        <v>0</v>
      </c>
      <c r="BM24" s="46">
        <f>SUBTOTAL(109,Tableau3[''19''])</f>
        <v>0</v>
      </c>
      <c r="BN24" s="46">
        <f>SUBTOTAL(109,Tableau3[''21''])</f>
        <v>0</v>
      </c>
      <c r="BO24" s="46">
        <f>SUBTOTAL(109,Tableau3[''23''])</f>
        <v>0</v>
      </c>
      <c r="BP24" s="46">
        <f>SUBTOTAL(109,Tableau3[''30''])</f>
        <v>0</v>
      </c>
      <c r="BQ24" s="46">
        <f>SUBTOTAL(109,Tableau3[''34''])</f>
        <v>0</v>
      </c>
      <c r="BR24" s="46">
        <f>SUBTOTAL(109,Tableau3[''42''])</f>
        <v>0</v>
      </c>
      <c r="BS24" s="46">
        <f>SUBTOTAL(109,Tableau3[''43''])</f>
        <v>0</v>
      </c>
      <c r="BT24" s="46">
        <f>SUBTOTAL(109,Tableau3[''46''])</f>
        <v>0</v>
      </c>
      <c r="BU24" s="46">
        <f>SUBTOTAL(109,Tableau3[''48''])</f>
        <v>0</v>
      </c>
      <c r="BV24" s="46">
        <f>SUBTOTAL(109,Tableau3[''58''])</f>
        <v>0</v>
      </c>
      <c r="BW24" s="46">
        <f>SUBTOTAL(109,Tableau3[''63''])</f>
        <v>1368.63</v>
      </c>
      <c r="BX24" s="46">
        <f>SUBTOTAL(109,Tableau3[''69''])</f>
        <v>0</v>
      </c>
      <c r="BY24" s="46">
        <f>SUBTOTAL(109,Tableau3[''71''])</f>
        <v>0</v>
      </c>
      <c r="BZ24" s="46">
        <f>SUBTOTAL(109,Tableau3[''81''])</f>
        <v>0</v>
      </c>
      <c r="CA24" s="46">
        <f>SUBTOTAL(109,Tableau3[''82''])</f>
        <v>0</v>
      </c>
      <c r="CB24" s="46">
        <f>SUBTOTAL(109,Tableau3[''87''])</f>
        <v>0</v>
      </c>
      <c r="CC24" s="46">
        <f>SUBTOTAL(109,Tableau3[''89''])</f>
        <v>0</v>
      </c>
      <c r="CD24" s="46">
        <f>SUBTOTAL(109,Tableau3[''FEDER''])</f>
        <v>3244.4600000000041</v>
      </c>
      <c r="CE24" s="34">
        <f>SUBTOTAL(103,Tableau3[Avis])</f>
        <v>17</v>
      </c>
      <c r="CM24" s="34"/>
      <c r="CN24" s="34"/>
      <c r="CO24" s="34"/>
      <c r="CP24" s="34"/>
      <c r="CQ24" s="34"/>
      <c r="CR24" s="34"/>
      <c r="CS24" s="34"/>
      <c r="CT24" s="34"/>
      <c r="CU24" s="34"/>
      <c r="CV24" s="34"/>
      <c r="CW24" s="34"/>
      <c r="CX24" s="34"/>
      <c r="CY24" s="34"/>
      <c r="CZ24" s="34"/>
      <c r="DA24" s="34"/>
      <c r="DB24" s="34"/>
      <c r="DC24" s="34"/>
      <c r="DD24" s="34"/>
      <c r="DE24" s="34"/>
      <c r="DF24" s="34"/>
      <c r="DG24" s="34"/>
      <c r="DH24" s="34"/>
    </row>
    <row r="25" spans="1:112" x14ac:dyDescent="0.25">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M25" s="34"/>
      <c r="CN25" s="34"/>
      <c r="CO25" s="34"/>
      <c r="CP25" s="34"/>
      <c r="CQ25" s="34"/>
      <c r="CR25" s="34"/>
      <c r="CS25" s="34"/>
      <c r="CT25" s="34"/>
      <c r="CU25" s="34"/>
      <c r="CV25" s="34"/>
      <c r="CW25" s="34"/>
      <c r="CX25" s="34"/>
      <c r="CY25" s="34"/>
      <c r="CZ25" s="34"/>
      <c r="DA25" s="34"/>
      <c r="DB25" s="34"/>
      <c r="DC25" s="34"/>
      <c r="DD25" s="34"/>
      <c r="DE25" s="34"/>
      <c r="DF25" s="34"/>
      <c r="DG25" s="34"/>
      <c r="DH25" s="34"/>
    </row>
    <row r="26" spans="1:112" x14ac:dyDescent="0.25">
      <c r="D26" s="34" t="s">
        <v>493</v>
      </c>
      <c r="E26" s="34" t="s">
        <v>494</v>
      </c>
      <c r="H26" s="34">
        <v>224660</v>
      </c>
      <c r="M26" s="34">
        <v>26084</v>
      </c>
      <c r="CM26" s="34"/>
      <c r="CN26" s="34"/>
      <c r="CO26" s="34"/>
      <c r="CP26" s="34"/>
      <c r="CQ26" s="34"/>
      <c r="CR26" s="34"/>
      <c r="CS26" s="34"/>
      <c r="CT26" s="34"/>
      <c r="CU26" s="34"/>
      <c r="CV26" s="34"/>
      <c r="CW26" s="34"/>
      <c r="CX26" s="34"/>
      <c r="CY26" s="34"/>
      <c r="CZ26" s="34"/>
      <c r="DA26" s="34"/>
      <c r="DB26" s="34"/>
      <c r="DC26" s="34"/>
      <c r="DD26" s="34"/>
      <c r="DE26" s="34"/>
      <c r="DF26" s="34"/>
      <c r="DG26" s="34"/>
      <c r="DH26" s="34"/>
    </row>
    <row r="27" spans="1:112" x14ac:dyDescent="0.25">
      <c r="D27" s="34" t="s">
        <v>495</v>
      </c>
      <c r="E27" s="34" t="s">
        <v>496</v>
      </c>
      <c r="CM27" s="34"/>
      <c r="CN27" s="34"/>
      <c r="CO27" s="34"/>
      <c r="CP27" s="34"/>
      <c r="CQ27" s="34"/>
      <c r="CR27" s="34"/>
      <c r="CS27" s="34"/>
      <c r="CT27" s="34"/>
      <c r="CU27" s="34"/>
      <c r="CV27" s="34"/>
      <c r="CW27" s="34"/>
      <c r="CX27" s="34"/>
      <c r="CY27" s="34"/>
      <c r="CZ27" s="34"/>
      <c r="DA27" s="34"/>
      <c r="DB27" s="34"/>
      <c r="DC27" s="34"/>
      <c r="DD27" s="34"/>
      <c r="DE27" s="34"/>
      <c r="DF27" s="34"/>
      <c r="DG27" s="34"/>
      <c r="DH27" s="34"/>
    </row>
    <row r="28" spans="1:112" x14ac:dyDescent="0.25">
      <c r="E28" s="34" t="s">
        <v>497</v>
      </c>
      <c r="P28" s="34" t="s">
        <v>498</v>
      </c>
      <c r="CM28" s="34"/>
      <c r="CN28" s="34"/>
      <c r="CO28" s="34"/>
      <c r="CP28" s="34"/>
      <c r="CQ28" s="34"/>
      <c r="CR28" s="34"/>
      <c r="CS28" s="34"/>
      <c r="CT28" s="34"/>
      <c r="CU28" s="34"/>
      <c r="CV28" s="34"/>
      <c r="CW28" s="34"/>
      <c r="CX28" s="34"/>
      <c r="CY28" s="34"/>
      <c r="CZ28" s="34"/>
      <c r="DA28" s="34"/>
      <c r="DB28" s="34"/>
      <c r="DC28" s="34"/>
      <c r="DD28" s="34"/>
      <c r="DE28" s="34"/>
      <c r="DF28" s="34"/>
      <c r="DG28" s="34"/>
      <c r="DH28" s="34"/>
    </row>
    <row r="29" spans="1:112" x14ac:dyDescent="0.25">
      <c r="CM29" s="34"/>
      <c r="CN29" s="34"/>
      <c r="CO29" s="34"/>
      <c r="CP29" s="34"/>
      <c r="CQ29" s="34"/>
      <c r="CR29" s="34"/>
      <c r="CS29" s="34"/>
      <c r="CT29" s="34"/>
      <c r="CU29" s="34"/>
      <c r="CV29" s="34"/>
      <c r="CW29" s="34"/>
      <c r="CX29" s="34"/>
      <c r="CY29" s="34"/>
      <c r="CZ29" s="34"/>
      <c r="DA29" s="34"/>
      <c r="DB29" s="34"/>
      <c r="DC29" s="34"/>
      <c r="DD29" s="34"/>
      <c r="DE29" s="34"/>
      <c r="DF29" s="34"/>
      <c r="DG29" s="34"/>
      <c r="DH29" s="34"/>
    </row>
    <row r="30" spans="1:112" x14ac:dyDescent="0.25">
      <c r="BB30" s="34" t="s">
        <v>85</v>
      </c>
      <c r="BG30" s="34" t="s">
        <v>84</v>
      </c>
      <c r="CM30" s="34"/>
      <c r="CN30" s="34"/>
      <c r="CO30" s="34"/>
      <c r="CP30" s="34"/>
      <c r="CQ30" s="34"/>
      <c r="CR30" s="34"/>
      <c r="CS30" s="34"/>
      <c r="CT30" s="34"/>
      <c r="CU30" s="34"/>
      <c r="CV30" s="34"/>
      <c r="CW30" s="34"/>
      <c r="CX30" s="34"/>
      <c r="CY30" s="34"/>
      <c r="CZ30" s="34"/>
      <c r="DA30" s="34"/>
      <c r="DB30" s="34"/>
      <c r="DC30" s="34"/>
      <c r="DD30" s="34"/>
      <c r="DE30" s="34"/>
      <c r="DF30" s="34"/>
      <c r="DG30" s="34"/>
      <c r="DH30" s="34"/>
    </row>
    <row r="31" spans="1:112" x14ac:dyDescent="0.25">
      <c r="AY31" s="37" t="s">
        <v>58</v>
      </c>
      <c r="AZ31" s="49">
        <f>SUMIF(Tableau_Lancer_la_requête_à_partir_de_Excel_Files3[Avis Prog],"1-Favorable",Tableau3[''FEDER''])</f>
        <v>0</v>
      </c>
      <c r="BB31" s="34">
        <f>SUMIF(Tableau3[Avis],"1-Favorable",Tableau3[''FEDER''])</f>
        <v>0</v>
      </c>
      <c r="BG31" s="34">
        <f>SUMIF(Tableau3[Avis],"0",Tableau3[''FEDER''])</f>
        <v>-14.979999999995925</v>
      </c>
      <c r="CM31" s="34"/>
      <c r="CN31" s="34"/>
      <c r="CO31" s="34"/>
      <c r="CP31" s="34"/>
      <c r="CQ31" s="34"/>
      <c r="CR31" s="34"/>
      <c r="CS31" s="34"/>
      <c r="CT31" s="34"/>
      <c r="CU31" s="34"/>
      <c r="CV31" s="34"/>
      <c r="CW31" s="34"/>
      <c r="CX31" s="34"/>
      <c r="CY31" s="34"/>
      <c r="CZ31" s="34"/>
      <c r="DA31" s="34"/>
      <c r="DB31" s="34"/>
      <c r="DC31" s="34"/>
      <c r="DD31" s="34"/>
      <c r="DE31" s="34"/>
      <c r="DF31" s="34"/>
      <c r="DG31" s="34"/>
      <c r="DH31" s="34"/>
    </row>
    <row r="32" spans="1:112" x14ac:dyDescent="0.25">
      <c r="AY32" s="37" t="s">
        <v>46</v>
      </c>
      <c r="AZ32" s="49">
        <f>SUMIF(Tableau_Lancer_la_requête_à_partir_de_Excel_Files3[Avis Prog],"1-Favorable",Tableau3[Etat])</f>
        <v>0</v>
      </c>
      <c r="BB32" s="34">
        <f>SUMIF(Tableau3[Avis],"1-Favorable",Tableau3[Etat])</f>
        <v>0</v>
      </c>
      <c r="BG32" s="34">
        <f>SUMIF(Tableau3[Avis],"0",Tableau3[Etat])</f>
        <v>22034</v>
      </c>
      <c r="CM32" s="34"/>
      <c r="CN32" s="34"/>
      <c r="CO32" s="34"/>
      <c r="CP32" s="34"/>
      <c r="CQ32" s="34"/>
      <c r="CR32" s="34"/>
      <c r="CS32" s="34"/>
      <c r="CT32" s="34"/>
      <c r="CU32" s="34"/>
      <c r="CV32" s="34"/>
      <c r="CW32" s="34"/>
      <c r="CX32" s="34"/>
      <c r="CY32" s="34"/>
      <c r="CZ32" s="34"/>
      <c r="DA32" s="34"/>
      <c r="DB32" s="34"/>
      <c r="DC32" s="34"/>
      <c r="DD32" s="34"/>
      <c r="DE32" s="34"/>
      <c r="DF32" s="34"/>
      <c r="DG32" s="34"/>
      <c r="DH32" s="34"/>
    </row>
    <row r="33" spans="51:112" x14ac:dyDescent="0.25">
      <c r="AY33" s="37" t="s">
        <v>47</v>
      </c>
      <c r="AZ33" s="49">
        <f>SUMIF(Tableau_Lancer_la_requête_à_partir_de_Excel_Files3[Avis Prog],"1-Favorable",Tableau3[Régions])</f>
        <v>0</v>
      </c>
      <c r="BB33" s="34">
        <f>SUMIF(Tableau3[Avis],"1-Favorable",Tableau3[Régions])</f>
        <v>0</v>
      </c>
      <c r="BG33" s="34">
        <f>SUMIF(Tableau3[Avis],"0",Tableau3[Régions])</f>
        <v>35886</v>
      </c>
      <c r="CM33" s="34"/>
      <c r="CN33" s="34"/>
      <c r="CO33" s="34"/>
      <c r="CP33" s="34"/>
      <c r="CQ33" s="34"/>
      <c r="CR33" s="34"/>
      <c r="CS33" s="34"/>
      <c r="CT33" s="34"/>
      <c r="CU33" s="34"/>
      <c r="CV33" s="34"/>
      <c r="CW33" s="34"/>
      <c r="CX33" s="34"/>
      <c r="CY33" s="34"/>
      <c r="CZ33" s="34"/>
      <c r="DA33" s="34"/>
      <c r="DB33" s="34"/>
      <c r="DC33" s="34"/>
      <c r="DD33" s="34"/>
      <c r="DE33" s="34"/>
      <c r="DF33" s="34"/>
      <c r="DG33" s="34"/>
      <c r="DH33" s="34"/>
    </row>
    <row r="34" spans="51:112" x14ac:dyDescent="0.25">
      <c r="AY34" s="49" t="s">
        <v>59</v>
      </c>
      <c r="AZ34" s="49">
        <f>SUMIF(Tableau_Lancer_la_requête_à_partir_de_Excel_Files3[Avis Prog],"1-Favorable",Tableau3[''ALPC''])</f>
        <v>0</v>
      </c>
      <c r="BB34" s="34">
        <f>SUMIF(Tableau3[Avis],"1-Favorable",Tableau3[''ALPC''])</f>
        <v>0</v>
      </c>
      <c r="BG34" s="34">
        <f>SUMIF(Tableau3[Avis],"0",Tableau3[''ALPC''])</f>
        <v>0</v>
      </c>
      <c r="CM34" s="34"/>
      <c r="CN34" s="34"/>
      <c r="CO34" s="34"/>
      <c r="CP34" s="34"/>
      <c r="CQ34" s="34"/>
      <c r="CR34" s="34"/>
      <c r="CS34" s="34"/>
      <c r="CT34" s="34"/>
      <c r="CU34" s="34"/>
      <c r="CV34" s="34"/>
      <c r="CW34" s="34"/>
      <c r="CX34" s="34"/>
      <c r="CY34" s="34"/>
      <c r="CZ34" s="34"/>
      <c r="DA34" s="34"/>
      <c r="DB34" s="34"/>
      <c r="DC34" s="34"/>
      <c r="DD34" s="34"/>
      <c r="DE34" s="34"/>
      <c r="DF34" s="34"/>
      <c r="DG34" s="34"/>
      <c r="DH34" s="34"/>
    </row>
    <row r="35" spans="51:112" x14ac:dyDescent="0.25">
      <c r="AY35" s="49" t="s">
        <v>60</v>
      </c>
      <c r="AZ35" s="49">
        <f>SUMIF(Tableau_Lancer_la_requête_à_partir_de_Excel_Files3[Avis Prog],"1-Favorable",Tableau3[''AURA''])</f>
        <v>0</v>
      </c>
      <c r="BB35" s="34">
        <f>SUMIF(Tableau3[Avis],"1-Favorable",Tableau3[''AURA''])</f>
        <v>0</v>
      </c>
      <c r="BG35" s="34">
        <f>SUMIF(Tableau3[Avis],"0",Tableau3[''AURA''])</f>
        <v>-5000</v>
      </c>
      <c r="CM35" s="34"/>
      <c r="CN35" s="34"/>
      <c r="CO35" s="34"/>
      <c r="CP35" s="34"/>
      <c r="CQ35" s="34"/>
      <c r="CR35" s="34"/>
      <c r="CS35" s="34"/>
      <c r="CT35" s="34"/>
      <c r="CU35" s="34"/>
      <c r="CV35" s="34"/>
      <c r="CW35" s="34"/>
      <c r="CX35" s="34"/>
      <c r="CY35" s="34"/>
      <c r="CZ35" s="34"/>
      <c r="DA35" s="34"/>
      <c r="DB35" s="34"/>
      <c r="DC35" s="34"/>
      <c r="DD35" s="34"/>
      <c r="DE35" s="34"/>
      <c r="DF35" s="34"/>
      <c r="DG35" s="34"/>
      <c r="DH35" s="34"/>
    </row>
    <row r="36" spans="51:112" x14ac:dyDescent="0.25">
      <c r="AY36" s="49" t="s">
        <v>61</v>
      </c>
      <c r="AZ36" s="49">
        <f>SUMIF(Tableau_Lancer_la_requête_à_partir_de_Excel_Files3[Avis Prog],"1-Favorable",Tableau3[''BFC''])</f>
        <v>0</v>
      </c>
      <c r="BB36" s="34">
        <f>SUMIF(Tableau3[Avis],"1-Favorable",Tableau3[''BFC''])</f>
        <v>0</v>
      </c>
      <c r="BG36" s="34">
        <f>SUMIF(Tableau3[Avis],"0",Tableau3[''BFC''])</f>
        <v>0</v>
      </c>
      <c r="CM36" s="34"/>
      <c r="CN36" s="34"/>
      <c r="CO36" s="34"/>
      <c r="CP36" s="34"/>
      <c r="CQ36" s="34"/>
      <c r="CR36" s="34"/>
      <c r="CS36" s="34"/>
      <c r="CT36" s="34"/>
      <c r="CU36" s="34"/>
      <c r="CV36" s="34"/>
      <c r="CW36" s="34"/>
      <c r="CX36" s="34"/>
      <c r="CY36" s="34"/>
      <c r="CZ36" s="34"/>
      <c r="DA36" s="34"/>
      <c r="DB36" s="34"/>
      <c r="DC36" s="34"/>
      <c r="DD36" s="34"/>
      <c r="DE36" s="34"/>
      <c r="DF36" s="34"/>
      <c r="DG36" s="34"/>
      <c r="DH36" s="34"/>
    </row>
    <row r="37" spans="51:112" x14ac:dyDescent="0.25">
      <c r="AY37" s="49" t="s">
        <v>62</v>
      </c>
      <c r="AZ37" s="49">
        <f>SUMIF(Tableau_Lancer_la_requête_à_partir_de_Excel_Files3[Avis Prog],"1-Favorable",Tableau3[''LRMP''])</f>
        <v>0</v>
      </c>
      <c r="BB37" s="34">
        <f>SUMIF(Tableau3[Avis],"1-Favorable",Tableau3[''LRMP''])</f>
        <v>0</v>
      </c>
      <c r="BG37" s="34">
        <f>SUMIF(Tableau3[Avis],"0",Tableau3[''LRMP''])</f>
        <v>40886</v>
      </c>
      <c r="CM37" s="34"/>
      <c r="CN37" s="34"/>
      <c r="CO37" s="34"/>
      <c r="CP37" s="34"/>
      <c r="CQ37" s="34"/>
      <c r="CR37" s="34"/>
      <c r="CS37" s="34"/>
      <c r="CT37" s="34"/>
      <c r="CU37" s="34"/>
      <c r="CV37" s="34"/>
      <c r="CW37" s="34"/>
      <c r="CX37" s="34"/>
      <c r="CY37" s="34"/>
      <c r="CZ37" s="34"/>
      <c r="DA37" s="34"/>
      <c r="DB37" s="34"/>
      <c r="DC37" s="34"/>
      <c r="DD37" s="34"/>
      <c r="DE37" s="34"/>
      <c r="DF37" s="34"/>
      <c r="DG37" s="34"/>
      <c r="DH37" s="34"/>
    </row>
    <row r="38" spans="51:112" x14ac:dyDescent="0.25">
      <c r="AY38" s="37" t="s">
        <v>48</v>
      </c>
      <c r="AZ38" s="49">
        <f>SUMIF(Tableau_Lancer_la_requête_à_partir_de_Excel_Files3[Avis Prog],"1-Favorable",Tableau3[Départements])</f>
        <v>0</v>
      </c>
      <c r="BB38" s="34">
        <f>SUMIF(Tableau3[Avis],"1-Favorable",Tableau3[Départements])</f>
        <v>0</v>
      </c>
      <c r="BG38" s="34">
        <f>SUMIF(Tableau3[Avis],"0",Tableau3[Départements])</f>
        <v>1368.63</v>
      </c>
      <c r="CM38" s="34"/>
      <c r="CN38" s="34"/>
      <c r="CO38" s="34"/>
      <c r="CP38" s="34"/>
      <c r="CQ38" s="34"/>
      <c r="CR38" s="34"/>
      <c r="CS38" s="34"/>
      <c r="CT38" s="34"/>
      <c r="CU38" s="34"/>
      <c r="CV38" s="34"/>
      <c r="CW38" s="34"/>
      <c r="CX38" s="34"/>
      <c r="CY38" s="34"/>
      <c r="CZ38" s="34"/>
      <c r="DA38" s="34"/>
      <c r="DB38" s="34"/>
      <c r="DC38" s="34"/>
      <c r="DD38" s="34"/>
      <c r="DE38" s="34"/>
      <c r="DF38" s="34"/>
      <c r="DG38" s="34"/>
      <c r="DH38" s="34"/>
    </row>
    <row r="39" spans="51:112" x14ac:dyDescent="0.25">
      <c r="AY39" s="37" t="s">
        <v>22</v>
      </c>
      <c r="AZ39" s="49">
        <f>SUMIF(Tableau_Lancer_la_requête_à_partir_de_Excel_Files3[Avis Prog],"1-Favorable",Tableau3[''03''])</f>
        <v>0</v>
      </c>
      <c r="BB39" s="34">
        <f>SUMIF(Tableau3[Avis],"1-Favorable",Tableau3[''03''])</f>
        <v>0</v>
      </c>
      <c r="BG39" s="34">
        <f>SUMIF(Tableau3[Avis],"0",Tableau3[''03''])</f>
        <v>0</v>
      </c>
      <c r="CM39" s="34"/>
      <c r="CN39" s="34"/>
      <c r="CO39" s="34"/>
      <c r="CP39" s="34"/>
      <c r="CQ39" s="34"/>
      <c r="CR39" s="34"/>
      <c r="CS39" s="34"/>
      <c r="CT39" s="34"/>
      <c r="CU39" s="34"/>
      <c r="CV39" s="34"/>
      <c r="CW39" s="34"/>
      <c r="CX39" s="34"/>
      <c r="CY39" s="34"/>
      <c r="CZ39" s="34"/>
      <c r="DA39" s="34"/>
      <c r="DB39" s="34"/>
      <c r="DC39" s="34"/>
      <c r="DD39" s="34"/>
      <c r="DE39" s="34"/>
      <c r="DF39" s="34"/>
      <c r="DG39" s="34"/>
      <c r="DH39" s="34"/>
    </row>
    <row r="40" spans="51:112" x14ac:dyDescent="0.25">
      <c r="AY40" s="37" t="s">
        <v>24</v>
      </c>
      <c r="AZ40" s="49">
        <f>SUMIF(Tableau_Lancer_la_requête_à_partir_de_Excel_Files3[Avis Prog],"1-Favorable",Tableau3[''11''])</f>
        <v>0</v>
      </c>
      <c r="BB40" s="34">
        <f>SUMIF(Tableau3[Avis],"1-Favorable",Tableau3[''11''])</f>
        <v>0</v>
      </c>
      <c r="BG40" s="34">
        <f>SUMIF(Tableau3[Avis],"0",Tableau3[''11''])</f>
        <v>0</v>
      </c>
      <c r="CM40" s="34"/>
      <c r="CN40" s="34"/>
      <c r="CO40" s="34"/>
      <c r="CP40" s="34"/>
      <c r="CQ40" s="34"/>
      <c r="CR40" s="34"/>
      <c r="CS40" s="34"/>
      <c r="CT40" s="34"/>
      <c r="CU40" s="34"/>
      <c r="CV40" s="34"/>
      <c r="CW40" s="34"/>
      <c r="CX40" s="34"/>
      <c r="CY40" s="34"/>
      <c r="CZ40" s="34"/>
      <c r="DA40" s="34"/>
      <c r="DB40" s="34"/>
      <c r="DC40" s="34"/>
      <c r="DD40" s="34"/>
      <c r="DE40" s="34"/>
      <c r="DF40" s="34"/>
      <c r="DG40" s="34"/>
      <c r="DH40" s="34"/>
    </row>
    <row r="41" spans="51:112" x14ac:dyDescent="0.25">
      <c r="AY41" s="37" t="s">
        <v>25</v>
      </c>
      <c r="AZ41" s="49">
        <f>SUMIF(Tableau_Lancer_la_requête_à_partir_de_Excel_Files3[Avis Prog],"1-Favorable",Tableau3[''12''])</f>
        <v>0</v>
      </c>
      <c r="BB41" s="34">
        <f>SUMIF(Tableau3[Avis],"1-Favorable",Tableau3[''12''])</f>
        <v>0</v>
      </c>
      <c r="BG41" s="34">
        <f>SUMIF(Tableau3[Avis],"0",Tableau3[''12''])</f>
        <v>0</v>
      </c>
      <c r="CM41" s="34"/>
      <c r="CN41" s="34"/>
      <c r="CO41" s="34"/>
      <c r="CP41" s="34"/>
      <c r="CQ41" s="34"/>
      <c r="CR41" s="34"/>
      <c r="CS41" s="34"/>
      <c r="CT41" s="34"/>
      <c r="CU41" s="34"/>
      <c r="CV41" s="34"/>
      <c r="CW41" s="34"/>
      <c r="CX41" s="34"/>
      <c r="CY41" s="34"/>
      <c r="CZ41" s="34"/>
      <c r="DA41" s="34"/>
      <c r="DB41" s="34"/>
      <c r="DC41" s="34"/>
      <c r="DD41" s="34"/>
      <c r="DE41" s="34"/>
      <c r="DF41" s="34"/>
      <c r="DG41" s="34"/>
      <c r="DH41" s="34"/>
    </row>
    <row r="42" spans="51:112" x14ac:dyDescent="0.25">
      <c r="AY42" s="37" t="s">
        <v>26</v>
      </c>
      <c r="AZ42" s="49">
        <f>SUMIF(Tableau_Lancer_la_requête_à_partir_de_Excel_Files3[Avis Prog],"1-Favorable",Tableau3[''15''])</f>
        <v>0</v>
      </c>
      <c r="BB42" s="34">
        <f>SUMIF(Tableau3[Avis],"1-Favorable",Tableau3[''15''])</f>
        <v>0</v>
      </c>
      <c r="BG42" s="34">
        <f>SUMIF(Tableau3[Avis],"0",Tableau3[''15''])</f>
        <v>0</v>
      </c>
      <c r="CM42" s="34"/>
      <c r="CN42" s="34"/>
      <c r="CO42" s="34"/>
      <c r="CP42" s="34"/>
      <c r="CQ42" s="34"/>
      <c r="CR42" s="34"/>
      <c r="CS42" s="34"/>
      <c r="CT42" s="34"/>
      <c r="CU42" s="34"/>
      <c r="CV42" s="34"/>
      <c r="CW42" s="34"/>
      <c r="CX42" s="34"/>
      <c r="CY42" s="34"/>
      <c r="CZ42" s="34"/>
      <c r="DA42" s="34"/>
      <c r="DB42" s="34"/>
      <c r="DC42" s="34"/>
      <c r="DD42" s="34"/>
      <c r="DE42" s="34"/>
      <c r="DF42" s="34"/>
      <c r="DG42" s="34"/>
      <c r="DH42" s="34"/>
    </row>
    <row r="43" spans="51:112" x14ac:dyDescent="0.25">
      <c r="AY43" s="37" t="s">
        <v>27</v>
      </c>
      <c r="AZ43" s="49">
        <f>SUMIF(Tableau_Lancer_la_requête_à_partir_de_Excel_Files3[Avis Prog],"1-Favorable",Tableau3[''19''])</f>
        <v>0</v>
      </c>
      <c r="BB43" s="34">
        <f>SUMIF(Tableau3[Avis],"1-Favorable",Tableau3[''19''])</f>
        <v>0</v>
      </c>
      <c r="BG43" s="34">
        <f>SUMIF(Tableau3[Avis],"0",Tableau3[''19''])</f>
        <v>0</v>
      </c>
      <c r="CM43" s="34"/>
      <c r="CN43" s="34"/>
      <c r="CO43" s="34"/>
      <c r="CP43" s="34"/>
      <c r="CQ43" s="34"/>
      <c r="CR43" s="34"/>
      <c r="CS43" s="34"/>
      <c r="CT43" s="34"/>
      <c r="CU43" s="34"/>
      <c r="CV43" s="34"/>
      <c r="CW43" s="34"/>
      <c r="CX43" s="34"/>
      <c r="CY43" s="34"/>
      <c r="CZ43" s="34"/>
      <c r="DA43" s="34"/>
      <c r="DB43" s="34"/>
      <c r="DC43" s="34"/>
      <c r="DD43" s="34"/>
      <c r="DE43" s="34"/>
      <c r="DF43" s="34"/>
      <c r="DG43" s="34"/>
      <c r="DH43" s="34"/>
    </row>
    <row r="44" spans="51:112" x14ac:dyDescent="0.25">
      <c r="AY44" s="37" t="s">
        <v>28</v>
      </c>
      <c r="AZ44" s="49">
        <f>SUMIF(Tableau_Lancer_la_requête_à_partir_de_Excel_Files3[Avis Prog],"1-Favorable",Tableau3[''21''])</f>
        <v>0</v>
      </c>
      <c r="BB44" s="34">
        <f>SUMIF(Tableau3[Avis],"1-Favorable",Tableau3[''21''])</f>
        <v>0</v>
      </c>
      <c r="BG44" s="34">
        <f>SUMIF(Tableau3[Avis],"0",Tableau3[''21''])</f>
        <v>0</v>
      </c>
      <c r="CM44" s="34"/>
      <c r="CN44" s="34"/>
      <c r="CO44" s="34"/>
      <c r="CP44" s="34"/>
      <c r="CQ44" s="34"/>
      <c r="CR44" s="34"/>
      <c r="CS44" s="34"/>
      <c r="CT44" s="34"/>
      <c r="CU44" s="34"/>
      <c r="CV44" s="34"/>
      <c r="CW44" s="34"/>
      <c r="CX44" s="34"/>
      <c r="CY44" s="34"/>
      <c r="CZ44" s="34"/>
      <c r="DA44" s="34"/>
      <c r="DB44" s="34"/>
      <c r="DC44" s="34"/>
      <c r="DD44" s="34"/>
      <c r="DE44" s="34"/>
      <c r="DF44" s="34"/>
      <c r="DG44" s="34"/>
      <c r="DH44" s="34"/>
    </row>
    <row r="45" spans="51:112" x14ac:dyDescent="0.25">
      <c r="AY45" s="37" t="s">
        <v>29</v>
      </c>
      <c r="AZ45" s="49">
        <f>SUMIF(Tableau_Lancer_la_requête_à_partir_de_Excel_Files3[Avis Prog],"1-Favorable",Tableau3[''23''])</f>
        <v>0</v>
      </c>
      <c r="BB45" s="34">
        <f>SUMIF(Tableau3[Avis],"1-Favorable",Tableau3[''23''])</f>
        <v>0</v>
      </c>
      <c r="BG45" s="34">
        <f>SUMIF(Tableau3[Avis],"0",Tableau3[''23''])</f>
        <v>0</v>
      </c>
      <c r="CM45" s="34"/>
      <c r="CN45" s="34"/>
      <c r="CO45" s="34"/>
      <c r="CP45" s="34"/>
      <c r="CQ45" s="34"/>
      <c r="CR45" s="34"/>
      <c r="CS45" s="34"/>
      <c r="CT45" s="34"/>
      <c r="CU45" s="34"/>
      <c r="CV45" s="34"/>
      <c r="CW45" s="34"/>
      <c r="CX45" s="34"/>
      <c r="CY45" s="34"/>
      <c r="CZ45" s="34"/>
      <c r="DA45" s="34"/>
      <c r="DB45" s="34"/>
      <c r="DC45" s="34"/>
      <c r="DD45" s="34"/>
      <c r="DE45" s="34"/>
      <c r="DF45" s="34"/>
      <c r="DG45" s="34"/>
      <c r="DH45" s="34"/>
    </row>
    <row r="46" spans="51:112" x14ac:dyDescent="0.25">
      <c r="AY46" s="37" t="s">
        <v>30</v>
      </c>
      <c r="AZ46" s="49">
        <f>SUMIF(Tableau_Lancer_la_requête_à_partir_de_Excel_Files3[Avis Prog],"1-Favorable",Tableau3[''30''])</f>
        <v>0</v>
      </c>
      <c r="BB46" s="34">
        <f>SUMIF(Tableau3[Avis],"1-Favorable",Tableau3[''30''])</f>
        <v>0</v>
      </c>
      <c r="BG46" s="34">
        <f>SUMIF(Tableau3[Avis],"0",Tableau3[''30''])</f>
        <v>0</v>
      </c>
      <c r="CM46" s="34"/>
      <c r="CN46" s="34"/>
      <c r="CO46" s="34"/>
      <c r="CP46" s="34"/>
      <c r="CQ46" s="34"/>
      <c r="CR46" s="34"/>
      <c r="CS46" s="34"/>
      <c r="CT46" s="34"/>
      <c r="CU46" s="34"/>
      <c r="CV46" s="34"/>
      <c r="CW46" s="34"/>
      <c r="CX46" s="34"/>
      <c r="CY46" s="34"/>
      <c r="CZ46" s="34"/>
      <c r="DA46" s="34"/>
      <c r="DB46" s="34"/>
      <c r="DC46" s="34"/>
      <c r="DD46" s="34"/>
      <c r="DE46" s="34"/>
      <c r="DF46" s="34"/>
      <c r="DG46" s="34"/>
      <c r="DH46" s="34"/>
    </row>
    <row r="47" spans="51:112" x14ac:dyDescent="0.25">
      <c r="AY47" s="37" t="s">
        <v>31</v>
      </c>
      <c r="AZ47" s="49">
        <f>SUMIF(Tableau_Lancer_la_requête_à_partir_de_Excel_Files3[Avis Prog],"1-Favorable",Tableau3[''34''])</f>
        <v>0</v>
      </c>
      <c r="BB47" s="34">
        <f>SUMIF(Tableau3[Avis],"1-Favorable",Tableau3[''34''])</f>
        <v>0</v>
      </c>
      <c r="BG47" s="34">
        <f>SUMIF(Tableau3[Avis],"0",Tableau3[''34''])</f>
        <v>0</v>
      </c>
      <c r="CM47" s="34"/>
      <c r="CN47" s="34"/>
      <c r="CO47" s="34"/>
      <c r="CP47" s="34"/>
      <c r="CQ47" s="34"/>
      <c r="CR47" s="34"/>
      <c r="CS47" s="34"/>
      <c r="CT47" s="34"/>
      <c r="CU47" s="34"/>
      <c r="CV47" s="34"/>
      <c r="CW47" s="34"/>
      <c r="CX47" s="34"/>
      <c r="CY47" s="34"/>
      <c r="CZ47" s="34"/>
      <c r="DA47" s="34"/>
      <c r="DB47" s="34"/>
      <c r="DC47" s="34"/>
      <c r="DD47" s="34"/>
      <c r="DE47" s="34"/>
      <c r="DF47" s="34"/>
      <c r="DG47" s="34"/>
      <c r="DH47" s="34"/>
    </row>
    <row r="48" spans="51:112" x14ac:dyDescent="0.25">
      <c r="AY48" s="37" t="s">
        <v>32</v>
      </c>
      <c r="AZ48" s="49">
        <f>SUMIF(Tableau_Lancer_la_requête_à_partir_de_Excel_Files3[Avis Prog],"1-Favorable",Tableau3[''42''])</f>
        <v>0</v>
      </c>
      <c r="BB48" s="34">
        <f>SUMIF(Tableau3[Avis],"1-Favorable",Tableau3[''42''])</f>
        <v>0</v>
      </c>
      <c r="BG48" s="34">
        <f>SUMIF(Tableau3[Avis],"0",Tableau3[''42''])</f>
        <v>0</v>
      </c>
      <c r="CM48" s="34"/>
      <c r="CN48" s="34"/>
      <c r="CO48" s="34"/>
      <c r="CP48" s="34"/>
      <c r="CQ48" s="34"/>
      <c r="CR48" s="34"/>
      <c r="CS48" s="34"/>
      <c r="CT48" s="34"/>
      <c r="CU48" s="34"/>
      <c r="CV48" s="34"/>
      <c r="CW48" s="34"/>
      <c r="CX48" s="34"/>
      <c r="CY48" s="34"/>
      <c r="CZ48" s="34"/>
      <c r="DA48" s="34"/>
      <c r="DB48" s="34"/>
      <c r="DC48" s="34"/>
      <c r="DD48" s="34"/>
      <c r="DE48" s="34"/>
      <c r="DF48" s="34"/>
      <c r="DG48" s="34"/>
      <c r="DH48" s="34"/>
    </row>
    <row r="49" spans="51:112" x14ac:dyDescent="0.25">
      <c r="AY49" s="37" t="s">
        <v>33</v>
      </c>
      <c r="AZ49" s="49">
        <f>SUMIF(Tableau_Lancer_la_requête_à_partir_de_Excel_Files3[Avis Prog],"1-Favorable",Tableau3[''43''])</f>
        <v>0</v>
      </c>
      <c r="BB49" s="34">
        <f>SUMIF(Tableau3[Avis],"1-Favorable",Tableau3[''43''])</f>
        <v>0</v>
      </c>
      <c r="BG49" s="34">
        <f>SUMIF(Tableau3[Avis],"0",Tableau3[''43''])</f>
        <v>0</v>
      </c>
      <c r="CM49" s="34"/>
      <c r="CN49" s="34"/>
      <c r="CO49" s="34"/>
      <c r="CP49" s="34"/>
      <c r="CQ49" s="34"/>
      <c r="CR49" s="34"/>
      <c r="CS49" s="34"/>
      <c r="CT49" s="34"/>
      <c r="CU49" s="34"/>
      <c r="CV49" s="34"/>
      <c r="CW49" s="34"/>
      <c r="CX49" s="34"/>
      <c r="CY49" s="34"/>
      <c r="CZ49" s="34"/>
      <c r="DA49" s="34"/>
      <c r="DB49" s="34"/>
      <c r="DC49" s="34"/>
      <c r="DD49" s="34"/>
      <c r="DE49" s="34"/>
      <c r="DF49" s="34"/>
      <c r="DG49" s="34"/>
      <c r="DH49" s="34"/>
    </row>
    <row r="50" spans="51:112" x14ac:dyDescent="0.25">
      <c r="AY50" s="37" t="s">
        <v>34</v>
      </c>
      <c r="AZ50" s="49">
        <f>SUMIF(Tableau_Lancer_la_requête_à_partir_de_Excel_Files3[Avis Prog],"1-Favorable",Tableau3[''46''])</f>
        <v>0</v>
      </c>
      <c r="BB50" s="34">
        <f>SUMIF(Tableau3[Avis],"1-Favorable",Tableau3[''46''])</f>
        <v>0</v>
      </c>
      <c r="BG50" s="34">
        <f>SUMIF(Tableau3[Avis],"0",Tableau3[''46''])</f>
        <v>0</v>
      </c>
      <c r="CM50" s="34"/>
      <c r="CN50" s="34"/>
      <c r="CO50" s="34"/>
      <c r="CP50" s="34"/>
      <c r="CQ50" s="34"/>
      <c r="CR50" s="34"/>
      <c r="CS50" s="34"/>
      <c r="CT50" s="34"/>
      <c r="CU50" s="34"/>
      <c r="CV50" s="34"/>
      <c r="CW50" s="34"/>
      <c r="CX50" s="34"/>
      <c r="CY50" s="34"/>
      <c r="CZ50" s="34"/>
      <c r="DA50" s="34"/>
      <c r="DB50" s="34"/>
      <c r="DC50" s="34"/>
      <c r="DD50" s="34"/>
      <c r="DE50" s="34"/>
      <c r="DF50" s="34"/>
      <c r="DG50" s="34"/>
      <c r="DH50" s="34"/>
    </row>
    <row r="51" spans="51:112" x14ac:dyDescent="0.25">
      <c r="AY51" s="37" t="s">
        <v>35</v>
      </c>
      <c r="AZ51" s="49">
        <f>SUMIF(Tableau_Lancer_la_requête_à_partir_de_Excel_Files3[Avis Prog],"1-Favorable",Tableau3[''48''])</f>
        <v>0</v>
      </c>
      <c r="BB51" s="34">
        <f>SUMIF(Tableau3[Avis],"1-Favorable",Tableau3[''48''])</f>
        <v>0</v>
      </c>
      <c r="BG51" s="34">
        <f>SUMIF(Tableau3[Avis],"0",Tableau3[''48''])</f>
        <v>0</v>
      </c>
      <c r="CM51" s="34"/>
      <c r="CN51" s="34"/>
      <c r="CO51" s="34"/>
      <c r="CP51" s="34"/>
      <c r="CQ51" s="34"/>
      <c r="CR51" s="34"/>
      <c r="CS51" s="34"/>
      <c r="CT51" s="34"/>
      <c r="CU51" s="34"/>
      <c r="CV51" s="34"/>
      <c r="CW51" s="34"/>
      <c r="CX51" s="34"/>
      <c r="CY51" s="34"/>
      <c r="CZ51" s="34"/>
      <c r="DA51" s="34"/>
      <c r="DB51" s="34"/>
      <c r="DC51" s="34"/>
      <c r="DD51" s="34"/>
      <c r="DE51" s="34"/>
      <c r="DF51" s="34"/>
      <c r="DG51" s="34"/>
      <c r="DH51" s="34"/>
    </row>
    <row r="52" spans="51:112" x14ac:dyDescent="0.25">
      <c r="AY52" s="37" t="s">
        <v>36</v>
      </c>
      <c r="AZ52" s="49">
        <f>SUMIF(Tableau_Lancer_la_requête_à_partir_de_Excel_Files3[Avis Prog],"1-Favorable",Tableau3[''58''])</f>
        <v>0</v>
      </c>
      <c r="BB52" s="34">
        <f>SUMIF(Tableau3[Avis],"1-Favorable",Tableau3[''58''])</f>
        <v>0</v>
      </c>
      <c r="BG52" s="34">
        <f>SUMIF(Tableau3[Avis],"0",Tableau3[''58''])</f>
        <v>0</v>
      </c>
      <c r="CM52" s="34"/>
      <c r="CN52" s="34"/>
      <c r="CO52" s="34"/>
      <c r="CP52" s="34"/>
      <c r="CQ52" s="34"/>
      <c r="CR52" s="34"/>
      <c r="CS52" s="34"/>
      <c r="CT52" s="34"/>
      <c r="CU52" s="34"/>
      <c r="CV52" s="34"/>
      <c r="CW52" s="34"/>
      <c r="CX52" s="34"/>
      <c r="CY52" s="34"/>
      <c r="CZ52" s="34"/>
      <c r="DA52" s="34"/>
      <c r="DB52" s="34"/>
      <c r="DC52" s="34"/>
      <c r="DD52" s="34"/>
      <c r="DE52" s="34"/>
      <c r="DF52" s="34"/>
      <c r="DG52" s="34"/>
      <c r="DH52" s="34"/>
    </row>
    <row r="53" spans="51:112" x14ac:dyDescent="0.25">
      <c r="AY53" s="37" t="s">
        <v>37</v>
      </c>
      <c r="AZ53" s="49">
        <f>SUMIF(Tableau_Lancer_la_requête_à_partir_de_Excel_Files3[Avis Prog],"1-Favorable",Tableau3[''63''])</f>
        <v>0</v>
      </c>
      <c r="BB53" s="34">
        <f>SUMIF(Tableau3[Avis],"1-Favorable",Tableau3[''63''])</f>
        <v>0</v>
      </c>
      <c r="BG53" s="34">
        <f>SUMIF(Tableau3[Avis],"0",Tableau3[''63''])</f>
        <v>1368.63</v>
      </c>
      <c r="CM53" s="34"/>
      <c r="CN53" s="34"/>
      <c r="CO53" s="34"/>
      <c r="CP53" s="34"/>
      <c r="CQ53" s="34"/>
      <c r="CR53" s="34"/>
      <c r="CS53" s="34"/>
      <c r="CT53" s="34"/>
      <c r="CU53" s="34"/>
      <c r="CV53" s="34"/>
      <c r="CW53" s="34"/>
      <c r="CX53" s="34"/>
      <c r="CY53" s="34"/>
      <c r="CZ53" s="34"/>
      <c r="DA53" s="34"/>
      <c r="DB53" s="34"/>
      <c r="DC53" s="34"/>
      <c r="DD53" s="34"/>
      <c r="DE53" s="34"/>
      <c r="DF53" s="34"/>
      <c r="DG53" s="34"/>
      <c r="DH53" s="34"/>
    </row>
    <row r="54" spans="51:112" x14ac:dyDescent="0.25">
      <c r="AY54" s="37" t="s">
        <v>38</v>
      </c>
      <c r="AZ54" s="49">
        <f>SUMIF(Tableau_Lancer_la_requête_à_partir_de_Excel_Files3[Avis Prog],"1-Favorable",Tableau3[''69''])</f>
        <v>0</v>
      </c>
      <c r="BB54" s="34">
        <f>SUMIF(Tableau3[Avis],"1-Favorable",Tableau3[''69''])</f>
        <v>0</v>
      </c>
      <c r="BG54" s="34">
        <f>SUMIF(Tableau3[Avis],"0",Tableau3[''69''])</f>
        <v>0</v>
      </c>
      <c r="CM54" s="34"/>
      <c r="CN54" s="34"/>
      <c r="CO54" s="34"/>
      <c r="CP54" s="34"/>
      <c r="CQ54" s="34"/>
      <c r="CR54" s="34"/>
      <c r="CS54" s="34"/>
      <c r="CT54" s="34"/>
      <c r="CU54" s="34"/>
      <c r="CV54" s="34"/>
      <c r="CW54" s="34"/>
      <c r="CX54" s="34"/>
      <c r="CY54" s="34"/>
      <c r="CZ54" s="34"/>
      <c r="DA54" s="34"/>
      <c r="DB54" s="34"/>
      <c r="DC54" s="34"/>
      <c r="DD54" s="34"/>
      <c r="DE54" s="34"/>
      <c r="DF54" s="34"/>
      <c r="DG54" s="34"/>
      <c r="DH54" s="34"/>
    </row>
    <row r="55" spans="51:112" x14ac:dyDescent="0.25">
      <c r="AY55" s="37" t="s">
        <v>39</v>
      </c>
      <c r="AZ55" s="49">
        <f>SUMIF(Tableau_Lancer_la_requête_à_partir_de_Excel_Files3[Avis Prog],"1-Favorable",Tableau3[''71''])</f>
        <v>0</v>
      </c>
      <c r="BB55" s="34">
        <f>SUMIF(Tableau3[Avis],"1-Favorable",Tableau3[''71''])</f>
        <v>0</v>
      </c>
      <c r="BG55" s="34">
        <f>SUMIF(Tableau3[Avis],"0",Tableau3[''71''])</f>
        <v>0</v>
      </c>
      <c r="CM55" s="34"/>
      <c r="CN55" s="34"/>
      <c r="CO55" s="34"/>
      <c r="CP55" s="34"/>
      <c r="CQ55" s="34"/>
      <c r="CR55" s="34"/>
      <c r="CS55" s="34"/>
      <c r="CT55" s="34"/>
      <c r="CU55" s="34"/>
      <c r="CV55" s="34"/>
      <c r="CW55" s="34"/>
      <c r="CX55" s="34"/>
      <c r="CY55" s="34"/>
      <c r="CZ55" s="34"/>
      <c r="DA55" s="34"/>
      <c r="DB55" s="34"/>
      <c r="DC55" s="34"/>
      <c r="DD55" s="34"/>
      <c r="DE55" s="34"/>
      <c r="DF55" s="34"/>
      <c r="DG55" s="34"/>
      <c r="DH55" s="34"/>
    </row>
    <row r="56" spans="51:112" x14ac:dyDescent="0.25">
      <c r="AY56" s="37" t="s">
        <v>40</v>
      </c>
      <c r="AZ56" s="49">
        <f>SUMIF(Tableau_Lancer_la_requête_à_partir_de_Excel_Files3[Avis Prog],"1-Favorable",Tableau3[''81''])</f>
        <v>0</v>
      </c>
      <c r="BB56" s="34">
        <f>SUMIF(Tableau3[Avis],"1-Favorable",Tableau3[''81''])</f>
        <v>0</v>
      </c>
      <c r="BG56" s="34">
        <f>SUMIF(Tableau3[Avis],"0",Tableau3[''81''])</f>
        <v>0</v>
      </c>
      <c r="CM56" s="34"/>
      <c r="CN56" s="34"/>
      <c r="CO56" s="34"/>
      <c r="CP56" s="34"/>
      <c r="CQ56" s="34"/>
      <c r="CR56" s="34"/>
      <c r="CS56" s="34"/>
      <c r="CT56" s="34"/>
      <c r="CU56" s="34"/>
      <c r="CV56" s="34"/>
      <c r="CW56" s="34"/>
      <c r="CX56" s="34"/>
      <c r="CY56" s="34"/>
      <c r="CZ56" s="34"/>
      <c r="DA56" s="34"/>
      <c r="DB56" s="34"/>
      <c r="DC56" s="34"/>
      <c r="DD56" s="34"/>
      <c r="DE56" s="34"/>
      <c r="DF56" s="34"/>
      <c r="DG56" s="34"/>
      <c r="DH56" s="34"/>
    </row>
    <row r="57" spans="51:112" x14ac:dyDescent="0.25">
      <c r="AY57" s="37" t="s">
        <v>41</v>
      </c>
      <c r="AZ57" s="49">
        <f>SUMIF(Tableau_Lancer_la_requête_à_partir_de_Excel_Files3[Avis Prog],"1-Favorable",Tableau3[''82''])</f>
        <v>0</v>
      </c>
      <c r="BB57" s="34">
        <f>SUMIF(Tableau3[Avis],"1-Favorable",Tableau3[''82''])</f>
        <v>0</v>
      </c>
      <c r="BG57" s="34">
        <f>SUMIF(Tableau3[Avis],"0",Tableau3[''82''])</f>
        <v>0</v>
      </c>
      <c r="CM57" s="34"/>
      <c r="CN57" s="34"/>
      <c r="CO57" s="34"/>
      <c r="CP57" s="34"/>
      <c r="CQ57" s="34"/>
      <c r="CR57" s="34"/>
      <c r="CS57" s="34"/>
      <c r="CT57" s="34"/>
      <c r="CU57" s="34"/>
      <c r="CV57" s="34"/>
      <c r="CW57" s="34"/>
      <c r="CX57" s="34"/>
      <c r="CY57" s="34"/>
      <c r="CZ57" s="34"/>
      <c r="DA57" s="34"/>
      <c r="DB57" s="34"/>
      <c r="DC57" s="34"/>
      <c r="DD57" s="34"/>
      <c r="DE57" s="34"/>
      <c r="DF57" s="34"/>
      <c r="DG57" s="34"/>
      <c r="DH57" s="34"/>
    </row>
    <row r="58" spans="51:112" x14ac:dyDescent="0.25">
      <c r="AY58" s="37" t="s">
        <v>42</v>
      </c>
      <c r="AZ58" s="49">
        <f>SUMIF(Tableau_Lancer_la_requête_à_partir_de_Excel_Files3[Avis Prog],"1-Favorable",Tableau3[''87''])</f>
        <v>0</v>
      </c>
      <c r="BB58" s="34">
        <f>SUMIF(Tableau3[Avis],"1-Favorable",Tableau3[''87''])</f>
        <v>0</v>
      </c>
      <c r="BG58" s="34">
        <f>SUMIF(Tableau3[Avis],"0",Tableau3[''87''])</f>
        <v>0</v>
      </c>
      <c r="CM58" s="34"/>
      <c r="CN58" s="34"/>
      <c r="CO58" s="34"/>
      <c r="CP58" s="34"/>
      <c r="CQ58" s="34"/>
      <c r="CR58" s="34"/>
      <c r="CS58" s="34"/>
      <c r="CT58" s="34"/>
      <c r="CU58" s="34"/>
      <c r="CV58" s="34"/>
      <c r="CW58" s="34"/>
      <c r="CX58" s="34"/>
      <c r="CY58" s="34"/>
      <c r="CZ58" s="34"/>
      <c r="DA58" s="34"/>
      <c r="DB58" s="34"/>
      <c r="DC58" s="34"/>
      <c r="DD58" s="34"/>
      <c r="DE58" s="34"/>
      <c r="DF58" s="34"/>
      <c r="DG58" s="34"/>
      <c r="DH58" s="34"/>
    </row>
    <row r="59" spans="51:112" x14ac:dyDescent="0.25">
      <c r="AY59" s="37" t="s">
        <v>43</v>
      </c>
      <c r="AZ59" s="49">
        <f>SUMIF(Tableau_Lancer_la_requête_à_partir_de_Excel_Files3[Avis Prog],"1-Favorable",Tableau3[''89''])</f>
        <v>0</v>
      </c>
      <c r="BB59" s="34">
        <f>SUMIF(Tableau3[Avis],"1-Favorable",Tableau3[''89''])</f>
        <v>0</v>
      </c>
      <c r="BG59" s="34">
        <f>SUMIF(Tableau3[Avis],"0",Tableau3[''89''])</f>
        <v>0</v>
      </c>
      <c r="CM59" s="34"/>
      <c r="CN59" s="34"/>
      <c r="CO59" s="34"/>
      <c r="CP59" s="34"/>
      <c r="CQ59" s="34"/>
      <c r="CR59" s="34"/>
      <c r="CS59" s="34"/>
      <c r="CT59" s="34"/>
      <c r="CU59" s="34"/>
      <c r="CV59" s="34"/>
      <c r="CW59" s="34"/>
      <c r="CX59" s="34"/>
      <c r="CY59" s="34"/>
      <c r="CZ59" s="34"/>
      <c r="DA59" s="34"/>
      <c r="DB59" s="34"/>
      <c r="DC59" s="34"/>
      <c r="DD59" s="34"/>
      <c r="DE59" s="34"/>
      <c r="DF59" s="34"/>
      <c r="DG59" s="34"/>
      <c r="DH59" s="34"/>
    </row>
    <row r="60" spans="51:112" x14ac:dyDescent="0.25">
      <c r="CM60" s="34"/>
      <c r="CN60" s="34"/>
      <c r="CO60" s="34"/>
      <c r="CP60" s="34"/>
      <c r="CQ60" s="34"/>
      <c r="CR60" s="34"/>
      <c r="CS60" s="34"/>
      <c r="CT60" s="34"/>
      <c r="CU60" s="34"/>
      <c r="CV60" s="34"/>
      <c r="CW60" s="34"/>
      <c r="CX60" s="34"/>
      <c r="CY60" s="34"/>
      <c r="CZ60" s="34"/>
      <c r="DA60" s="34"/>
      <c r="DB60" s="34"/>
      <c r="DC60" s="34"/>
      <c r="DD60" s="34"/>
      <c r="DE60" s="34"/>
      <c r="DF60" s="34"/>
      <c r="DG60" s="34"/>
      <c r="DH60" s="34"/>
    </row>
    <row r="61" spans="51:112" x14ac:dyDescent="0.25">
      <c r="CM61" s="34"/>
      <c r="CN61" s="34"/>
      <c r="CO61" s="34"/>
      <c r="CP61" s="34"/>
      <c r="CQ61" s="34"/>
      <c r="CR61" s="34"/>
      <c r="CS61" s="34"/>
      <c r="CT61" s="34"/>
      <c r="CU61" s="34"/>
      <c r="CV61" s="34"/>
      <c r="CW61" s="34"/>
      <c r="CX61" s="34"/>
      <c r="CY61" s="34"/>
      <c r="CZ61" s="34"/>
      <c r="DA61" s="34"/>
      <c r="DB61" s="34"/>
      <c r="DC61" s="34"/>
      <c r="DD61" s="34"/>
      <c r="DE61" s="34"/>
      <c r="DF61" s="34"/>
      <c r="DG61" s="34"/>
      <c r="DH61" s="34"/>
    </row>
    <row r="62" spans="51:112" x14ac:dyDescent="0.25">
      <c r="CM62" s="34"/>
      <c r="CN62" s="34"/>
      <c r="CO62" s="34"/>
      <c r="CP62" s="34"/>
      <c r="CQ62" s="34"/>
      <c r="CR62" s="34"/>
      <c r="CS62" s="34"/>
      <c r="CT62" s="34"/>
      <c r="CU62" s="34"/>
      <c r="CV62" s="34"/>
      <c r="CW62" s="34"/>
      <c r="CX62" s="34"/>
      <c r="CY62" s="34"/>
      <c r="CZ62" s="34"/>
      <c r="DA62" s="34"/>
      <c r="DB62" s="34"/>
      <c r="DC62" s="34"/>
      <c r="DD62" s="34"/>
      <c r="DE62" s="34"/>
      <c r="DF62" s="34"/>
      <c r="DG62" s="34"/>
      <c r="DH62" s="34"/>
    </row>
    <row r="63" spans="51:112" x14ac:dyDescent="0.25">
      <c r="CM63" s="34"/>
      <c r="CN63" s="34"/>
      <c r="CO63" s="34"/>
      <c r="CP63" s="34"/>
      <c r="CQ63" s="34"/>
      <c r="CR63" s="34"/>
      <c r="CS63" s="34"/>
      <c r="CT63" s="34"/>
      <c r="CU63" s="34"/>
      <c r="CV63" s="34"/>
      <c r="CW63" s="34"/>
      <c r="CX63" s="34"/>
      <c r="CY63" s="34"/>
      <c r="CZ63" s="34"/>
      <c r="DA63" s="34"/>
      <c r="DB63" s="34"/>
      <c r="DC63" s="34"/>
      <c r="DD63" s="34"/>
      <c r="DE63" s="34"/>
      <c r="DF63" s="34"/>
      <c r="DG63" s="34"/>
      <c r="DH63" s="34"/>
    </row>
    <row r="64" spans="51:112" x14ac:dyDescent="0.25">
      <c r="CM64" s="34"/>
      <c r="CN64" s="34"/>
      <c r="CO64" s="34"/>
      <c r="CP64" s="34"/>
      <c r="CQ64" s="34"/>
      <c r="CR64" s="34"/>
      <c r="CS64" s="34"/>
      <c r="CT64" s="34"/>
      <c r="CU64" s="34"/>
      <c r="CV64" s="34"/>
      <c r="CW64" s="34"/>
      <c r="CX64" s="34"/>
      <c r="CY64" s="34"/>
      <c r="CZ64" s="34"/>
      <c r="DA64" s="34"/>
      <c r="DB64" s="34"/>
      <c r="DC64" s="34"/>
      <c r="DD64" s="34"/>
      <c r="DE64" s="34"/>
      <c r="DF64" s="34"/>
      <c r="DG64" s="34"/>
      <c r="DH64" s="34"/>
    </row>
    <row r="65" spans="84:112" x14ac:dyDescent="0.25">
      <c r="CM65" s="34"/>
      <c r="CN65" s="34"/>
      <c r="CO65" s="34"/>
      <c r="CP65" s="34"/>
      <c r="CQ65" s="34"/>
      <c r="CR65" s="34"/>
      <c r="CS65" s="34"/>
      <c r="CT65" s="34"/>
      <c r="CU65" s="34"/>
      <c r="CV65" s="34"/>
      <c r="CW65" s="34"/>
      <c r="CX65" s="34"/>
      <c r="CY65" s="34"/>
      <c r="CZ65" s="34"/>
      <c r="DA65" s="34"/>
      <c r="DB65" s="34"/>
      <c r="DC65" s="34"/>
      <c r="DD65" s="34"/>
      <c r="DE65" s="34"/>
      <c r="DF65" s="34"/>
      <c r="DG65" s="34"/>
      <c r="DH65" s="34"/>
    </row>
    <row r="66" spans="84:112" x14ac:dyDescent="0.25">
      <c r="CM66" s="34"/>
      <c r="CN66" s="34"/>
      <c r="CO66" s="34"/>
      <c r="CP66" s="34"/>
      <c r="CQ66" s="34"/>
      <c r="CR66" s="34"/>
      <c r="CS66" s="34"/>
      <c r="CT66" s="34"/>
      <c r="CU66" s="34"/>
      <c r="CV66" s="34"/>
      <c r="CW66" s="34"/>
      <c r="CX66" s="34"/>
      <c r="CY66" s="34"/>
      <c r="CZ66" s="34"/>
      <c r="DA66" s="34"/>
      <c r="DB66" s="34"/>
      <c r="DC66" s="34"/>
      <c r="DD66" s="34"/>
      <c r="DE66" s="34"/>
      <c r="DF66" s="34"/>
      <c r="DG66" s="34"/>
      <c r="DH66" s="34"/>
    </row>
    <row r="67" spans="84:112" x14ac:dyDescent="0.25">
      <c r="CM67" s="34"/>
      <c r="CN67" s="34"/>
      <c r="CO67" s="34"/>
      <c r="CP67" s="34"/>
      <c r="CQ67" s="34"/>
      <c r="CR67" s="34"/>
      <c r="CS67" s="34"/>
      <c r="CT67" s="34"/>
      <c r="CU67" s="34"/>
      <c r="CV67" s="34"/>
      <c r="CW67" s="34"/>
      <c r="CX67" s="34"/>
      <c r="CY67" s="34"/>
      <c r="CZ67" s="34"/>
      <c r="DA67" s="34"/>
      <c r="DB67" s="34"/>
      <c r="DC67" s="34"/>
      <c r="DD67" s="34"/>
      <c r="DE67" s="34"/>
      <c r="DF67" s="34"/>
      <c r="DG67" s="34"/>
      <c r="DH67" s="34"/>
    </row>
    <row r="68" spans="84:112" x14ac:dyDescent="0.25">
      <c r="CM68" s="34"/>
      <c r="CN68" s="34"/>
      <c r="CO68" s="34"/>
      <c r="CP68" s="34"/>
      <c r="CQ68" s="34"/>
      <c r="CR68" s="34"/>
      <c r="CS68" s="34"/>
      <c r="CT68" s="34"/>
      <c r="CU68" s="34"/>
      <c r="CV68" s="34"/>
      <c r="CW68" s="34"/>
      <c r="CX68" s="34"/>
      <c r="CY68" s="34"/>
      <c r="CZ68" s="34"/>
      <c r="DA68" s="34"/>
      <c r="DB68" s="34"/>
      <c r="DC68" s="34"/>
      <c r="DD68" s="34"/>
      <c r="DE68" s="34"/>
      <c r="DF68" s="34"/>
      <c r="DG68" s="34"/>
      <c r="DH68" s="34"/>
    </row>
    <row r="69" spans="84:112" x14ac:dyDescent="0.25">
      <c r="CM69" s="34"/>
      <c r="CN69" s="34"/>
      <c r="CO69" s="34"/>
      <c r="CP69" s="34"/>
      <c r="CQ69" s="34"/>
      <c r="CR69" s="34"/>
      <c r="CS69" s="34"/>
      <c r="CT69" s="34"/>
      <c r="CU69" s="34"/>
      <c r="CV69" s="34"/>
      <c r="CW69" s="34"/>
      <c r="CX69" s="34"/>
      <c r="CY69" s="34"/>
      <c r="CZ69" s="34"/>
      <c r="DA69" s="34"/>
      <c r="DB69" s="34"/>
      <c r="DC69" s="34"/>
      <c r="DD69" s="34"/>
      <c r="DE69" s="34"/>
      <c r="DF69" s="34"/>
      <c r="DG69" s="34"/>
      <c r="DH69" s="34"/>
    </row>
    <row r="70" spans="84:112" x14ac:dyDescent="0.25">
      <c r="CM70" s="34"/>
      <c r="CN70" s="34"/>
      <c r="CO70" s="34"/>
      <c r="CP70" s="34"/>
      <c r="CQ70" s="34"/>
      <c r="CR70" s="34"/>
      <c r="CS70" s="34"/>
      <c r="CT70" s="34"/>
      <c r="CU70" s="34"/>
      <c r="CV70" s="34"/>
      <c r="CW70" s="34"/>
      <c r="CX70" s="34"/>
      <c r="CY70" s="34"/>
      <c r="CZ70" s="34"/>
      <c r="DA70" s="34"/>
      <c r="DB70" s="34"/>
      <c r="DC70" s="34"/>
      <c r="DD70" s="34"/>
      <c r="DE70" s="34"/>
      <c r="DF70" s="34"/>
      <c r="DG70" s="34"/>
      <c r="DH70" s="34"/>
    </row>
    <row r="71" spans="84:112" x14ac:dyDescent="0.25">
      <c r="CM71" s="34"/>
      <c r="CN71" s="34"/>
      <c r="CO71" s="34"/>
      <c r="CP71" s="34"/>
      <c r="CQ71" s="34"/>
      <c r="CR71" s="34"/>
      <c r="CS71" s="34"/>
      <c r="CT71" s="34"/>
      <c r="CU71" s="34"/>
      <c r="CV71" s="34"/>
      <c r="CW71" s="34"/>
      <c r="CX71" s="34"/>
      <c r="CY71" s="34"/>
      <c r="CZ71" s="34"/>
      <c r="DA71" s="34"/>
      <c r="DB71" s="34"/>
      <c r="DC71" s="34"/>
      <c r="DD71" s="34"/>
      <c r="DE71" s="34"/>
      <c r="DF71" s="34"/>
      <c r="DG71" s="34"/>
      <c r="DH71" s="34"/>
    </row>
    <row r="72" spans="84:112" x14ac:dyDescent="0.25">
      <c r="CF72" s="38"/>
      <c r="CG72" s="38"/>
      <c r="CH72" s="38"/>
      <c r="CI72" s="38"/>
      <c r="CJ72" s="38"/>
      <c r="CK72" s="38"/>
      <c r="CL72" s="38"/>
      <c r="DB72" s="34"/>
      <c r="DC72" s="34"/>
      <c r="DD72" s="34"/>
      <c r="DE72" s="34"/>
      <c r="DF72" s="34"/>
      <c r="DG72" s="34"/>
      <c r="DH72" s="34"/>
    </row>
    <row r="73" spans="84:112" x14ac:dyDescent="0.25">
      <c r="CF73" s="38"/>
      <c r="CG73" s="38"/>
      <c r="CH73" s="38"/>
      <c r="CI73" s="38"/>
      <c r="CJ73" s="38"/>
      <c r="CK73" s="38"/>
      <c r="CL73" s="38"/>
      <c r="DB73" s="34"/>
      <c r="DC73" s="34"/>
      <c r="DD73" s="34"/>
      <c r="DE73" s="34"/>
      <c r="DF73" s="34"/>
      <c r="DG73" s="34"/>
      <c r="DH73" s="34"/>
    </row>
    <row r="74" spans="84:112" x14ac:dyDescent="0.25">
      <c r="CF74" s="38"/>
      <c r="CG74" s="38"/>
      <c r="CH74" s="38"/>
      <c r="CI74" s="38"/>
      <c r="CJ74" s="38"/>
      <c r="CK74" s="38"/>
      <c r="CL74" s="38"/>
      <c r="DB74" s="34"/>
      <c r="DC74" s="34"/>
      <c r="DD74" s="34"/>
      <c r="DE74" s="34"/>
      <c r="DF74" s="34"/>
      <c r="DG74" s="34"/>
      <c r="DH74" s="34"/>
    </row>
    <row r="75" spans="84:112" x14ac:dyDescent="0.25">
      <c r="CF75" s="38"/>
      <c r="CG75" s="38"/>
      <c r="CH75" s="38"/>
      <c r="CI75" s="38"/>
      <c r="CJ75" s="38"/>
      <c r="CK75" s="38"/>
      <c r="CL75" s="38"/>
      <c r="DB75" s="34"/>
      <c r="DC75" s="34"/>
      <c r="DD75" s="34"/>
      <c r="DE75" s="34"/>
      <c r="DF75" s="34"/>
      <c r="DG75" s="34"/>
      <c r="DH75" s="34"/>
    </row>
    <row r="76" spans="84:112" x14ac:dyDescent="0.25">
      <c r="CF76" s="38"/>
      <c r="CG76" s="38"/>
      <c r="CH76" s="38"/>
      <c r="CI76" s="38"/>
      <c r="CJ76" s="38"/>
      <c r="CK76" s="38"/>
      <c r="CL76" s="38"/>
      <c r="DB76" s="34"/>
      <c r="DC76" s="34"/>
      <c r="DD76" s="34"/>
      <c r="DE76" s="34"/>
      <c r="DF76" s="34"/>
      <c r="DG76" s="34"/>
      <c r="DH76" s="34"/>
    </row>
    <row r="77" spans="84:112" x14ac:dyDescent="0.25">
      <c r="CF77" s="38"/>
      <c r="CG77" s="38"/>
      <c r="CH77" s="38"/>
      <c r="CI77" s="38"/>
      <c r="CJ77" s="38"/>
      <c r="CK77" s="38"/>
      <c r="CL77" s="38"/>
      <c r="DB77" s="34"/>
      <c r="DC77" s="34"/>
      <c r="DD77" s="34"/>
      <c r="DE77" s="34"/>
      <c r="DF77" s="34"/>
      <c r="DG77" s="34"/>
      <c r="DH77" s="34"/>
    </row>
    <row r="78" spans="84:112" x14ac:dyDescent="0.25">
      <c r="CF78" s="38"/>
      <c r="CG78" s="38"/>
      <c r="CH78" s="38"/>
      <c r="CI78" s="38"/>
      <c r="CJ78" s="38"/>
      <c r="CK78" s="38"/>
      <c r="CL78" s="38"/>
      <c r="DB78" s="34"/>
      <c r="DC78" s="34"/>
      <c r="DD78" s="34"/>
      <c r="DE78" s="34"/>
      <c r="DF78" s="34"/>
      <c r="DG78" s="34"/>
      <c r="DH78" s="34"/>
    </row>
    <row r="79" spans="84:112" x14ac:dyDescent="0.25">
      <c r="CF79" s="38"/>
      <c r="CG79" s="38"/>
      <c r="CH79" s="38"/>
      <c r="CI79" s="38"/>
      <c r="CJ79" s="38"/>
      <c r="CK79" s="38"/>
      <c r="CL79" s="38"/>
      <c r="DB79" s="34"/>
      <c r="DC79" s="34"/>
      <c r="DD79" s="34"/>
      <c r="DE79" s="34"/>
      <c r="DF79" s="34"/>
      <c r="DG79" s="34"/>
      <c r="DH79" s="34"/>
    </row>
    <row r="80" spans="84:112" x14ac:dyDescent="0.25">
      <c r="CF80" s="38"/>
      <c r="CG80" s="38"/>
      <c r="CH80" s="38"/>
      <c r="CI80" s="38"/>
      <c r="CJ80" s="38"/>
      <c r="CK80" s="38"/>
      <c r="CL80" s="38"/>
      <c r="DB80" s="34"/>
      <c r="DC80" s="34"/>
      <c r="DD80" s="34"/>
      <c r="DE80" s="34"/>
      <c r="DF80" s="34"/>
      <c r="DG80" s="34"/>
      <c r="DH80" s="34"/>
    </row>
    <row r="81" spans="84:112" x14ac:dyDescent="0.25">
      <c r="CF81" s="38"/>
      <c r="CG81" s="38"/>
      <c r="CH81" s="38"/>
      <c r="CI81" s="38"/>
      <c r="CJ81" s="38"/>
      <c r="CK81" s="38"/>
      <c r="CL81" s="38"/>
      <c r="DB81" s="34"/>
      <c r="DC81" s="34"/>
      <c r="DD81" s="34"/>
      <c r="DE81" s="34"/>
      <c r="DF81" s="34"/>
      <c r="DG81" s="34"/>
      <c r="DH81" s="34"/>
    </row>
    <row r="82" spans="84:112" x14ac:dyDescent="0.25">
      <c r="CF82" s="38"/>
      <c r="CG82" s="38"/>
      <c r="CH82" s="38"/>
      <c r="CI82" s="38"/>
      <c r="CJ82" s="38"/>
      <c r="CK82" s="38"/>
      <c r="CL82" s="38"/>
      <c r="DB82" s="34"/>
      <c r="DC82" s="34"/>
      <c r="DD82" s="34"/>
      <c r="DE82" s="34"/>
      <c r="DF82" s="34"/>
      <c r="DG82" s="34"/>
      <c r="DH82" s="34"/>
    </row>
    <row r="83" spans="84:112" x14ac:dyDescent="0.25">
      <c r="CF83" s="38"/>
      <c r="CG83" s="38"/>
      <c r="CH83" s="38"/>
      <c r="CI83" s="38"/>
      <c r="CJ83" s="38"/>
      <c r="CK83" s="38"/>
      <c r="CL83" s="38"/>
      <c r="DB83" s="34"/>
      <c r="DC83" s="34"/>
      <c r="DD83" s="34"/>
      <c r="DE83" s="34"/>
      <c r="DF83" s="34"/>
      <c r="DG83" s="34"/>
      <c r="DH83" s="34"/>
    </row>
    <row r="84" spans="84:112" x14ac:dyDescent="0.25">
      <c r="CF84" s="38"/>
      <c r="CG84" s="38"/>
      <c r="CH84" s="38"/>
      <c r="CI84" s="38"/>
      <c r="CJ84" s="38"/>
      <c r="CK84" s="38"/>
      <c r="CL84" s="38"/>
      <c r="DB84" s="34"/>
      <c r="DC84" s="34"/>
      <c r="DD84" s="34"/>
      <c r="DE84" s="34"/>
      <c r="DF84" s="34"/>
      <c r="DG84" s="34"/>
      <c r="DH84" s="34"/>
    </row>
    <row r="85" spans="84:112" x14ac:dyDescent="0.25">
      <c r="CF85" s="38"/>
      <c r="CG85" s="38"/>
      <c r="CH85" s="38"/>
      <c r="CI85" s="38"/>
      <c r="CJ85" s="38"/>
      <c r="CK85" s="38"/>
      <c r="CL85" s="38"/>
      <c r="DB85" s="34"/>
      <c r="DC85" s="34"/>
      <c r="DD85" s="34"/>
      <c r="DE85" s="34"/>
      <c r="DF85" s="34"/>
      <c r="DG85" s="34"/>
      <c r="DH85" s="34"/>
    </row>
    <row r="86" spans="84:112" x14ac:dyDescent="0.25">
      <c r="CF86" s="38"/>
      <c r="CG86" s="38"/>
      <c r="CH86" s="38"/>
      <c r="CI86" s="38"/>
      <c r="CJ86" s="38"/>
      <c r="CK86" s="38"/>
      <c r="CL86" s="38"/>
      <c r="DB86" s="34"/>
      <c r="DC86" s="34"/>
      <c r="DD86" s="34"/>
      <c r="DE86" s="34"/>
      <c r="DF86" s="34"/>
      <c r="DG86" s="34"/>
      <c r="DH86" s="34"/>
    </row>
    <row r="87" spans="84:112" x14ac:dyDescent="0.25">
      <c r="CF87" s="38"/>
      <c r="CG87" s="38"/>
      <c r="CH87" s="38"/>
      <c r="CI87" s="38"/>
      <c r="CJ87" s="38"/>
      <c r="CK87" s="38"/>
      <c r="CL87" s="38"/>
      <c r="DB87" s="34"/>
      <c r="DC87" s="34"/>
      <c r="DD87" s="34"/>
      <c r="DE87" s="34"/>
      <c r="DF87" s="34"/>
      <c r="DG87" s="34"/>
      <c r="DH87" s="34"/>
    </row>
    <row r="88" spans="84:112" x14ac:dyDescent="0.25">
      <c r="CF88" s="38"/>
      <c r="CG88" s="38"/>
      <c r="CH88" s="38"/>
      <c r="CI88" s="38"/>
      <c r="CJ88" s="38"/>
      <c r="CK88" s="38"/>
      <c r="CL88" s="38"/>
      <c r="DB88" s="34"/>
      <c r="DC88" s="34"/>
      <c r="DD88" s="34"/>
      <c r="DE88" s="34"/>
      <c r="DF88" s="34"/>
      <c r="DG88" s="34"/>
      <c r="DH88" s="34"/>
    </row>
    <row r="89" spans="84:112" x14ac:dyDescent="0.25">
      <c r="CF89" s="38"/>
      <c r="CG89" s="38"/>
      <c r="CH89" s="38"/>
      <c r="CI89" s="38"/>
      <c r="CJ89" s="38"/>
      <c r="CK89" s="38"/>
      <c r="CL89" s="38"/>
      <c r="DB89" s="34"/>
      <c r="DC89" s="34"/>
      <c r="DD89" s="34"/>
      <c r="DE89" s="34"/>
      <c r="DF89" s="34"/>
      <c r="DG89" s="34"/>
      <c r="DH89" s="34"/>
    </row>
    <row r="90" spans="84:112" x14ac:dyDescent="0.25">
      <c r="CF90" s="38"/>
      <c r="CG90" s="38"/>
      <c r="CH90" s="38"/>
      <c r="CI90" s="38"/>
      <c r="CJ90" s="38"/>
      <c r="CK90" s="38"/>
      <c r="CL90" s="38"/>
      <c r="DB90" s="34"/>
      <c r="DC90" s="34"/>
      <c r="DD90" s="34"/>
      <c r="DE90" s="34"/>
      <c r="DF90" s="34"/>
      <c r="DG90" s="34"/>
      <c r="DH90" s="34"/>
    </row>
    <row r="91" spans="84:112" x14ac:dyDescent="0.25">
      <c r="CF91" s="38"/>
      <c r="CG91" s="38"/>
      <c r="CH91" s="38"/>
      <c r="CI91" s="38"/>
      <c r="CJ91" s="38"/>
      <c r="CK91" s="38"/>
      <c r="CL91" s="38"/>
      <c r="DB91" s="34"/>
      <c r="DC91" s="34"/>
      <c r="DD91" s="34"/>
      <c r="DE91" s="34"/>
      <c r="DF91" s="34"/>
      <c r="DG91" s="34"/>
      <c r="DH91" s="34"/>
    </row>
    <row r="92" spans="84:112" x14ac:dyDescent="0.25">
      <c r="CF92" s="38"/>
      <c r="CG92" s="38"/>
      <c r="CH92" s="38"/>
      <c r="CI92" s="38"/>
      <c r="CJ92" s="38"/>
      <c r="CK92" s="38"/>
      <c r="CL92" s="38"/>
      <c r="DB92" s="34"/>
      <c r="DC92" s="34"/>
      <c r="DD92" s="34"/>
      <c r="DE92" s="34"/>
      <c r="DF92" s="34"/>
      <c r="DG92" s="34"/>
      <c r="DH92" s="34"/>
    </row>
  </sheetData>
  <conditionalFormatting sqref="I23:I1048576">
    <cfRule type="cellIs" dxfId="396" priority="39" operator="greaterThan">
      <formula>0</formula>
    </cfRule>
    <cfRule type="cellIs" dxfId="395" priority="40" operator="lessThan">
      <formula>0</formula>
    </cfRule>
  </conditionalFormatting>
  <conditionalFormatting sqref="AT7:AT22 AV7 AV9:AV21">
    <cfRule type="cellIs" dxfId="394" priority="33" operator="equal">
      <formula>"6-Retiré/Abandon"</formula>
    </cfRule>
    <cfRule type="cellIs" dxfId="393" priority="34" operator="equal">
      <formula>"5-Défavorable"</formula>
    </cfRule>
    <cfRule type="cellIs" dxfId="392" priority="35" operator="equal">
      <formula>"4-Ajournement"</formula>
    </cfRule>
    <cfRule type="cellIs" dxfId="391" priority="36" operator="equal">
      <formula>"1-Favorable"</formula>
    </cfRule>
  </conditionalFormatting>
  <conditionalFormatting sqref="AV22">
    <cfRule type="cellIs" dxfId="390" priority="1" operator="equal">
      <formula>"6-Retiré/Abandon"</formula>
    </cfRule>
    <cfRule type="cellIs" dxfId="389" priority="2" operator="equal">
      <formula>"5-Défavorable"</formula>
    </cfRule>
    <cfRule type="cellIs" dxfId="388" priority="3" operator="equal">
      <formula>"4-Ajournement"</formula>
    </cfRule>
    <cfRule type="cellIs" dxfId="387" priority="4" operator="equal">
      <formula>"1-Favorable"</formula>
    </cfRule>
  </conditionalFormatting>
  <dataValidations count="1">
    <dataValidation type="list" allowBlank="1" showInputMessage="1" showErrorMessage="1" sqref="AT7:AT21">
      <formula1>"1-Favorable,4-Ajournement,5-Défavorable,6-Retiré/Abandon"</formula1>
    </dataValidation>
  </dataValidations>
  <printOptions horizontalCentered="1" verticalCentered="1"/>
  <pageMargins left="0.25" right="0.25" top="0.75" bottom="0.75" header="0.3" footer="0.3"/>
  <pageSetup paperSize="8" scale="59" fitToHeight="0" orientation="landscape"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Itinérance</vt:lpstr>
      <vt:lpstr>Tourisme</vt:lpstr>
      <vt:lpstr>Bois</vt:lpstr>
      <vt:lpstr>Pierre</vt:lpstr>
      <vt:lpstr>Attractivité</vt:lpstr>
      <vt:lpstr>Biodiversité</vt:lpstr>
      <vt:lpstr>Agriculture</vt:lpstr>
      <vt:lpstr>AT-Ing Terr</vt:lpstr>
      <vt:lpstr>Reprog (en cours)</vt:lpstr>
      <vt:lpstr>Abandon</vt:lpstr>
      <vt:lpstr>Recap Financier</vt:lpstr>
      <vt:lpstr>Feuil1</vt:lpstr>
      <vt:lpstr>Abandon!Impression_des_titres</vt:lpstr>
      <vt:lpstr>'Reprog (en cours)'!Impression_des_titres</vt:lpstr>
      <vt:lpstr>Agriculture!Zone_d_impression</vt:lpstr>
      <vt:lpstr>'AT-Ing Terr'!Zone_d_impression</vt:lpstr>
      <vt:lpstr>Attractivité!Zone_d_impression</vt:lpstr>
      <vt:lpstr>Biodiversité!Zone_d_impression</vt:lpstr>
      <vt:lpstr>Bois!Zone_d_impression</vt:lpstr>
      <vt:lpstr>Itinérance!Zone_d_impression</vt:lpstr>
      <vt:lpstr>Pierre!Zone_d_impression</vt:lpstr>
      <vt:lpstr>Tourisme!Zone_d_impression</vt:lpstr>
    </vt:vector>
  </TitlesOfParts>
  <Company>cra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pe.melac</dc:creator>
  <cp:lastModifiedBy>C.MARIE</cp:lastModifiedBy>
  <cp:lastPrinted>2016-06-03T11:53:35Z</cp:lastPrinted>
  <dcterms:created xsi:type="dcterms:W3CDTF">2016-01-13T16:44:12Z</dcterms:created>
  <dcterms:modified xsi:type="dcterms:W3CDTF">2017-08-07T09:38:03Z</dcterms:modified>
</cp:coreProperties>
</file>