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drawings/drawing5.xml" ContentType="application/vnd.openxmlformats-officedocument.drawing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drawings/drawing6.xml" ContentType="application/vnd.openxmlformats-officedocument.drawing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drawings/drawing7.xml" ContentType="application/vnd.openxmlformats-officedocument.drawing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drawings/drawing8.xml" ContentType="application/vnd.openxmlformats-officedocument.drawing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drawings/drawing9.xml" ContentType="application/vnd.openxmlformats-officedocument.drawing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drawings/drawing10.xml" ContentType="application/vnd.openxmlformats-officedocument.drawing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drawings/drawing11.xml" ContentType="application/vnd.openxmlformats-officedocument.drawing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drawings/drawing12.xml" ContentType="application/vnd.openxmlformats-officedocument.drawing+xml"/>
  <Override PartName="/xl/tables/table16.xml" ContentType="application/vnd.openxmlformats-officedocument.spreadsheetml.table+xml"/>
  <Override PartName="/xl/queryTables/queryTable15.xml" ContentType="application/vnd.openxmlformats-officedocument.spreadsheetml.queryTable+xml"/>
  <Override PartName="/xl/tables/table17.xml" ContentType="application/vnd.openxmlformats-officedocument.spreadsheetml.table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675" windowWidth="19320" windowHeight="6150" firstSheet="1" activeTab="2"/>
  </bookViews>
  <sheets>
    <sheet name="Itinérance" sheetId="12" state="hidden" r:id="rId1"/>
    <sheet name="Tourisme" sheetId="9" r:id="rId2"/>
    <sheet name="Bois" sheetId="2" r:id="rId3"/>
    <sheet name="Pierre" sheetId="5" state="hidden" r:id="rId4"/>
    <sheet name="Attractivité-Innovation" sheetId="6" r:id="rId5"/>
    <sheet name="Centre-Bourg" sheetId="15" r:id="rId6"/>
    <sheet name="Biodiversité" sheetId="7" r:id="rId7"/>
    <sheet name="Agriculture" sheetId="8" state="hidden" r:id="rId8"/>
    <sheet name="AT-Ing Terr" sheetId="10" state="hidden" r:id="rId9"/>
    <sheet name="Filières" sheetId="16" r:id="rId10"/>
    <sheet name="Reprog (en cours)" sheetId="4" r:id="rId11"/>
    <sheet name="Abandon" sheetId="14" r:id="rId12"/>
    <sheet name="Recap Financier" sheetId="3" r:id="rId13"/>
    <sheet name="Feuil1" sheetId="11" r:id="rId14"/>
  </sheets>
  <definedNames>
    <definedName name="_xlnm.Print_Titles" localSheetId="11">Abandon!$1:$6</definedName>
    <definedName name="_xlnm.Print_Titles" localSheetId="10">'Reprog (en cours)'!$1:$6</definedName>
    <definedName name="Lancer_la_requête_à_partir_de_Excel_Files" localSheetId="11" hidden="1">Abandon!$A$6:$AS$7</definedName>
    <definedName name="Lancer_la_requête_à_partir_de_Excel_Files" localSheetId="7" hidden="1">Agriculture!#REF!</definedName>
    <definedName name="Lancer_la_requête_à_partir_de_Excel_Files" localSheetId="8" hidden="1">'AT-Ing Terr'!#REF!</definedName>
    <definedName name="Lancer_la_requête_à_partir_de_Excel_Files" localSheetId="4" hidden="1">'Attractivité-Innovation'!#REF!</definedName>
    <definedName name="Lancer_la_requête_à_partir_de_Excel_Files" localSheetId="6" hidden="1">Biodiversité!#REF!</definedName>
    <definedName name="Lancer_la_requête_à_partir_de_Excel_Files" localSheetId="2" hidden="1">Bois!#REF!</definedName>
    <definedName name="Lancer_la_requête_à_partir_de_Excel_Files" localSheetId="5" hidden="1">'Centre-Bourg'!#REF!</definedName>
    <definedName name="Lancer_la_requête_à_partir_de_Excel_Files" localSheetId="9" hidden="1">Filières!#REF!</definedName>
    <definedName name="Lancer_la_requête_à_partir_de_Excel_Files" localSheetId="0" hidden="1">Itinérance!#REF!</definedName>
    <definedName name="Lancer_la_requête_à_partir_de_Excel_Files" localSheetId="3" hidden="1">Pierre!#REF!</definedName>
    <definedName name="Lancer_la_requête_à_partir_de_Excel_Files" localSheetId="10" hidden="1">'Reprog (en cours)'!$A$6:$AS$9</definedName>
    <definedName name="Lancer_la_requête_à_partir_de_Excel_Files" localSheetId="1" hidden="1">Tourisme!#REF!</definedName>
    <definedName name="Lancer_la_requête_à_partir_de_Excel_Files_1" localSheetId="7" hidden="1">Agriculture!#REF!</definedName>
    <definedName name="Lancer_la_requête_à_partir_de_Excel_Files_1" localSheetId="8" hidden="1">'AT-Ing Terr'!#REF!</definedName>
    <definedName name="Lancer_la_requête_à_partir_de_Excel_Files_1" localSheetId="4" hidden="1">'Attractivité-Innovation'!#REF!</definedName>
    <definedName name="Lancer_la_requête_à_partir_de_Excel_Files_1" localSheetId="6" hidden="1">Biodiversité!#REF!</definedName>
    <definedName name="Lancer_la_requête_à_partir_de_Excel_Files_1" localSheetId="2" hidden="1">Bois!#REF!</definedName>
    <definedName name="Lancer_la_requête_à_partir_de_Excel_Files_1" localSheetId="5" hidden="1">'Centre-Bourg'!#REF!</definedName>
    <definedName name="Lancer_la_requête_à_partir_de_Excel_Files_1" localSheetId="9" hidden="1">Filières!#REF!</definedName>
    <definedName name="Lancer_la_requête_à_partir_de_Excel_Files_1" localSheetId="0" hidden="1">Itinérance!#REF!</definedName>
    <definedName name="Lancer_la_requête_à_partir_de_Excel_Files_1" localSheetId="3" hidden="1">Pierre!#REF!</definedName>
    <definedName name="Lancer_la_requête_à_partir_de_Excel_Files_1" localSheetId="1" hidden="1">Tourisme!#REF!</definedName>
    <definedName name="Lancer_la_requête_à_partir_de_Excel_Files_10" localSheetId="0" hidden="1">Itinérance!$A$13:$AQ$14</definedName>
    <definedName name="Lancer_la_requête_à_partir_de_Excel_Files_11" localSheetId="0" hidden="1">Itinérance!$A$19:$AQ$20</definedName>
    <definedName name="Lancer_la_requête_à_partir_de_Excel_Files_2" localSheetId="7" hidden="1">Agriculture!#REF!</definedName>
    <definedName name="Lancer_la_requête_à_partir_de_Excel_Files_2" localSheetId="8" hidden="1">'AT-Ing Terr'!#REF!</definedName>
    <definedName name="Lancer_la_requête_à_partir_de_Excel_Files_2" localSheetId="4" hidden="1">'Attractivité-Innovation'!#REF!</definedName>
    <definedName name="Lancer_la_requête_à_partir_de_Excel_Files_2" localSheetId="6" hidden="1">Biodiversité!#REF!</definedName>
    <definedName name="Lancer_la_requête_à_partir_de_Excel_Files_2" localSheetId="2" hidden="1">Bois!#REF!</definedName>
    <definedName name="Lancer_la_requête_à_partir_de_Excel_Files_2" localSheetId="5" hidden="1">'Centre-Bourg'!#REF!</definedName>
    <definedName name="Lancer_la_requête_à_partir_de_Excel_Files_2" localSheetId="9" hidden="1">Filières!#REF!</definedName>
    <definedName name="Lancer_la_requête_à_partir_de_Excel_Files_2" localSheetId="0" hidden="1">Itinérance!#REF!</definedName>
    <definedName name="Lancer_la_requête_à_partir_de_Excel_Files_2" localSheetId="3" hidden="1">Pierre!#REF!</definedName>
    <definedName name="Lancer_la_requête_à_partir_de_Excel_Files_2" localSheetId="1" hidden="1">Tourisme!#REF!</definedName>
    <definedName name="Lancer_la_requête_à_partir_de_Excel_Files_3" localSheetId="7" hidden="1">Agriculture!#REF!</definedName>
    <definedName name="Lancer_la_requête_à_partir_de_Excel_Files_3" localSheetId="8" hidden="1">'AT-Ing Terr'!#REF!</definedName>
    <definedName name="Lancer_la_requête_à_partir_de_Excel_Files_3" localSheetId="4" hidden="1">'Attractivité-Innovation'!#REF!</definedName>
    <definedName name="Lancer_la_requête_à_partir_de_Excel_Files_3" localSheetId="6" hidden="1">Biodiversité!#REF!</definedName>
    <definedName name="Lancer_la_requête_à_partir_de_Excel_Files_3" localSheetId="2" hidden="1">Bois!#REF!</definedName>
    <definedName name="Lancer_la_requête_à_partir_de_Excel_Files_3" localSheetId="5" hidden="1">'Centre-Bourg'!#REF!</definedName>
    <definedName name="Lancer_la_requête_à_partir_de_Excel_Files_3" localSheetId="9" hidden="1">Filières!#REF!</definedName>
    <definedName name="Lancer_la_requête_à_partir_de_Excel_Files_3" localSheetId="0" hidden="1">Itinérance!#REF!</definedName>
    <definedName name="Lancer_la_requête_à_partir_de_Excel_Files_3" localSheetId="3" hidden="1">Pierre!#REF!</definedName>
    <definedName name="Lancer_la_requête_à_partir_de_Excel_Files_3" localSheetId="1" hidden="1">Tourisme!#REF!</definedName>
    <definedName name="Lancer_la_requête_à_partir_de_Excel_Files_4" localSheetId="7" hidden="1">Agriculture!#REF!</definedName>
    <definedName name="Lancer_la_requête_à_partir_de_Excel_Files_4" localSheetId="8" hidden="1">'AT-Ing Terr'!#REF!</definedName>
    <definedName name="Lancer_la_requête_à_partir_de_Excel_Files_4" localSheetId="4" hidden="1">'Attractivité-Innovation'!#REF!</definedName>
    <definedName name="Lancer_la_requête_à_partir_de_Excel_Files_4" localSheetId="6" hidden="1">Biodiversité!#REF!</definedName>
    <definedName name="Lancer_la_requête_à_partir_de_Excel_Files_4" localSheetId="2" hidden="1">Bois!#REF!</definedName>
    <definedName name="Lancer_la_requête_à_partir_de_Excel_Files_4" localSheetId="5" hidden="1">'Centre-Bourg'!#REF!</definedName>
    <definedName name="Lancer_la_requête_à_partir_de_Excel_Files_4" localSheetId="9" hidden="1">Filières!#REF!</definedName>
    <definedName name="Lancer_la_requête_à_partir_de_Excel_Files_4" localSheetId="0" hidden="1">Itinérance!#REF!</definedName>
    <definedName name="Lancer_la_requête_à_partir_de_Excel_Files_4" localSheetId="3" hidden="1">Pierre!#REF!</definedName>
    <definedName name="Lancer_la_requête_à_partir_de_Excel_Files_4" localSheetId="1" hidden="1">Tourisme!#REF!</definedName>
    <definedName name="Lancer_la_requête_à_partir_de_Excel_Files_5" localSheetId="7" hidden="1">Agriculture!#REF!</definedName>
    <definedName name="Lancer_la_requête_à_partir_de_Excel_Files_5" localSheetId="8" hidden="1">'AT-Ing Terr'!#REF!</definedName>
    <definedName name="Lancer_la_requête_à_partir_de_Excel_Files_5" localSheetId="4" hidden="1">'Attractivité-Innovation'!#REF!</definedName>
    <definedName name="Lancer_la_requête_à_partir_de_Excel_Files_5" localSheetId="6" hidden="1">Biodiversité!#REF!</definedName>
    <definedName name="Lancer_la_requête_à_partir_de_Excel_Files_5" localSheetId="2" hidden="1">Bois!#REF!</definedName>
    <definedName name="Lancer_la_requête_à_partir_de_Excel_Files_5" localSheetId="5" hidden="1">'Centre-Bourg'!#REF!</definedName>
    <definedName name="Lancer_la_requête_à_partir_de_Excel_Files_5" localSheetId="9" hidden="1">Filières!#REF!</definedName>
    <definedName name="Lancer_la_requête_à_partir_de_Excel_Files_5" localSheetId="0" hidden="1">Itinérance!#REF!</definedName>
    <definedName name="Lancer_la_requête_à_partir_de_Excel_Files_5" localSheetId="3" hidden="1">Pierre!#REF!</definedName>
    <definedName name="Lancer_la_requête_à_partir_de_Excel_Files_5" localSheetId="1" hidden="1">Tourisme!#REF!</definedName>
    <definedName name="Lancer_la_requête_à_partir_de_Excel_Files_6" localSheetId="7" hidden="1">Agriculture!#REF!</definedName>
    <definedName name="Lancer_la_requête_à_partir_de_Excel_Files_6" localSheetId="8" hidden="1">'AT-Ing Terr'!#REF!</definedName>
    <definedName name="Lancer_la_requête_à_partir_de_Excel_Files_6" localSheetId="4" hidden="1">'Attractivité-Innovation'!#REF!</definedName>
    <definedName name="Lancer_la_requête_à_partir_de_Excel_Files_6" localSheetId="6" hidden="1">Biodiversité!#REF!</definedName>
    <definedName name="Lancer_la_requête_à_partir_de_Excel_Files_6" localSheetId="2" hidden="1">Bois!#REF!</definedName>
    <definedName name="Lancer_la_requête_à_partir_de_Excel_Files_6" localSheetId="5" hidden="1">'Centre-Bourg'!#REF!</definedName>
    <definedName name="Lancer_la_requête_à_partir_de_Excel_Files_6" localSheetId="9" hidden="1">Filières!#REF!</definedName>
    <definedName name="Lancer_la_requête_à_partir_de_Excel_Files_6" localSheetId="0" hidden="1">Itinérance!#REF!</definedName>
    <definedName name="Lancer_la_requête_à_partir_de_Excel_Files_6" localSheetId="3" hidden="1">Pierre!#REF!</definedName>
    <definedName name="Lancer_la_requête_à_partir_de_Excel_Files_6" localSheetId="1" hidden="1">Tourisme!#REF!</definedName>
    <definedName name="Lancer_la_requête_à_partir_de_Excel_Files_7" localSheetId="7" hidden="1">Agriculture!#REF!</definedName>
    <definedName name="Lancer_la_requête_à_partir_de_Excel_Files_7" localSheetId="8" hidden="1">'AT-Ing Terr'!#REF!</definedName>
    <definedName name="Lancer_la_requête_à_partir_de_Excel_Files_7" localSheetId="4" hidden="1">'Attractivité-Innovation'!#REF!</definedName>
    <definedName name="Lancer_la_requête_à_partir_de_Excel_Files_7" localSheetId="6" hidden="1">Biodiversité!#REF!</definedName>
    <definedName name="Lancer_la_requête_à_partir_de_Excel_Files_7" localSheetId="2" hidden="1">Bois!#REF!</definedName>
    <definedName name="Lancer_la_requête_à_partir_de_Excel_Files_7" localSheetId="5" hidden="1">'Centre-Bourg'!#REF!</definedName>
    <definedName name="Lancer_la_requête_à_partir_de_Excel_Files_7" localSheetId="9" hidden="1">Filières!#REF!</definedName>
    <definedName name="Lancer_la_requête_à_partir_de_Excel_Files_7" localSheetId="0" hidden="1">Itinérance!#REF!</definedName>
    <definedName name="Lancer_la_requête_à_partir_de_Excel_Files_7" localSheetId="3" hidden="1">Pierre!#REF!</definedName>
    <definedName name="Lancer_la_requête_à_partir_de_Excel_Files_7" localSheetId="1" hidden="1">Tourisme!#REF!</definedName>
    <definedName name="Lancer_la_requête_à_partir_de_Excel_Files_8" localSheetId="7" hidden="1">Agriculture!$A$6:$AQ$7</definedName>
    <definedName name="Lancer_la_requête_à_partir_de_Excel_Files_8" localSheetId="8" hidden="1">'AT-Ing Terr'!$A$6:$AQ$7</definedName>
    <definedName name="Lancer_la_requête_à_partir_de_Excel_Files_8" localSheetId="4" hidden="1">'Attractivité-Innovation'!$C$6:$AR$21</definedName>
    <definedName name="Lancer_la_requête_à_partir_de_Excel_Files_8" localSheetId="6" hidden="1">Biodiversité!$A$6:$AU$10</definedName>
    <definedName name="Lancer_la_requête_à_partir_de_Excel_Files_8" localSheetId="2" hidden="1">Bois!$A$6:$AT$18</definedName>
    <definedName name="Lancer_la_requête_à_partir_de_Excel_Files_8" localSheetId="5" hidden="1">'Centre-Bourg'!$A$6:$AT$11</definedName>
    <definedName name="Lancer_la_requête_à_partir_de_Excel_Files_8" localSheetId="9" hidden="1">Filières!$A$6:$AT$8</definedName>
    <definedName name="Lancer_la_requête_à_partir_de_Excel_Files_8" localSheetId="0" hidden="1">Itinérance!$A$7:$AQ$8</definedName>
    <definedName name="Lancer_la_requête_à_partir_de_Excel_Files_8" localSheetId="3" hidden="1">Pierre!$A$6:$AP$7</definedName>
    <definedName name="Lancer_la_requête_à_partir_de_Excel_Files_8" localSheetId="1" hidden="1">Tourisme!$A$6:$AR$14</definedName>
    <definedName name="Lancer_la_requête_à_partir_de_Excel_Files_9" localSheetId="0" hidden="1">Itinérance!$A$25:$AQ$26</definedName>
    <definedName name="_xlnm.Print_Area" localSheetId="7">Agriculture!$A$1:$AT$53</definedName>
    <definedName name="_xlnm.Print_Area" localSheetId="8">'AT-Ing Terr'!$A$1:$AT$10</definedName>
    <definedName name="_xlnm.Print_Area" localSheetId="4">'Attractivité-Innovation'!$A$1:$AV$22</definedName>
    <definedName name="_xlnm.Print_Area" localSheetId="6">Biodiversité!$A$1:$AW$18</definedName>
    <definedName name="_xlnm.Print_Area" localSheetId="2">Bois!$A$1:$AV$21</definedName>
    <definedName name="_xlnm.Print_Area" localSheetId="5">'Centre-Bourg'!$A$1:$AV$21</definedName>
    <definedName name="_xlnm.Print_Area" localSheetId="9">Filières!$A$1:$AW$18</definedName>
    <definedName name="_xlnm.Print_Area" localSheetId="0">Itinérance!$A$1:$AT$48</definedName>
    <definedName name="_xlnm.Print_Area" localSheetId="3">Pierre!$A$1:$AS$18</definedName>
    <definedName name="_xlnm.Print_Area" localSheetId="1">Tourisme!$A$1:$AV$16</definedName>
  </definedNames>
  <calcPr calcId="145621"/>
</workbook>
</file>

<file path=xl/calcChain.xml><?xml version="1.0" encoding="utf-8"?>
<calcChain xmlns="http://schemas.openxmlformats.org/spreadsheetml/2006/main">
  <c r="D15" i="9" l="1"/>
  <c r="F15" i="9"/>
  <c r="K15" i="9"/>
  <c r="N15" i="9"/>
  <c r="P15" i="9"/>
  <c r="Q15" i="9"/>
  <c r="R15" i="9"/>
  <c r="S15" i="9"/>
  <c r="U15" i="9"/>
  <c r="V15" i="9"/>
  <c r="W15" i="9"/>
  <c r="X15" i="9"/>
  <c r="Y15" i="9"/>
  <c r="Z15" i="9"/>
  <c r="AA15" i="9"/>
  <c r="AB15" i="9"/>
  <c r="AC15" i="9"/>
  <c r="AD15" i="9"/>
  <c r="AE15" i="9"/>
  <c r="AF15" i="9"/>
  <c r="AG15" i="9"/>
  <c r="AH15" i="9"/>
  <c r="AI15" i="9"/>
  <c r="AJ15" i="9"/>
  <c r="AK15" i="9"/>
  <c r="AL15" i="9"/>
  <c r="AM15" i="9"/>
  <c r="AN15" i="9"/>
  <c r="AO15" i="9"/>
  <c r="AP15" i="9"/>
  <c r="AQ15" i="9"/>
  <c r="L8" i="9"/>
  <c r="L9" i="9"/>
  <c r="L10" i="9"/>
  <c r="L7" i="9"/>
  <c r="L11" i="9"/>
  <c r="L12" i="9"/>
  <c r="L13" i="9"/>
  <c r="L14" i="9"/>
  <c r="O8" i="9"/>
  <c r="O9" i="9"/>
  <c r="O10" i="9"/>
  <c r="O7" i="9"/>
  <c r="O11" i="9"/>
  <c r="O12" i="9"/>
  <c r="O13" i="9"/>
  <c r="O14" i="9"/>
  <c r="T8" i="9"/>
  <c r="T9" i="9"/>
  <c r="T10" i="9"/>
  <c r="T7" i="9"/>
  <c r="T11" i="9"/>
  <c r="T12" i="9"/>
  <c r="T13" i="9"/>
  <c r="T14" i="9"/>
  <c r="I13" i="9" l="1"/>
  <c r="I14" i="9"/>
  <c r="J14" i="9" s="1"/>
  <c r="I10" i="9"/>
  <c r="G10" i="9" s="1"/>
  <c r="H10" i="9" s="1"/>
  <c r="I12" i="9"/>
  <c r="J12" i="9" s="1"/>
  <c r="I9" i="9"/>
  <c r="G9" i="9" s="1"/>
  <c r="H9" i="9" s="1"/>
  <c r="I11" i="9"/>
  <c r="G11" i="9" s="1"/>
  <c r="H11" i="9" s="1"/>
  <c r="I8" i="9"/>
  <c r="I7" i="9"/>
  <c r="G7" i="9" s="1"/>
  <c r="H7" i="9" s="1"/>
  <c r="G8" i="9"/>
  <c r="H8" i="9" s="1"/>
  <c r="J8" i="9"/>
  <c r="G13" i="9"/>
  <c r="H13" i="9" s="1"/>
  <c r="J13" i="9"/>
  <c r="J7" i="9"/>
  <c r="D12" i="15"/>
  <c r="F12" i="15"/>
  <c r="K12" i="15"/>
  <c r="N12" i="15"/>
  <c r="P12" i="15"/>
  <c r="Q12" i="15"/>
  <c r="R12" i="15"/>
  <c r="S12" i="15"/>
  <c r="U12" i="15"/>
  <c r="V12" i="15"/>
  <c r="W12" i="15"/>
  <c r="X12" i="15"/>
  <c r="Y12" i="15"/>
  <c r="Z12" i="15"/>
  <c r="AA12" i="15"/>
  <c r="AB12" i="15"/>
  <c r="AC12" i="15"/>
  <c r="AD12" i="15"/>
  <c r="AE12" i="15"/>
  <c r="AF12" i="15"/>
  <c r="AG12" i="15"/>
  <c r="AH12" i="15"/>
  <c r="AI12" i="15"/>
  <c r="AJ12" i="15"/>
  <c r="AK12" i="15"/>
  <c r="AL12" i="15"/>
  <c r="AM12" i="15"/>
  <c r="AN12" i="15"/>
  <c r="AO12" i="15"/>
  <c r="AP12" i="15"/>
  <c r="AQ12" i="15"/>
  <c r="L7" i="15"/>
  <c r="L8" i="15"/>
  <c r="L9" i="15"/>
  <c r="L10" i="15"/>
  <c r="L11" i="15"/>
  <c r="O7" i="15"/>
  <c r="O8" i="15"/>
  <c r="O9" i="15"/>
  <c r="O10" i="15"/>
  <c r="O11" i="15"/>
  <c r="T7" i="15"/>
  <c r="T8" i="15"/>
  <c r="T9" i="15"/>
  <c r="T10" i="15"/>
  <c r="T11" i="15"/>
  <c r="I10" i="15" l="1"/>
  <c r="G14" i="9"/>
  <c r="H14" i="9" s="1"/>
  <c r="G12" i="9"/>
  <c r="H12" i="9" s="1"/>
  <c r="J10" i="9"/>
  <c r="J9" i="9"/>
  <c r="J11" i="9"/>
  <c r="I11" i="15"/>
  <c r="J11" i="15" s="1"/>
  <c r="I7" i="15"/>
  <c r="G7" i="15" s="1"/>
  <c r="H7" i="15" s="1"/>
  <c r="I8" i="15"/>
  <c r="J8" i="15" s="1"/>
  <c r="I9" i="15"/>
  <c r="G9" i="15" s="1"/>
  <c r="H9" i="15" s="1"/>
  <c r="G10" i="15"/>
  <c r="H10" i="15" s="1"/>
  <c r="J10" i="15"/>
  <c r="J7" i="15"/>
  <c r="D22" i="6"/>
  <c r="F22" i="6"/>
  <c r="K22" i="6"/>
  <c r="N22" i="6"/>
  <c r="P22" i="6"/>
  <c r="Q22" i="6"/>
  <c r="R22" i="6"/>
  <c r="S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AQ22" i="6"/>
  <c r="L7" i="6"/>
  <c r="L8" i="6"/>
  <c r="L13" i="6"/>
  <c r="L9" i="6"/>
  <c r="L14" i="6"/>
  <c r="L15" i="6"/>
  <c r="L16" i="6"/>
  <c r="L17" i="6"/>
  <c r="L18" i="6"/>
  <c r="L19" i="6"/>
  <c r="L20" i="6"/>
  <c r="L10" i="6"/>
  <c r="L11" i="6"/>
  <c r="L21" i="6"/>
  <c r="L12" i="6"/>
  <c r="O7" i="6"/>
  <c r="O8" i="6"/>
  <c r="O13" i="6"/>
  <c r="O9" i="6"/>
  <c r="O14" i="6"/>
  <c r="O15" i="6"/>
  <c r="O16" i="6"/>
  <c r="O17" i="6"/>
  <c r="O18" i="6"/>
  <c r="O19" i="6"/>
  <c r="O20" i="6"/>
  <c r="O10" i="6"/>
  <c r="O11" i="6"/>
  <c r="O21" i="6"/>
  <c r="O12" i="6"/>
  <c r="T7" i="6"/>
  <c r="T8" i="6"/>
  <c r="T13" i="6"/>
  <c r="T9" i="6"/>
  <c r="T14" i="6"/>
  <c r="T15" i="6"/>
  <c r="T16" i="6"/>
  <c r="T17" i="6"/>
  <c r="T18" i="6"/>
  <c r="T19" i="6"/>
  <c r="T20" i="6"/>
  <c r="T10" i="6"/>
  <c r="T11" i="6"/>
  <c r="T21" i="6"/>
  <c r="T12" i="6"/>
  <c r="G8" i="15" l="1"/>
  <c r="H8" i="15" s="1"/>
  <c r="G11" i="15"/>
  <c r="H11" i="15" s="1"/>
  <c r="J9" i="15"/>
  <c r="I20" i="6"/>
  <c r="G20" i="6" s="1"/>
  <c r="H20" i="6" s="1"/>
  <c r="I14" i="6"/>
  <c r="G14" i="6" s="1"/>
  <c r="H14" i="6" s="1"/>
  <c r="I19" i="6"/>
  <c r="G19" i="6" s="1"/>
  <c r="H19" i="6" s="1"/>
  <c r="I9" i="6"/>
  <c r="G9" i="6" s="1"/>
  <c r="H9" i="6" s="1"/>
  <c r="I12" i="6"/>
  <c r="G12" i="6" s="1"/>
  <c r="H12" i="6" s="1"/>
  <c r="I18" i="6"/>
  <c r="J18" i="6" s="1"/>
  <c r="I13" i="6"/>
  <c r="G13" i="6" s="1"/>
  <c r="H13" i="6" s="1"/>
  <c r="I21" i="6"/>
  <c r="J21" i="6" s="1"/>
  <c r="I8" i="6"/>
  <c r="G8" i="6" s="1"/>
  <c r="H8" i="6" s="1"/>
  <c r="I11" i="6"/>
  <c r="J11" i="6" s="1"/>
  <c r="I16" i="6"/>
  <c r="G16" i="6" s="1"/>
  <c r="H16" i="6" s="1"/>
  <c r="I7" i="6"/>
  <c r="G7" i="6" s="1"/>
  <c r="H7" i="6" s="1"/>
  <c r="I17" i="6"/>
  <c r="G17" i="6" s="1"/>
  <c r="H17" i="6" s="1"/>
  <c r="I10" i="6"/>
  <c r="J10" i="6" s="1"/>
  <c r="I15" i="6"/>
  <c r="G15" i="6" s="1"/>
  <c r="H15" i="6" s="1"/>
  <c r="D19" i="2"/>
  <c r="F19" i="2"/>
  <c r="K19" i="2"/>
  <c r="N19" i="2"/>
  <c r="P19" i="2"/>
  <c r="Q19" i="2"/>
  <c r="R19" i="2"/>
  <c r="S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L15" i="2"/>
  <c r="L16" i="2"/>
  <c r="L17" i="2"/>
  <c r="L11" i="2"/>
  <c r="L12" i="2"/>
  <c r="L13" i="2"/>
  <c r="L18" i="2"/>
  <c r="L14" i="2"/>
  <c r="L7" i="2"/>
  <c r="L8" i="2"/>
  <c r="L9" i="2"/>
  <c r="L10" i="2"/>
  <c r="O15" i="2"/>
  <c r="O16" i="2"/>
  <c r="O17" i="2"/>
  <c r="O11" i="2"/>
  <c r="O12" i="2"/>
  <c r="O13" i="2"/>
  <c r="O18" i="2"/>
  <c r="O14" i="2"/>
  <c r="O7" i="2"/>
  <c r="O8" i="2"/>
  <c r="O9" i="2"/>
  <c r="O10" i="2"/>
  <c r="T15" i="2"/>
  <c r="T16" i="2"/>
  <c r="T17" i="2"/>
  <c r="T11" i="2"/>
  <c r="T12" i="2"/>
  <c r="T13" i="2"/>
  <c r="T18" i="2"/>
  <c r="T14" i="2"/>
  <c r="T7" i="2"/>
  <c r="T8" i="2"/>
  <c r="T9" i="2"/>
  <c r="T10" i="2"/>
  <c r="J12" i="6" l="1"/>
  <c r="J19" i="6"/>
  <c r="J13" i="6"/>
  <c r="J20" i="6"/>
  <c r="G10" i="6"/>
  <c r="H10" i="6" s="1"/>
  <c r="J17" i="6"/>
  <c r="J9" i="6"/>
  <c r="J8" i="6"/>
  <c r="J16" i="6"/>
  <c r="G21" i="6"/>
  <c r="H21" i="6" s="1"/>
  <c r="J14" i="6"/>
  <c r="J15" i="6"/>
  <c r="J7" i="6"/>
  <c r="G18" i="6"/>
  <c r="H18" i="6" s="1"/>
  <c r="G11" i="6"/>
  <c r="H11" i="6" s="1"/>
  <c r="I12" i="2"/>
  <c r="J12" i="2" s="1"/>
  <c r="I11" i="2"/>
  <c r="G11" i="2" s="1"/>
  <c r="H11" i="2" s="1"/>
  <c r="I17" i="2"/>
  <c r="G17" i="2" s="1"/>
  <c r="H17" i="2" s="1"/>
  <c r="I8" i="2"/>
  <c r="G8" i="2" s="1"/>
  <c r="H8" i="2" s="1"/>
  <c r="I14" i="2"/>
  <c r="J14" i="2" s="1"/>
  <c r="I16" i="2"/>
  <c r="G16" i="2" s="1"/>
  <c r="H16" i="2" s="1"/>
  <c r="I18" i="2"/>
  <c r="G18" i="2" s="1"/>
  <c r="H18" i="2" s="1"/>
  <c r="I15" i="2"/>
  <c r="G15" i="2" s="1"/>
  <c r="H15" i="2" s="1"/>
  <c r="I9" i="2"/>
  <c r="G9" i="2" s="1"/>
  <c r="H9" i="2" s="1"/>
  <c r="I7" i="2"/>
  <c r="G7" i="2" s="1"/>
  <c r="H7" i="2" s="1"/>
  <c r="I10" i="2"/>
  <c r="G10" i="2" s="1"/>
  <c r="H10" i="2" s="1"/>
  <c r="I13" i="2"/>
  <c r="J13" i="2" s="1"/>
  <c r="J18" i="2"/>
  <c r="G13" i="2"/>
  <c r="H13" i="2" s="1"/>
  <c r="C10" i="4"/>
  <c r="F10" i="4"/>
  <c r="AR10" i="4"/>
  <c r="AS10" i="4"/>
  <c r="H7" i="4"/>
  <c r="H8" i="4"/>
  <c r="H9" i="4"/>
  <c r="M7" i="4"/>
  <c r="M8" i="4"/>
  <c r="M9" i="4"/>
  <c r="P7" i="4"/>
  <c r="K7" i="4" s="1"/>
  <c r="P8" i="4"/>
  <c r="P9" i="4"/>
  <c r="U7" i="4"/>
  <c r="U8" i="4"/>
  <c r="K8" i="4" s="1"/>
  <c r="U9" i="4"/>
  <c r="E11" i="7"/>
  <c r="G11" i="7"/>
  <c r="L11" i="7"/>
  <c r="O11" i="7"/>
  <c r="Q11" i="7"/>
  <c r="R11" i="7"/>
  <c r="S11" i="7"/>
  <c r="T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AL11" i="7"/>
  <c r="AM11" i="7"/>
  <c r="AN11" i="7"/>
  <c r="AO11" i="7"/>
  <c r="AP11" i="7"/>
  <c r="AQ11" i="7"/>
  <c r="AR11" i="7"/>
  <c r="M10" i="7"/>
  <c r="M8" i="7"/>
  <c r="M9" i="7"/>
  <c r="M7" i="7"/>
  <c r="P10" i="7"/>
  <c r="P8" i="7"/>
  <c r="P9" i="7"/>
  <c r="P7" i="7"/>
  <c r="U10" i="7"/>
  <c r="U8" i="7"/>
  <c r="U9" i="7"/>
  <c r="U7" i="7"/>
  <c r="J8" i="2" l="1"/>
  <c r="G12" i="2"/>
  <c r="H12" i="2" s="1"/>
  <c r="J15" i="2"/>
  <c r="J16" i="2"/>
  <c r="J9" i="2"/>
  <c r="J11" i="2"/>
  <c r="J10" i="2"/>
  <c r="G14" i="2"/>
  <c r="H14" i="2" s="1"/>
  <c r="J17" i="2"/>
  <c r="J7" i="2"/>
  <c r="K9" i="4"/>
  <c r="I8" i="4"/>
  <c r="J8" i="4" s="1"/>
  <c r="L8" i="4"/>
  <c r="L7" i="4"/>
  <c r="I7" i="4"/>
  <c r="J7" i="4" s="1"/>
  <c r="I9" i="4"/>
  <c r="J9" i="4" s="1"/>
  <c r="L9" i="4"/>
  <c r="J9" i="7"/>
  <c r="H9" i="7" s="1"/>
  <c r="I9" i="7" s="1"/>
  <c r="J8" i="7"/>
  <c r="K8" i="7" s="1"/>
  <c r="J10" i="7"/>
  <c r="K10" i="7" s="1"/>
  <c r="J7" i="7"/>
  <c r="H7" i="7" s="1"/>
  <c r="I7" i="7" s="1"/>
  <c r="H8" i="7"/>
  <c r="I8" i="7" s="1"/>
  <c r="K9" i="7" l="1"/>
  <c r="K7" i="7"/>
  <c r="H10" i="7"/>
  <c r="I10" i="7" s="1"/>
  <c r="C8" i="14"/>
  <c r="F8" i="14"/>
  <c r="AR8" i="14"/>
  <c r="D9" i="16"/>
  <c r="F9" i="16"/>
  <c r="K9" i="16"/>
  <c r="N9" i="16"/>
  <c r="P9" i="16"/>
  <c r="Q9" i="16"/>
  <c r="R9" i="16"/>
  <c r="S9" i="16"/>
  <c r="U9" i="16"/>
  <c r="V9" i="16"/>
  <c r="W9" i="16"/>
  <c r="X9" i="16"/>
  <c r="Y9" i="16"/>
  <c r="Z9" i="16"/>
  <c r="AA9" i="16"/>
  <c r="AB9" i="16"/>
  <c r="AC9" i="16"/>
  <c r="AD9" i="16"/>
  <c r="AE9" i="16"/>
  <c r="AF9" i="16"/>
  <c r="AG9" i="16"/>
  <c r="AH9" i="16"/>
  <c r="AI9" i="16"/>
  <c r="AJ9" i="16"/>
  <c r="AK9" i="16"/>
  <c r="AL9" i="16"/>
  <c r="AM9" i="16"/>
  <c r="AN9" i="16"/>
  <c r="AO9" i="16"/>
  <c r="AP9" i="16"/>
  <c r="AQ9" i="16"/>
  <c r="L7" i="16"/>
  <c r="L8" i="16"/>
  <c r="O7" i="16"/>
  <c r="O8" i="16"/>
  <c r="T7" i="16"/>
  <c r="T8" i="16"/>
  <c r="B8" i="10"/>
  <c r="D8" i="10"/>
  <c r="I8" i="10"/>
  <c r="L8" i="10"/>
  <c r="N8" i="10"/>
  <c r="O8" i="10"/>
  <c r="P8" i="10"/>
  <c r="Q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AI8" i="10"/>
  <c r="AJ8" i="10"/>
  <c r="AK8" i="10"/>
  <c r="AL8" i="10"/>
  <c r="AM8" i="10"/>
  <c r="AN8" i="10"/>
  <c r="AO8" i="10"/>
  <c r="B8" i="8"/>
  <c r="D8" i="8"/>
  <c r="I8" i="8"/>
  <c r="L8" i="8"/>
  <c r="N8" i="8"/>
  <c r="O8" i="8"/>
  <c r="P8" i="8"/>
  <c r="Q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B8" i="5"/>
  <c r="D8" i="5"/>
  <c r="I8" i="5"/>
  <c r="L8" i="5"/>
  <c r="N8" i="5"/>
  <c r="O8" i="5"/>
  <c r="P8" i="5"/>
  <c r="Q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B9" i="12"/>
  <c r="D9" i="12"/>
  <c r="I9" i="12"/>
  <c r="L9" i="12"/>
  <c r="N9" i="12"/>
  <c r="O9" i="12"/>
  <c r="P9" i="12"/>
  <c r="Q9" i="12"/>
  <c r="S9" i="12"/>
  <c r="T9" i="12"/>
  <c r="U9" i="12"/>
  <c r="V9" i="12"/>
  <c r="W9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J9" i="12"/>
  <c r="AK9" i="12"/>
  <c r="AL9" i="12"/>
  <c r="AM9" i="12"/>
  <c r="AN9" i="12"/>
  <c r="AO9" i="12"/>
  <c r="B27" i="12"/>
  <c r="D27" i="12"/>
  <c r="I27" i="12"/>
  <c r="L27" i="12"/>
  <c r="N27" i="12"/>
  <c r="O27" i="12"/>
  <c r="P27" i="12"/>
  <c r="Q27" i="12"/>
  <c r="S27" i="12"/>
  <c r="T27" i="12"/>
  <c r="U27" i="12"/>
  <c r="V27" i="12"/>
  <c r="W27" i="12"/>
  <c r="X27" i="12"/>
  <c r="Y27" i="12"/>
  <c r="Z27" i="12"/>
  <c r="AA27" i="12"/>
  <c r="AB27" i="12"/>
  <c r="AC27" i="12"/>
  <c r="AD27" i="12"/>
  <c r="AE27" i="12"/>
  <c r="AF27" i="12"/>
  <c r="AG27" i="12"/>
  <c r="AH27" i="12"/>
  <c r="AI27" i="12"/>
  <c r="AJ27" i="12"/>
  <c r="AK27" i="12"/>
  <c r="AL27" i="12"/>
  <c r="AM27" i="12"/>
  <c r="AN27" i="12"/>
  <c r="AO27" i="12"/>
  <c r="B15" i="12"/>
  <c r="D15" i="12"/>
  <c r="I15" i="12"/>
  <c r="L15" i="12"/>
  <c r="N15" i="12"/>
  <c r="O15" i="12"/>
  <c r="P15" i="12"/>
  <c r="Q15" i="12"/>
  <c r="S15" i="12"/>
  <c r="T15" i="12"/>
  <c r="U15" i="12"/>
  <c r="V15" i="12"/>
  <c r="W15" i="12"/>
  <c r="X15" i="12"/>
  <c r="Y15" i="12"/>
  <c r="Z15" i="12"/>
  <c r="AA15" i="12"/>
  <c r="AB15" i="12"/>
  <c r="AC15" i="12"/>
  <c r="AD15" i="12"/>
  <c r="AE15" i="12"/>
  <c r="AF15" i="12"/>
  <c r="AG15" i="12"/>
  <c r="AH15" i="12"/>
  <c r="AI15" i="12"/>
  <c r="AJ15" i="12"/>
  <c r="AK15" i="12"/>
  <c r="AL15" i="12"/>
  <c r="AM15" i="12"/>
  <c r="AN15" i="12"/>
  <c r="AO15" i="12"/>
  <c r="B21" i="12"/>
  <c r="D21" i="12"/>
  <c r="I21" i="12"/>
  <c r="L21" i="12"/>
  <c r="N21" i="12"/>
  <c r="O21" i="12"/>
  <c r="P21" i="12"/>
  <c r="Q21" i="12"/>
  <c r="S21" i="12"/>
  <c r="T21" i="12"/>
  <c r="U21" i="12"/>
  <c r="V21" i="12"/>
  <c r="W21" i="12"/>
  <c r="X21" i="12"/>
  <c r="Y21" i="12"/>
  <c r="Z21" i="12"/>
  <c r="AA21" i="12"/>
  <c r="AB21" i="12"/>
  <c r="AC21" i="12"/>
  <c r="AD21" i="12"/>
  <c r="AE21" i="12"/>
  <c r="AF21" i="12"/>
  <c r="AG21" i="12"/>
  <c r="AH21" i="12"/>
  <c r="AI21" i="12"/>
  <c r="AJ21" i="12"/>
  <c r="AK21" i="12"/>
  <c r="AL21" i="12"/>
  <c r="AM21" i="12"/>
  <c r="AN21" i="12"/>
  <c r="AO21" i="12"/>
  <c r="I8" i="16" l="1"/>
  <c r="I7" i="16"/>
  <c r="G8" i="16"/>
  <c r="H8" i="16" s="1"/>
  <c r="J8" i="16"/>
  <c r="G7" i="16"/>
  <c r="H7" i="16" s="1"/>
  <c r="J7" i="16"/>
  <c r="N49" i="16" l="1"/>
  <c r="K49" i="16"/>
  <c r="I49" i="16"/>
  <c r="H49" i="16"/>
  <c r="N48" i="16"/>
  <c r="K48" i="16"/>
  <c r="I48" i="16"/>
  <c r="H48" i="16"/>
  <c r="N47" i="16"/>
  <c r="K47" i="16"/>
  <c r="I47" i="16"/>
  <c r="H47" i="16"/>
  <c r="N46" i="16"/>
  <c r="K46" i="16"/>
  <c r="I46" i="16"/>
  <c r="H46" i="16"/>
  <c r="N45" i="16"/>
  <c r="K45" i="16"/>
  <c r="I45" i="16"/>
  <c r="H45" i="16"/>
  <c r="N44" i="16"/>
  <c r="K44" i="16"/>
  <c r="I44" i="16"/>
  <c r="H44" i="16"/>
  <c r="N43" i="16"/>
  <c r="K43" i="16"/>
  <c r="I43" i="16"/>
  <c r="H43" i="16"/>
  <c r="N42" i="16"/>
  <c r="K42" i="16"/>
  <c r="I42" i="16"/>
  <c r="H42" i="16"/>
  <c r="N41" i="16"/>
  <c r="K41" i="16"/>
  <c r="I41" i="16"/>
  <c r="H41" i="16"/>
  <c r="N40" i="16"/>
  <c r="K40" i="16"/>
  <c r="I40" i="16"/>
  <c r="H40" i="16"/>
  <c r="N39" i="16"/>
  <c r="K39" i="16"/>
  <c r="I39" i="16"/>
  <c r="H39" i="16"/>
  <c r="N38" i="16"/>
  <c r="K38" i="16"/>
  <c r="I38" i="16"/>
  <c r="H38" i="16"/>
  <c r="N37" i="16"/>
  <c r="K37" i="16"/>
  <c r="I37" i="16"/>
  <c r="H37" i="16"/>
  <c r="N36" i="16"/>
  <c r="K36" i="16"/>
  <c r="I36" i="16"/>
  <c r="H36" i="16"/>
  <c r="N35" i="16"/>
  <c r="K35" i="16"/>
  <c r="I35" i="16"/>
  <c r="H35" i="16"/>
  <c r="N34" i="16"/>
  <c r="K34" i="16"/>
  <c r="I34" i="16"/>
  <c r="H34" i="16"/>
  <c r="N33" i="16"/>
  <c r="K33" i="16"/>
  <c r="I33" i="16"/>
  <c r="H33" i="16"/>
  <c r="N32" i="16"/>
  <c r="K32" i="16"/>
  <c r="I32" i="16"/>
  <c r="H32" i="16"/>
  <c r="N31" i="16"/>
  <c r="K31" i="16"/>
  <c r="I31" i="16"/>
  <c r="H31" i="16"/>
  <c r="N30" i="16"/>
  <c r="K30" i="16"/>
  <c r="I30" i="16"/>
  <c r="H30" i="16"/>
  <c r="N29" i="16"/>
  <c r="K29" i="16"/>
  <c r="I29" i="16"/>
  <c r="H29" i="16"/>
  <c r="N28" i="16"/>
  <c r="K28" i="16"/>
  <c r="I28" i="16"/>
  <c r="H28" i="16"/>
  <c r="N27" i="16"/>
  <c r="K27" i="16"/>
  <c r="I27" i="16"/>
  <c r="H27" i="16"/>
  <c r="N26" i="16"/>
  <c r="K26" i="16"/>
  <c r="I26" i="16"/>
  <c r="H26" i="16"/>
  <c r="N25" i="16"/>
  <c r="K25" i="16"/>
  <c r="I25" i="16"/>
  <c r="H25" i="16"/>
  <c r="N24" i="16"/>
  <c r="K24" i="16"/>
  <c r="I24" i="16"/>
  <c r="H24" i="16"/>
  <c r="N23" i="16"/>
  <c r="K23" i="16"/>
  <c r="I23" i="16"/>
  <c r="H23" i="16"/>
  <c r="N22" i="16"/>
  <c r="K22" i="16"/>
  <c r="I22" i="16"/>
  <c r="H22" i="16"/>
  <c r="N21" i="16"/>
  <c r="K21" i="16"/>
  <c r="I21" i="16"/>
  <c r="H21" i="16"/>
  <c r="N20" i="16"/>
  <c r="K20" i="16"/>
  <c r="I20" i="16"/>
  <c r="H20" i="16"/>
  <c r="O9" i="16"/>
  <c r="T9" i="16"/>
  <c r="L9" i="16"/>
  <c r="C1" i="16"/>
  <c r="E26" i="16" l="1"/>
  <c r="E29" i="16"/>
  <c r="E32" i="16"/>
  <c r="E35" i="16"/>
  <c r="E38" i="16"/>
  <c r="E41" i="16"/>
  <c r="E44" i="16"/>
  <c r="E47" i="16"/>
  <c r="F24" i="16"/>
  <c r="F27" i="16"/>
  <c r="F30" i="16"/>
  <c r="F33" i="16"/>
  <c r="F36" i="16"/>
  <c r="F39" i="16"/>
  <c r="F42" i="16"/>
  <c r="F45" i="16"/>
  <c r="F22" i="16"/>
  <c r="E24" i="16"/>
  <c r="F25" i="16"/>
  <c r="E27" i="16"/>
  <c r="F28" i="16"/>
  <c r="E30" i="16"/>
  <c r="F31" i="16"/>
  <c r="E33" i="16"/>
  <c r="F34" i="16"/>
  <c r="E36" i="16"/>
  <c r="F37" i="16"/>
  <c r="E39" i="16"/>
  <c r="F40" i="16"/>
  <c r="E42" i="16"/>
  <c r="F43" i="16"/>
  <c r="E45" i="16"/>
  <c r="F46" i="16"/>
  <c r="E48" i="16"/>
  <c r="F49" i="16"/>
  <c r="F48" i="16"/>
  <c r="F21" i="16"/>
  <c r="F20" i="16"/>
  <c r="F23" i="16"/>
  <c r="E25" i="16"/>
  <c r="F26" i="16"/>
  <c r="E28" i="16"/>
  <c r="F29" i="16"/>
  <c r="E31" i="16"/>
  <c r="F32" i="16"/>
  <c r="E34" i="16"/>
  <c r="F35" i="16"/>
  <c r="E37" i="16"/>
  <c r="F38" i="16"/>
  <c r="E40" i="16"/>
  <c r="F41" i="16"/>
  <c r="E43" i="16"/>
  <c r="F44" i="16"/>
  <c r="E46" i="16"/>
  <c r="F47" i="16"/>
  <c r="E49" i="16"/>
  <c r="E22" i="16"/>
  <c r="E21" i="16"/>
  <c r="E20" i="16"/>
  <c r="E23" i="16"/>
  <c r="C1" i="5"/>
  <c r="C1" i="12"/>
  <c r="E1" i="14"/>
  <c r="E1" i="4"/>
  <c r="C1" i="10"/>
  <c r="C1" i="8"/>
  <c r="C1" i="7"/>
  <c r="C1" i="15"/>
  <c r="C1" i="6"/>
  <c r="C1" i="2"/>
  <c r="C1" i="9"/>
  <c r="I9" i="16" l="1"/>
  <c r="G9" i="16" l="1"/>
  <c r="R52" i="15"/>
  <c r="M52" i="15"/>
  <c r="I52" i="15"/>
  <c r="H52" i="15"/>
  <c r="R51" i="15"/>
  <c r="M51" i="15"/>
  <c r="I51" i="15"/>
  <c r="H51" i="15"/>
  <c r="R50" i="15"/>
  <c r="M50" i="15"/>
  <c r="I50" i="15"/>
  <c r="H50" i="15"/>
  <c r="R49" i="15"/>
  <c r="M49" i="15"/>
  <c r="I49" i="15"/>
  <c r="H49" i="15"/>
  <c r="R48" i="15"/>
  <c r="M48" i="15"/>
  <c r="I48" i="15"/>
  <c r="H48" i="15"/>
  <c r="R47" i="15"/>
  <c r="M47" i="15"/>
  <c r="I47" i="15"/>
  <c r="H47" i="15"/>
  <c r="R46" i="15"/>
  <c r="M46" i="15"/>
  <c r="I46" i="15"/>
  <c r="H46" i="15"/>
  <c r="R45" i="15"/>
  <c r="M45" i="15"/>
  <c r="I45" i="15"/>
  <c r="H45" i="15"/>
  <c r="R44" i="15"/>
  <c r="M44" i="15"/>
  <c r="I44" i="15"/>
  <c r="H44" i="15"/>
  <c r="R43" i="15"/>
  <c r="M43" i="15"/>
  <c r="I43" i="15"/>
  <c r="H43" i="15"/>
  <c r="R42" i="15"/>
  <c r="M42" i="15"/>
  <c r="I42" i="15"/>
  <c r="H42" i="15"/>
  <c r="R41" i="15"/>
  <c r="M41" i="15"/>
  <c r="I41" i="15"/>
  <c r="H41" i="15"/>
  <c r="R40" i="15"/>
  <c r="M40" i="15"/>
  <c r="I40" i="15"/>
  <c r="H40" i="15"/>
  <c r="R39" i="15"/>
  <c r="M39" i="15"/>
  <c r="I39" i="15"/>
  <c r="H39" i="15"/>
  <c r="R38" i="15"/>
  <c r="M38" i="15"/>
  <c r="I38" i="15"/>
  <c r="H38" i="15"/>
  <c r="R37" i="15"/>
  <c r="M37" i="15"/>
  <c r="I37" i="15"/>
  <c r="H37" i="15"/>
  <c r="R36" i="15"/>
  <c r="M36" i="15"/>
  <c r="I36" i="15"/>
  <c r="H36" i="15"/>
  <c r="R35" i="15"/>
  <c r="M35" i="15"/>
  <c r="I35" i="15"/>
  <c r="H35" i="15"/>
  <c r="R34" i="15"/>
  <c r="M34" i="15"/>
  <c r="I34" i="15"/>
  <c r="H34" i="15"/>
  <c r="R33" i="15"/>
  <c r="M33" i="15"/>
  <c r="I33" i="15"/>
  <c r="H33" i="15"/>
  <c r="R32" i="15"/>
  <c r="M32" i="15"/>
  <c r="I32" i="15"/>
  <c r="H32" i="15"/>
  <c r="R31" i="15"/>
  <c r="M31" i="15"/>
  <c r="I31" i="15"/>
  <c r="H31" i="15"/>
  <c r="M30" i="15"/>
  <c r="I30" i="15"/>
  <c r="H30" i="15"/>
  <c r="R29" i="15"/>
  <c r="M29" i="15"/>
  <c r="I29" i="15"/>
  <c r="H29" i="15"/>
  <c r="R28" i="15"/>
  <c r="M28" i="15"/>
  <c r="I28" i="15"/>
  <c r="H28" i="15"/>
  <c r="R27" i="15"/>
  <c r="M27" i="15"/>
  <c r="I27" i="15"/>
  <c r="H27" i="15"/>
  <c r="R26" i="15"/>
  <c r="M26" i="15"/>
  <c r="I26" i="15"/>
  <c r="H26" i="15"/>
  <c r="M25" i="15"/>
  <c r="I25" i="15"/>
  <c r="H25" i="15"/>
  <c r="M24" i="15"/>
  <c r="I24" i="15"/>
  <c r="H24" i="15"/>
  <c r="R23" i="15"/>
  <c r="M23" i="15"/>
  <c r="I23" i="15"/>
  <c r="H23" i="15"/>
  <c r="R24" i="15"/>
  <c r="T12" i="15"/>
  <c r="E32" i="15" l="1"/>
  <c r="F33" i="15"/>
  <c r="E35" i="15"/>
  <c r="E38" i="15"/>
  <c r="F39" i="15"/>
  <c r="E41" i="15"/>
  <c r="F42" i="15"/>
  <c r="E44" i="15"/>
  <c r="F45" i="15"/>
  <c r="E47" i="15"/>
  <c r="F48" i="15"/>
  <c r="F36" i="15"/>
  <c r="E50" i="15"/>
  <c r="E51" i="15"/>
  <c r="F52" i="15"/>
  <c r="E31" i="15"/>
  <c r="F32" i="15"/>
  <c r="E34" i="15"/>
  <c r="F35" i="15"/>
  <c r="E37" i="15"/>
  <c r="F38" i="15"/>
  <c r="E40" i="15"/>
  <c r="F41" i="15"/>
  <c r="E43" i="15"/>
  <c r="F44" i="15"/>
  <c r="E46" i="15"/>
  <c r="F47" i="15"/>
  <c r="E49" i="15"/>
  <c r="F50" i="15"/>
  <c r="E52" i="15"/>
  <c r="F23" i="15"/>
  <c r="E27" i="15"/>
  <c r="F28" i="15"/>
  <c r="E30" i="15"/>
  <c r="E23" i="15"/>
  <c r="F26" i="15"/>
  <c r="E28" i="15"/>
  <c r="F29" i="15"/>
  <c r="E25" i="15"/>
  <c r="F31" i="15"/>
  <c r="E33" i="15"/>
  <c r="F34" i="15"/>
  <c r="E36" i="15"/>
  <c r="F37" i="15"/>
  <c r="E39" i="15"/>
  <c r="F40" i="15"/>
  <c r="E42" i="15"/>
  <c r="F43" i="15"/>
  <c r="E45" i="15"/>
  <c r="F46" i="15"/>
  <c r="E48" i="15"/>
  <c r="F49" i="15"/>
  <c r="E24" i="15"/>
  <c r="E26" i="15"/>
  <c r="F27" i="15"/>
  <c r="E29" i="15"/>
  <c r="F51" i="15"/>
  <c r="F24" i="15"/>
  <c r="I12" i="15"/>
  <c r="L12" i="15"/>
  <c r="R25" i="15"/>
  <c r="F25" i="15" s="1"/>
  <c r="R30" i="15"/>
  <c r="F30" i="15" s="1"/>
  <c r="O12" i="15"/>
  <c r="G12" i="15" l="1"/>
  <c r="R32" i="12" l="1"/>
  <c r="R33" i="12"/>
  <c r="AP48" i="10" l="1"/>
  <c r="AO48" i="10"/>
  <c r="AP47" i="10"/>
  <c r="AO47" i="10"/>
  <c r="AP46" i="10"/>
  <c r="AO46" i="10"/>
  <c r="AP45" i="10"/>
  <c r="AO45" i="10"/>
  <c r="AP44" i="10"/>
  <c r="AO44" i="10"/>
  <c r="AP43" i="10"/>
  <c r="AO43" i="10"/>
  <c r="AP42" i="10"/>
  <c r="AO42" i="10"/>
  <c r="AP41" i="10"/>
  <c r="AO41" i="10"/>
  <c r="AP40" i="10"/>
  <c r="AO40" i="10"/>
  <c r="AP39" i="10"/>
  <c r="AO39" i="10"/>
  <c r="AP38" i="10"/>
  <c r="AO38" i="10"/>
  <c r="AP37" i="10"/>
  <c r="AO37" i="10"/>
  <c r="AP36" i="10"/>
  <c r="AO36" i="10"/>
  <c r="AP35" i="10"/>
  <c r="AO35" i="10"/>
  <c r="AP34" i="10"/>
  <c r="AO34" i="10"/>
  <c r="AP33" i="10"/>
  <c r="AO33" i="10"/>
  <c r="AP32" i="10"/>
  <c r="AO32" i="10"/>
  <c r="AP31" i="10"/>
  <c r="AO31" i="10"/>
  <c r="AP30" i="10"/>
  <c r="AO30" i="10"/>
  <c r="AP29" i="10"/>
  <c r="AO29" i="10"/>
  <c r="AP28" i="10"/>
  <c r="AO28" i="10"/>
  <c r="AP27" i="10"/>
  <c r="AO27" i="10"/>
  <c r="AP26" i="10"/>
  <c r="AO26" i="10"/>
  <c r="AP25" i="10"/>
  <c r="AO25" i="10"/>
  <c r="AP24" i="10"/>
  <c r="AO24" i="10"/>
  <c r="AP23" i="10"/>
  <c r="AO23" i="10"/>
  <c r="AP22" i="10"/>
  <c r="AO22" i="10"/>
  <c r="AP21" i="10"/>
  <c r="AO21" i="10"/>
  <c r="AP20" i="10"/>
  <c r="AO20" i="10"/>
  <c r="AP19" i="10"/>
  <c r="AO19" i="10"/>
  <c r="I48" i="10"/>
  <c r="H48" i="10"/>
  <c r="E48" i="10" s="1"/>
  <c r="I47" i="10"/>
  <c r="F47" i="10" s="1"/>
  <c r="H47" i="10"/>
  <c r="E47" i="10" s="1"/>
  <c r="I46" i="10"/>
  <c r="F46" i="10" s="1"/>
  <c r="H46" i="10"/>
  <c r="E46" i="10" s="1"/>
  <c r="I45" i="10"/>
  <c r="F45" i="10" s="1"/>
  <c r="H45" i="10"/>
  <c r="E45" i="10" s="1"/>
  <c r="I44" i="10"/>
  <c r="F44" i="10" s="1"/>
  <c r="H44" i="10"/>
  <c r="E44" i="10" s="1"/>
  <c r="I43" i="10"/>
  <c r="F43" i="10" s="1"/>
  <c r="H43" i="10"/>
  <c r="I42" i="10"/>
  <c r="F42" i="10" s="1"/>
  <c r="H42" i="10"/>
  <c r="E42" i="10" s="1"/>
  <c r="I41" i="10"/>
  <c r="F41" i="10" s="1"/>
  <c r="H41" i="10"/>
  <c r="E41" i="10" s="1"/>
  <c r="I40" i="10"/>
  <c r="F40" i="10" s="1"/>
  <c r="H40" i="10"/>
  <c r="E40" i="10" s="1"/>
  <c r="I39" i="10"/>
  <c r="F39" i="10" s="1"/>
  <c r="H39" i="10"/>
  <c r="E39" i="10" s="1"/>
  <c r="I38" i="10"/>
  <c r="F38" i="10" s="1"/>
  <c r="H38" i="10"/>
  <c r="E38" i="10" s="1"/>
  <c r="I37" i="10"/>
  <c r="F37" i="10" s="1"/>
  <c r="H37" i="10"/>
  <c r="E37" i="10" s="1"/>
  <c r="I36" i="10"/>
  <c r="F36" i="10" s="1"/>
  <c r="H36" i="10"/>
  <c r="E36" i="10" s="1"/>
  <c r="I35" i="10"/>
  <c r="F35" i="10" s="1"/>
  <c r="H35" i="10"/>
  <c r="E35" i="10" s="1"/>
  <c r="I34" i="10"/>
  <c r="F34" i="10" s="1"/>
  <c r="H34" i="10"/>
  <c r="E34" i="10" s="1"/>
  <c r="I33" i="10"/>
  <c r="F33" i="10" s="1"/>
  <c r="H33" i="10"/>
  <c r="E33" i="10" s="1"/>
  <c r="I32" i="10"/>
  <c r="F32" i="10" s="1"/>
  <c r="H32" i="10"/>
  <c r="E32" i="10" s="1"/>
  <c r="I31" i="10"/>
  <c r="F31" i="10" s="1"/>
  <c r="H31" i="10"/>
  <c r="E31" i="10" s="1"/>
  <c r="I30" i="10"/>
  <c r="F30" i="10" s="1"/>
  <c r="H30" i="10"/>
  <c r="E30" i="10" s="1"/>
  <c r="I29" i="10"/>
  <c r="H29" i="10"/>
  <c r="E29" i="10" s="1"/>
  <c r="I28" i="10"/>
  <c r="F28" i="10" s="1"/>
  <c r="H28" i="10"/>
  <c r="E28" i="10" s="1"/>
  <c r="I27" i="10"/>
  <c r="F27" i="10" s="1"/>
  <c r="H27" i="10"/>
  <c r="E27" i="10" s="1"/>
  <c r="I26" i="10"/>
  <c r="F26" i="10" s="1"/>
  <c r="H26" i="10"/>
  <c r="E26" i="10" s="1"/>
  <c r="I25" i="10"/>
  <c r="F25" i="10" s="1"/>
  <c r="H25" i="10"/>
  <c r="E25" i="10" s="1"/>
  <c r="I24" i="10"/>
  <c r="F24" i="10" s="1"/>
  <c r="H24" i="10"/>
  <c r="E24" i="10" s="1"/>
  <c r="I23" i="10"/>
  <c r="F23" i="10" s="1"/>
  <c r="H23" i="10"/>
  <c r="E23" i="10" s="1"/>
  <c r="I22" i="10"/>
  <c r="F22" i="10" s="1"/>
  <c r="H22" i="10"/>
  <c r="E22" i="10" s="1"/>
  <c r="I21" i="10"/>
  <c r="F21" i="10" s="1"/>
  <c r="H21" i="10"/>
  <c r="E21" i="10" s="1"/>
  <c r="I20" i="10"/>
  <c r="F20" i="10" s="1"/>
  <c r="H20" i="10"/>
  <c r="E20" i="10" s="1"/>
  <c r="I19" i="10"/>
  <c r="F19" i="10" s="1"/>
  <c r="H19" i="10"/>
  <c r="E19" i="10" s="1"/>
  <c r="X69" i="12"/>
  <c r="W69" i="12"/>
  <c r="X68" i="12"/>
  <c r="W68" i="12"/>
  <c r="X67" i="12"/>
  <c r="W67" i="12"/>
  <c r="X66" i="12"/>
  <c r="W66" i="12"/>
  <c r="X65" i="12"/>
  <c r="W65" i="12"/>
  <c r="X64" i="12"/>
  <c r="W64" i="12"/>
  <c r="X63" i="12"/>
  <c r="W63" i="12"/>
  <c r="X62" i="12"/>
  <c r="W62" i="12"/>
  <c r="X61" i="12"/>
  <c r="W61" i="12"/>
  <c r="X60" i="12"/>
  <c r="W60" i="12"/>
  <c r="X59" i="12"/>
  <c r="W59" i="12"/>
  <c r="X58" i="12"/>
  <c r="W58" i="12"/>
  <c r="X57" i="12"/>
  <c r="W57" i="12"/>
  <c r="X56" i="12"/>
  <c r="W56" i="12"/>
  <c r="X55" i="12"/>
  <c r="W55" i="12"/>
  <c r="X54" i="12"/>
  <c r="W54" i="12"/>
  <c r="X53" i="12"/>
  <c r="W53" i="12"/>
  <c r="X52" i="12"/>
  <c r="W52" i="12"/>
  <c r="X51" i="12"/>
  <c r="W51" i="12"/>
  <c r="X50" i="12"/>
  <c r="W50" i="12"/>
  <c r="X49" i="12"/>
  <c r="W49" i="12"/>
  <c r="X48" i="12"/>
  <c r="W48" i="12"/>
  <c r="X47" i="12"/>
  <c r="W47" i="12"/>
  <c r="X46" i="12"/>
  <c r="W46" i="12"/>
  <c r="X45" i="12"/>
  <c r="W45" i="12"/>
  <c r="X44" i="12"/>
  <c r="W44" i="12"/>
  <c r="X43" i="12"/>
  <c r="W43" i="12"/>
  <c r="X42" i="12"/>
  <c r="W42" i="12"/>
  <c r="X41" i="12"/>
  <c r="W41" i="12"/>
  <c r="X40" i="12"/>
  <c r="W40" i="12"/>
  <c r="V69" i="12"/>
  <c r="U69" i="12"/>
  <c r="V68" i="12"/>
  <c r="U68" i="12"/>
  <c r="V67" i="12"/>
  <c r="U67" i="12"/>
  <c r="V66" i="12"/>
  <c r="U66" i="12"/>
  <c r="V65" i="12"/>
  <c r="U65" i="12"/>
  <c r="V64" i="12"/>
  <c r="U64" i="12"/>
  <c r="V63" i="12"/>
  <c r="U63" i="12"/>
  <c r="V62" i="12"/>
  <c r="U62" i="12"/>
  <c r="V61" i="12"/>
  <c r="U61" i="12"/>
  <c r="V60" i="12"/>
  <c r="U60" i="12"/>
  <c r="V59" i="12"/>
  <c r="U59" i="12"/>
  <c r="V58" i="12"/>
  <c r="U58" i="12"/>
  <c r="V57" i="12"/>
  <c r="U57" i="12"/>
  <c r="V56" i="12"/>
  <c r="U56" i="12"/>
  <c r="V55" i="12"/>
  <c r="U55" i="12"/>
  <c r="V54" i="12"/>
  <c r="U54" i="12"/>
  <c r="V53" i="12"/>
  <c r="U53" i="12"/>
  <c r="V52" i="12"/>
  <c r="U52" i="12"/>
  <c r="V51" i="12"/>
  <c r="U51" i="12"/>
  <c r="V50" i="12"/>
  <c r="U50" i="12"/>
  <c r="V49" i="12"/>
  <c r="U49" i="12"/>
  <c r="V48" i="12"/>
  <c r="U48" i="12"/>
  <c r="V47" i="12"/>
  <c r="U47" i="12"/>
  <c r="V46" i="12"/>
  <c r="U46" i="12"/>
  <c r="V45" i="12"/>
  <c r="U45" i="12"/>
  <c r="V44" i="12"/>
  <c r="U44" i="12"/>
  <c r="V43" i="12"/>
  <c r="U43" i="12"/>
  <c r="V42" i="12"/>
  <c r="U42" i="12"/>
  <c r="V41" i="12"/>
  <c r="U41" i="12"/>
  <c r="V40" i="12"/>
  <c r="U40" i="12"/>
  <c r="S69" i="12"/>
  <c r="S68" i="12"/>
  <c r="S67" i="12"/>
  <c r="S66" i="12"/>
  <c r="S65" i="12"/>
  <c r="S64" i="12"/>
  <c r="S63" i="12"/>
  <c r="S62" i="12"/>
  <c r="S61" i="12"/>
  <c r="S60" i="12"/>
  <c r="S59" i="12"/>
  <c r="S58" i="12"/>
  <c r="S57" i="12"/>
  <c r="S56" i="12"/>
  <c r="S55" i="12"/>
  <c r="S54" i="12"/>
  <c r="S53" i="12"/>
  <c r="S52" i="12"/>
  <c r="S51" i="12"/>
  <c r="S50" i="12"/>
  <c r="S49" i="12"/>
  <c r="S48" i="12"/>
  <c r="S47" i="12"/>
  <c r="S46" i="12"/>
  <c r="S45" i="12"/>
  <c r="S44" i="12"/>
  <c r="S43" i="12"/>
  <c r="S42" i="12"/>
  <c r="S41" i="12"/>
  <c r="S40" i="12"/>
  <c r="T69" i="12"/>
  <c r="T68" i="12"/>
  <c r="T67" i="12"/>
  <c r="T66" i="12"/>
  <c r="T65" i="12"/>
  <c r="T64" i="12"/>
  <c r="T63" i="12"/>
  <c r="T62" i="12"/>
  <c r="T61" i="12"/>
  <c r="T60" i="12"/>
  <c r="T59" i="12"/>
  <c r="T58" i="12"/>
  <c r="T57" i="12"/>
  <c r="T56" i="12"/>
  <c r="T55" i="12"/>
  <c r="T54" i="12"/>
  <c r="T53" i="12"/>
  <c r="T52" i="12"/>
  <c r="T51" i="12"/>
  <c r="T50" i="12"/>
  <c r="T49" i="12"/>
  <c r="T48" i="12"/>
  <c r="T47" i="12"/>
  <c r="T46" i="12"/>
  <c r="T45" i="12"/>
  <c r="T44" i="12"/>
  <c r="T43" i="12"/>
  <c r="T42" i="12"/>
  <c r="T41" i="12"/>
  <c r="T40" i="12"/>
  <c r="R69" i="12"/>
  <c r="Q69" i="12"/>
  <c r="R68" i="12"/>
  <c r="Q68" i="12"/>
  <c r="R67" i="12"/>
  <c r="Q67" i="12"/>
  <c r="R66" i="12"/>
  <c r="Q66" i="12"/>
  <c r="R65" i="12"/>
  <c r="Q65" i="12"/>
  <c r="R64" i="12"/>
  <c r="Q64" i="12"/>
  <c r="R63" i="12"/>
  <c r="Q63" i="12"/>
  <c r="R62" i="12"/>
  <c r="Q62" i="12"/>
  <c r="R61" i="12"/>
  <c r="Q61" i="12"/>
  <c r="R60" i="12"/>
  <c r="Q60" i="12"/>
  <c r="R59" i="12"/>
  <c r="Q59" i="12"/>
  <c r="R58" i="12"/>
  <c r="Q58" i="12"/>
  <c r="R57" i="12"/>
  <c r="Q57" i="12"/>
  <c r="R56" i="12"/>
  <c r="Q56" i="12"/>
  <c r="R55" i="12"/>
  <c r="Q55" i="12"/>
  <c r="R54" i="12"/>
  <c r="Q54" i="12"/>
  <c r="R53" i="12"/>
  <c r="Q53" i="12"/>
  <c r="R52" i="12"/>
  <c r="Q52" i="12"/>
  <c r="R51" i="12"/>
  <c r="Q51" i="12"/>
  <c r="R50" i="12"/>
  <c r="Q50" i="12"/>
  <c r="R49" i="12"/>
  <c r="Q49" i="12"/>
  <c r="R48" i="12"/>
  <c r="Q48" i="12"/>
  <c r="R47" i="12"/>
  <c r="Q47" i="12"/>
  <c r="R46" i="12"/>
  <c r="Q46" i="12"/>
  <c r="R45" i="12"/>
  <c r="Q45" i="12"/>
  <c r="R44" i="12"/>
  <c r="Q44" i="12"/>
  <c r="R43" i="12"/>
  <c r="Q43" i="12"/>
  <c r="R42" i="12"/>
  <c r="Q42" i="12"/>
  <c r="R41" i="12"/>
  <c r="Q41" i="12"/>
  <c r="R40" i="12"/>
  <c r="Q40" i="12"/>
  <c r="P69" i="12"/>
  <c r="O69" i="12"/>
  <c r="P68" i="12"/>
  <c r="O68" i="12"/>
  <c r="P67" i="12"/>
  <c r="O67" i="12"/>
  <c r="P66" i="12"/>
  <c r="O66" i="12"/>
  <c r="P65" i="12"/>
  <c r="O65" i="12"/>
  <c r="P64" i="12"/>
  <c r="O64" i="12"/>
  <c r="P63" i="12"/>
  <c r="O63" i="12"/>
  <c r="P62" i="12"/>
  <c r="O62" i="12"/>
  <c r="P61" i="12"/>
  <c r="O61" i="12"/>
  <c r="P60" i="12"/>
  <c r="O60" i="12"/>
  <c r="P59" i="12"/>
  <c r="O59" i="12"/>
  <c r="P58" i="12"/>
  <c r="O58" i="12"/>
  <c r="P57" i="12"/>
  <c r="O57" i="12"/>
  <c r="P56" i="12"/>
  <c r="O56" i="12"/>
  <c r="P55" i="12"/>
  <c r="O55" i="12"/>
  <c r="P54" i="12"/>
  <c r="O54" i="12"/>
  <c r="P53" i="12"/>
  <c r="O53" i="12"/>
  <c r="P52" i="12"/>
  <c r="O52" i="12"/>
  <c r="P51" i="12"/>
  <c r="O51" i="12"/>
  <c r="P50" i="12"/>
  <c r="O50" i="12"/>
  <c r="P49" i="12"/>
  <c r="O49" i="12"/>
  <c r="P48" i="12"/>
  <c r="O48" i="12"/>
  <c r="O47" i="12"/>
  <c r="P46" i="12"/>
  <c r="O46" i="12"/>
  <c r="P45" i="12"/>
  <c r="O45" i="12"/>
  <c r="P44" i="12"/>
  <c r="O44" i="12"/>
  <c r="P43" i="12"/>
  <c r="O43" i="12"/>
  <c r="O42" i="12"/>
  <c r="O41" i="12"/>
  <c r="P40" i="12"/>
  <c r="O40" i="12"/>
  <c r="N69" i="12"/>
  <c r="M69" i="12"/>
  <c r="N68" i="12"/>
  <c r="M68" i="12"/>
  <c r="N67" i="12"/>
  <c r="M67" i="12"/>
  <c r="N66" i="12"/>
  <c r="M66" i="12"/>
  <c r="N65" i="12"/>
  <c r="M65" i="12"/>
  <c r="N64" i="12"/>
  <c r="M64" i="12"/>
  <c r="N63" i="12"/>
  <c r="M63" i="12"/>
  <c r="N62" i="12"/>
  <c r="M62" i="12"/>
  <c r="N61" i="12"/>
  <c r="M61" i="12"/>
  <c r="N60" i="12"/>
  <c r="M60" i="12"/>
  <c r="N59" i="12"/>
  <c r="M59" i="12"/>
  <c r="N58" i="12"/>
  <c r="M58" i="12"/>
  <c r="N57" i="12"/>
  <c r="M57" i="12"/>
  <c r="N56" i="12"/>
  <c r="M56" i="12"/>
  <c r="N55" i="12"/>
  <c r="M55" i="12"/>
  <c r="N54" i="12"/>
  <c r="M54" i="12"/>
  <c r="N53" i="12"/>
  <c r="M53" i="12"/>
  <c r="N52" i="12"/>
  <c r="M52" i="12"/>
  <c r="N51" i="12"/>
  <c r="M51" i="12"/>
  <c r="N50" i="12"/>
  <c r="M50" i="12"/>
  <c r="N49" i="12"/>
  <c r="M49" i="12"/>
  <c r="N48" i="12"/>
  <c r="M48" i="12"/>
  <c r="N47" i="12"/>
  <c r="M47" i="12"/>
  <c r="N46" i="12"/>
  <c r="M46" i="12"/>
  <c r="N45" i="12"/>
  <c r="M45" i="12"/>
  <c r="N44" i="12"/>
  <c r="M44" i="12"/>
  <c r="N43" i="12"/>
  <c r="M43" i="12"/>
  <c r="N42" i="12"/>
  <c r="M42" i="12"/>
  <c r="N41" i="12"/>
  <c r="M41" i="12"/>
  <c r="N40" i="12"/>
  <c r="M40" i="12"/>
  <c r="K69" i="12"/>
  <c r="J69" i="12"/>
  <c r="K68" i="12"/>
  <c r="J68" i="12"/>
  <c r="K67" i="12"/>
  <c r="J67" i="12"/>
  <c r="K66" i="12"/>
  <c r="J66" i="12"/>
  <c r="K65" i="12"/>
  <c r="J65" i="12"/>
  <c r="K64" i="12"/>
  <c r="J64" i="12"/>
  <c r="K63" i="12"/>
  <c r="J63" i="12"/>
  <c r="K62" i="12"/>
  <c r="J62" i="12"/>
  <c r="K61" i="12"/>
  <c r="J61" i="12"/>
  <c r="K60" i="12"/>
  <c r="J60" i="12"/>
  <c r="K59" i="12"/>
  <c r="J59" i="12"/>
  <c r="K58" i="12"/>
  <c r="J58" i="12"/>
  <c r="K57" i="12"/>
  <c r="J57" i="12"/>
  <c r="K56" i="12"/>
  <c r="J56" i="12"/>
  <c r="K55" i="12"/>
  <c r="J55" i="12"/>
  <c r="K54" i="12"/>
  <c r="J54" i="12"/>
  <c r="K53" i="12"/>
  <c r="J53" i="12"/>
  <c r="K52" i="12"/>
  <c r="J52" i="12"/>
  <c r="K51" i="12"/>
  <c r="J51" i="12"/>
  <c r="K50" i="12"/>
  <c r="J50" i="12"/>
  <c r="K49" i="12"/>
  <c r="J49" i="12"/>
  <c r="K48" i="12"/>
  <c r="J48" i="12"/>
  <c r="K47" i="12"/>
  <c r="J47" i="12"/>
  <c r="K46" i="12"/>
  <c r="J46" i="12"/>
  <c r="K45" i="12"/>
  <c r="J45" i="12"/>
  <c r="K44" i="12"/>
  <c r="J44" i="12"/>
  <c r="K43" i="12"/>
  <c r="J43" i="12"/>
  <c r="K42" i="12"/>
  <c r="J42" i="12"/>
  <c r="K41" i="12"/>
  <c r="J41" i="12"/>
  <c r="K40" i="12"/>
  <c r="J40" i="12"/>
  <c r="I69" i="12"/>
  <c r="H69" i="12"/>
  <c r="I68" i="12"/>
  <c r="H68" i="12"/>
  <c r="I67" i="12"/>
  <c r="H67" i="12"/>
  <c r="I66" i="12"/>
  <c r="H66" i="12"/>
  <c r="I65" i="12"/>
  <c r="H65" i="12"/>
  <c r="I64" i="12"/>
  <c r="H64" i="12"/>
  <c r="I63" i="12"/>
  <c r="H63" i="12"/>
  <c r="I62" i="12"/>
  <c r="H62" i="12"/>
  <c r="I61" i="12"/>
  <c r="H61" i="12"/>
  <c r="I60" i="12"/>
  <c r="H60" i="12"/>
  <c r="I59" i="12"/>
  <c r="H59" i="12"/>
  <c r="I58" i="12"/>
  <c r="H58" i="12"/>
  <c r="I57" i="12"/>
  <c r="H57" i="12"/>
  <c r="I56" i="12"/>
  <c r="H56" i="12"/>
  <c r="I55" i="12"/>
  <c r="H55" i="12"/>
  <c r="I54" i="12"/>
  <c r="H54" i="12"/>
  <c r="I53" i="12"/>
  <c r="H53" i="12"/>
  <c r="I52" i="12"/>
  <c r="H52" i="12"/>
  <c r="I51" i="12"/>
  <c r="H51" i="12"/>
  <c r="I50" i="12"/>
  <c r="H50" i="12"/>
  <c r="I49" i="12"/>
  <c r="H49" i="12"/>
  <c r="I48" i="12"/>
  <c r="H48" i="12"/>
  <c r="I47" i="12"/>
  <c r="H47" i="12"/>
  <c r="I46" i="12"/>
  <c r="H46" i="12"/>
  <c r="I45" i="12"/>
  <c r="H45" i="12"/>
  <c r="I44" i="12"/>
  <c r="H44" i="12"/>
  <c r="I43" i="12"/>
  <c r="H43" i="12"/>
  <c r="I42" i="12"/>
  <c r="H42" i="12"/>
  <c r="I41" i="12"/>
  <c r="H41" i="12"/>
  <c r="I40" i="12"/>
  <c r="H40" i="12"/>
  <c r="E43" i="10" l="1"/>
  <c r="F29" i="10"/>
  <c r="F48" i="10"/>
  <c r="F58" i="12"/>
  <c r="F64" i="12"/>
  <c r="F44" i="12"/>
  <c r="F50" i="12"/>
  <c r="F53" i="12"/>
  <c r="F56" i="12"/>
  <c r="F59" i="12"/>
  <c r="F62" i="12"/>
  <c r="F65" i="12"/>
  <c r="F68" i="12"/>
  <c r="E45" i="12"/>
  <c r="E48" i="12"/>
  <c r="E51" i="12"/>
  <c r="E54" i="12"/>
  <c r="E57" i="12"/>
  <c r="E60" i="12"/>
  <c r="E63" i="12"/>
  <c r="E66" i="12"/>
  <c r="E69" i="12"/>
  <c r="F45" i="12"/>
  <c r="F48" i="12"/>
  <c r="F51" i="12"/>
  <c r="F54" i="12"/>
  <c r="F57" i="12"/>
  <c r="F60" i="12"/>
  <c r="F63" i="12"/>
  <c r="F66" i="12"/>
  <c r="F69" i="12"/>
  <c r="E42" i="12"/>
  <c r="E40" i="12"/>
  <c r="E46" i="12"/>
  <c r="E52" i="12"/>
  <c r="E58" i="12"/>
  <c r="E64" i="12"/>
  <c r="F40" i="12"/>
  <c r="F52" i="12"/>
  <c r="E47" i="12"/>
  <c r="P47" i="12"/>
  <c r="F47" i="12" s="1"/>
  <c r="F46" i="12"/>
  <c r="E50" i="12"/>
  <c r="E53" i="12"/>
  <c r="E56" i="12"/>
  <c r="E59" i="12"/>
  <c r="E62" i="12"/>
  <c r="E65" i="12"/>
  <c r="E68" i="12"/>
  <c r="P41" i="12"/>
  <c r="F41" i="12" s="1"/>
  <c r="P42" i="12"/>
  <c r="F42" i="12" s="1"/>
  <c r="E43" i="12"/>
  <c r="E61" i="12"/>
  <c r="E55" i="12"/>
  <c r="E67" i="12"/>
  <c r="E49" i="12"/>
  <c r="F43" i="12"/>
  <c r="F49" i="12"/>
  <c r="F55" i="12"/>
  <c r="F61" i="12"/>
  <c r="F67" i="12"/>
  <c r="E44" i="12"/>
  <c r="E41" i="12"/>
  <c r="R47" i="9" l="1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AO48" i="8"/>
  <c r="AO47" i="8"/>
  <c r="AO46" i="8"/>
  <c r="AO45" i="8"/>
  <c r="AO44" i="8"/>
  <c r="AO43" i="8"/>
  <c r="AO42" i="8"/>
  <c r="AO41" i="8"/>
  <c r="AO40" i="8"/>
  <c r="AO39" i="8"/>
  <c r="AO38" i="8"/>
  <c r="AO37" i="8"/>
  <c r="AO36" i="8"/>
  <c r="AO35" i="8"/>
  <c r="AO34" i="8"/>
  <c r="AO33" i="8"/>
  <c r="AO32" i="8"/>
  <c r="AO31" i="8"/>
  <c r="AO30" i="8"/>
  <c r="AO29" i="8"/>
  <c r="AO28" i="8"/>
  <c r="AO27" i="8"/>
  <c r="AO26" i="8"/>
  <c r="AO25" i="8"/>
  <c r="AO24" i="8"/>
  <c r="AO23" i="8"/>
  <c r="AO22" i="8"/>
  <c r="AO21" i="8"/>
  <c r="AO20" i="8"/>
  <c r="AO19" i="8"/>
  <c r="R48" i="8"/>
  <c r="R47" i="8"/>
  <c r="F47" i="8" s="1"/>
  <c r="R46" i="8"/>
  <c r="F46" i="8" s="1"/>
  <c r="R45" i="8"/>
  <c r="R44" i="8"/>
  <c r="F44" i="8" s="1"/>
  <c r="R43" i="8"/>
  <c r="F43" i="8" s="1"/>
  <c r="R42" i="8"/>
  <c r="F42" i="8" s="1"/>
  <c r="R41" i="8"/>
  <c r="R40" i="8"/>
  <c r="F40" i="8" s="1"/>
  <c r="R39" i="8"/>
  <c r="F39" i="8" s="1"/>
  <c r="R38" i="8"/>
  <c r="F38" i="8" s="1"/>
  <c r="R37" i="8"/>
  <c r="R36" i="8"/>
  <c r="F36" i="8" s="1"/>
  <c r="R35" i="8"/>
  <c r="F35" i="8" s="1"/>
  <c r="R34" i="8"/>
  <c r="F34" i="8" s="1"/>
  <c r="R33" i="8"/>
  <c r="R32" i="8"/>
  <c r="F32" i="8" s="1"/>
  <c r="R31" i="8"/>
  <c r="F31" i="8" s="1"/>
  <c r="R30" i="8"/>
  <c r="F30" i="8" s="1"/>
  <c r="R29" i="8"/>
  <c r="R28" i="8"/>
  <c r="F28" i="8" s="1"/>
  <c r="R27" i="8"/>
  <c r="F27" i="8" s="1"/>
  <c r="R26" i="8"/>
  <c r="F26" i="8" s="1"/>
  <c r="R25" i="8"/>
  <c r="R24" i="8"/>
  <c r="F24" i="8" s="1"/>
  <c r="R23" i="8"/>
  <c r="F23" i="8" s="1"/>
  <c r="R22" i="8"/>
  <c r="F22" i="8" s="1"/>
  <c r="R21" i="8"/>
  <c r="R20" i="8"/>
  <c r="F20" i="8" s="1"/>
  <c r="R19" i="8"/>
  <c r="F19" i="8" s="1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I48" i="8"/>
  <c r="E48" i="8" s="1"/>
  <c r="I47" i="8"/>
  <c r="E47" i="8" s="1"/>
  <c r="I46" i="8"/>
  <c r="E46" i="8" s="1"/>
  <c r="I45" i="8"/>
  <c r="I44" i="8"/>
  <c r="E44" i="8" s="1"/>
  <c r="I43" i="8"/>
  <c r="E43" i="8" s="1"/>
  <c r="I42" i="8"/>
  <c r="E42" i="8" s="1"/>
  <c r="I41" i="8"/>
  <c r="I40" i="8"/>
  <c r="E40" i="8" s="1"/>
  <c r="I39" i="8"/>
  <c r="E39" i="8" s="1"/>
  <c r="I38" i="8"/>
  <c r="E38" i="8" s="1"/>
  <c r="I37" i="8"/>
  <c r="I36" i="8"/>
  <c r="E36" i="8" s="1"/>
  <c r="I35" i="8"/>
  <c r="E35" i="8" s="1"/>
  <c r="I34" i="8"/>
  <c r="E34" i="8" s="1"/>
  <c r="I33" i="8"/>
  <c r="I32" i="8"/>
  <c r="E32" i="8" s="1"/>
  <c r="I31" i="8"/>
  <c r="E31" i="8" s="1"/>
  <c r="I30" i="8"/>
  <c r="E30" i="8" s="1"/>
  <c r="I29" i="8"/>
  <c r="I28" i="8"/>
  <c r="E28" i="8" s="1"/>
  <c r="I27" i="8"/>
  <c r="E27" i="8" s="1"/>
  <c r="I26" i="8"/>
  <c r="E26" i="8" s="1"/>
  <c r="I25" i="8"/>
  <c r="I24" i="8"/>
  <c r="E24" i="8" s="1"/>
  <c r="I23" i="8"/>
  <c r="E23" i="8" s="1"/>
  <c r="I22" i="8"/>
  <c r="E22" i="8" s="1"/>
  <c r="I21" i="8"/>
  <c r="I20" i="8"/>
  <c r="I19" i="8"/>
  <c r="E19" i="8" s="1"/>
  <c r="E34" i="9" l="1"/>
  <c r="E42" i="9"/>
  <c r="E46" i="9"/>
  <c r="F22" i="9"/>
  <c r="F26" i="9"/>
  <c r="F34" i="9"/>
  <c r="F38" i="9"/>
  <c r="F42" i="9"/>
  <c r="E38" i="9"/>
  <c r="E22" i="9"/>
  <c r="E26" i="9"/>
  <c r="E19" i="9"/>
  <c r="E27" i="9"/>
  <c r="E31" i="9"/>
  <c r="E35" i="9"/>
  <c r="E39" i="9"/>
  <c r="E43" i="9"/>
  <c r="E47" i="9"/>
  <c r="F27" i="9"/>
  <c r="F31" i="9"/>
  <c r="F35" i="9"/>
  <c r="F39" i="9"/>
  <c r="F43" i="9"/>
  <c r="F19" i="9"/>
  <c r="E23" i="9"/>
  <c r="F23" i="9"/>
  <c r="F18" i="9"/>
  <c r="E18" i="9"/>
  <c r="F48" i="8"/>
  <c r="F47" i="9"/>
  <c r="F30" i="9"/>
  <c r="E20" i="8"/>
  <c r="F46" i="9"/>
  <c r="E30" i="9"/>
  <c r="E21" i="9"/>
  <c r="E25" i="9"/>
  <c r="E29" i="9"/>
  <c r="E33" i="9"/>
  <c r="E37" i="9"/>
  <c r="E41" i="9"/>
  <c r="E45" i="9"/>
  <c r="F21" i="9"/>
  <c r="F25" i="9"/>
  <c r="F29" i="9"/>
  <c r="F33" i="9"/>
  <c r="F37" i="9"/>
  <c r="F41" i="9"/>
  <c r="F45" i="9"/>
  <c r="E20" i="9"/>
  <c r="E24" i="9"/>
  <c r="E28" i="9"/>
  <c r="E32" i="9"/>
  <c r="E36" i="9"/>
  <c r="E40" i="9"/>
  <c r="E44" i="9"/>
  <c r="F20" i="9"/>
  <c r="F24" i="9"/>
  <c r="F28" i="9"/>
  <c r="F32" i="9"/>
  <c r="F36" i="9"/>
  <c r="F40" i="9"/>
  <c r="F44" i="9"/>
  <c r="E21" i="8"/>
  <c r="E25" i="8"/>
  <c r="E29" i="8"/>
  <c r="E33" i="8"/>
  <c r="E37" i="8"/>
  <c r="E41" i="8"/>
  <c r="E45" i="8"/>
  <c r="F21" i="8"/>
  <c r="F25" i="8"/>
  <c r="F29" i="8"/>
  <c r="F33" i="8"/>
  <c r="F37" i="8"/>
  <c r="F41" i="8"/>
  <c r="F45" i="8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R62" i="6"/>
  <c r="R61" i="6"/>
  <c r="R60" i="6"/>
  <c r="R59" i="6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AO59" i="2"/>
  <c r="AO58" i="2"/>
  <c r="AO57" i="2"/>
  <c r="AO56" i="2"/>
  <c r="AO55" i="2"/>
  <c r="AO54" i="2"/>
  <c r="AO53" i="2"/>
  <c r="AO52" i="2"/>
  <c r="AO51" i="2"/>
  <c r="AO50" i="2"/>
  <c r="AO49" i="2"/>
  <c r="AO48" i="2"/>
  <c r="AO47" i="2"/>
  <c r="AO46" i="2"/>
  <c r="AO45" i="2"/>
  <c r="AO44" i="2"/>
  <c r="AO43" i="2"/>
  <c r="AO42" i="2"/>
  <c r="AO41" i="2"/>
  <c r="AO40" i="2"/>
  <c r="AO39" i="2"/>
  <c r="AO38" i="2"/>
  <c r="AO37" i="2"/>
  <c r="AO36" i="2"/>
  <c r="AO35" i="2"/>
  <c r="AO34" i="2"/>
  <c r="AO33" i="2"/>
  <c r="AO32" i="2"/>
  <c r="AO31" i="2"/>
  <c r="AO3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E48" i="6" l="1"/>
  <c r="E56" i="6"/>
  <c r="E60" i="6"/>
  <c r="F36" i="6"/>
  <c r="F40" i="6"/>
  <c r="F44" i="6"/>
  <c r="F48" i="6"/>
  <c r="F52" i="6"/>
  <c r="F56" i="6"/>
  <c r="E44" i="6"/>
  <c r="E52" i="6"/>
  <c r="E47" i="2"/>
  <c r="E51" i="2"/>
  <c r="E55" i="2"/>
  <c r="E59" i="2"/>
  <c r="F31" i="2"/>
  <c r="F35" i="2"/>
  <c r="F39" i="2"/>
  <c r="F43" i="2"/>
  <c r="F47" i="2"/>
  <c r="F51" i="2"/>
  <c r="F55" i="2"/>
  <c r="F59" i="2"/>
  <c r="E36" i="6"/>
  <c r="E40" i="6"/>
  <c r="E43" i="2"/>
  <c r="E35" i="2"/>
  <c r="F60" i="6"/>
  <c r="E39" i="2"/>
  <c r="E31" i="2"/>
  <c r="E23" i="7"/>
  <c r="E27" i="7"/>
  <c r="E31" i="7"/>
  <c r="E35" i="7"/>
  <c r="E39" i="7"/>
  <c r="E43" i="7"/>
  <c r="E47" i="7"/>
  <c r="E51" i="7"/>
  <c r="F23" i="7"/>
  <c r="F27" i="7"/>
  <c r="F31" i="7"/>
  <c r="F35" i="7"/>
  <c r="F39" i="7"/>
  <c r="F43" i="7"/>
  <c r="F47" i="7"/>
  <c r="F51" i="7"/>
  <c r="E34" i="6"/>
  <c r="E42" i="6"/>
  <c r="E38" i="6"/>
  <c r="E46" i="6"/>
  <c r="E50" i="6"/>
  <c r="E54" i="6"/>
  <c r="E58" i="6"/>
  <c r="E62" i="6"/>
  <c r="F34" i="6"/>
  <c r="F38" i="6"/>
  <c r="F42" i="6"/>
  <c r="F46" i="6"/>
  <c r="F50" i="6"/>
  <c r="F54" i="6"/>
  <c r="F58" i="6"/>
  <c r="F62" i="6"/>
  <c r="E33" i="6"/>
  <c r="E37" i="6"/>
  <c r="E41" i="6"/>
  <c r="E45" i="6"/>
  <c r="E49" i="6"/>
  <c r="E53" i="6"/>
  <c r="E57" i="6"/>
  <c r="E61" i="6"/>
  <c r="F33" i="6"/>
  <c r="F37" i="6"/>
  <c r="F41" i="6"/>
  <c r="F45" i="6"/>
  <c r="F49" i="6"/>
  <c r="F53" i="6"/>
  <c r="F57" i="6"/>
  <c r="F61" i="6"/>
  <c r="E30" i="2"/>
  <c r="E34" i="2"/>
  <c r="E38" i="2"/>
  <c r="E42" i="2"/>
  <c r="E46" i="2"/>
  <c r="E50" i="2"/>
  <c r="E54" i="2"/>
  <c r="E58" i="2"/>
  <c r="F30" i="2"/>
  <c r="F34" i="2"/>
  <c r="F38" i="2"/>
  <c r="F42" i="2"/>
  <c r="F46" i="2"/>
  <c r="F50" i="2"/>
  <c r="F54" i="2"/>
  <c r="F58" i="2"/>
  <c r="E24" i="7"/>
  <c r="E32" i="7"/>
  <c r="E36" i="7"/>
  <c r="E40" i="7"/>
  <c r="E44" i="7"/>
  <c r="E48" i="7"/>
  <c r="F24" i="7"/>
  <c r="F28" i="7"/>
  <c r="F32" i="7"/>
  <c r="F36" i="7"/>
  <c r="F40" i="7"/>
  <c r="F44" i="7"/>
  <c r="F48" i="7"/>
  <c r="E22" i="7"/>
  <c r="E30" i="7"/>
  <c r="E34" i="7"/>
  <c r="E38" i="7"/>
  <c r="E42" i="7"/>
  <c r="E46" i="7"/>
  <c r="E50" i="7"/>
  <c r="F22" i="7"/>
  <c r="F26" i="7"/>
  <c r="F30" i="7"/>
  <c r="F34" i="7"/>
  <c r="F38" i="7"/>
  <c r="F42" i="7"/>
  <c r="F46" i="7"/>
  <c r="F50" i="7"/>
  <c r="E26" i="7"/>
  <c r="E25" i="7"/>
  <c r="E29" i="7"/>
  <c r="E33" i="7"/>
  <c r="E37" i="7"/>
  <c r="E41" i="7"/>
  <c r="E45" i="7"/>
  <c r="E49" i="7"/>
  <c r="F25" i="7"/>
  <c r="F29" i="7"/>
  <c r="F33" i="7"/>
  <c r="F37" i="7"/>
  <c r="F41" i="7"/>
  <c r="F45" i="7"/>
  <c r="F49" i="7"/>
  <c r="E35" i="6"/>
  <c r="E39" i="6"/>
  <c r="E43" i="6"/>
  <c r="E47" i="6"/>
  <c r="E51" i="6"/>
  <c r="E55" i="6"/>
  <c r="E59" i="6"/>
  <c r="F35" i="6"/>
  <c r="F39" i="6"/>
  <c r="F43" i="6"/>
  <c r="F47" i="6"/>
  <c r="F51" i="6"/>
  <c r="F55" i="6"/>
  <c r="F59" i="6"/>
  <c r="E33" i="2"/>
  <c r="E37" i="2"/>
  <c r="E41" i="2"/>
  <c r="E45" i="2"/>
  <c r="E49" i="2"/>
  <c r="E53" i="2"/>
  <c r="E57" i="2"/>
  <c r="F33" i="2"/>
  <c r="F37" i="2"/>
  <c r="F41" i="2"/>
  <c r="F45" i="2"/>
  <c r="F49" i="2"/>
  <c r="F53" i="2"/>
  <c r="F57" i="2"/>
  <c r="E32" i="2"/>
  <c r="E36" i="2"/>
  <c r="E40" i="2"/>
  <c r="E44" i="2"/>
  <c r="E48" i="2"/>
  <c r="E52" i="2"/>
  <c r="E56" i="2"/>
  <c r="F32" i="2"/>
  <c r="F36" i="2"/>
  <c r="F40" i="2"/>
  <c r="F44" i="2"/>
  <c r="F48" i="2"/>
  <c r="F52" i="2"/>
  <c r="F56" i="2"/>
  <c r="E28" i="7"/>
  <c r="AZ59" i="14" l="1"/>
  <c r="AZ58" i="14"/>
  <c r="AZ57" i="14"/>
  <c r="AZ56" i="14"/>
  <c r="AZ55" i="14"/>
  <c r="AZ54" i="14"/>
  <c r="AZ53" i="14"/>
  <c r="AZ52" i="14"/>
  <c r="AZ51" i="14"/>
  <c r="AZ50" i="14"/>
  <c r="AZ49" i="14"/>
  <c r="AZ48" i="14"/>
  <c r="AZ47" i="14"/>
  <c r="AZ46" i="14"/>
  <c r="AZ45" i="14"/>
  <c r="AZ44" i="14"/>
  <c r="AZ43" i="14"/>
  <c r="AZ42" i="14"/>
  <c r="AZ41" i="14"/>
  <c r="AZ40" i="14"/>
  <c r="AZ39" i="14"/>
  <c r="AZ38" i="14"/>
  <c r="AZ37" i="14"/>
  <c r="AZ36" i="14"/>
  <c r="AZ35" i="14"/>
  <c r="AZ34" i="14"/>
  <c r="AZ33" i="14"/>
  <c r="AZ32" i="14"/>
  <c r="AZ31" i="14"/>
  <c r="CD24" i="14"/>
  <c r="CC24" i="14"/>
  <c r="CB24" i="14"/>
  <c r="CA24" i="14"/>
  <c r="BZ24" i="14"/>
  <c r="BY24" i="14"/>
  <c r="BX24" i="14"/>
  <c r="BW24" i="14"/>
  <c r="BV24" i="14"/>
  <c r="BU24" i="14"/>
  <c r="BT24" i="14"/>
  <c r="BS24" i="14"/>
  <c r="BR24" i="14"/>
  <c r="BQ24" i="14"/>
  <c r="BP24" i="14"/>
  <c r="BO24" i="14"/>
  <c r="BN24" i="14"/>
  <c r="BM24" i="14"/>
  <c r="BL24" i="14"/>
  <c r="BK24" i="14"/>
  <c r="BJ24" i="14"/>
  <c r="BI24" i="14"/>
  <c r="BH24" i="14"/>
  <c r="BF24" i="14"/>
  <c r="BE24" i="14"/>
  <c r="BD24" i="14"/>
  <c r="BC24" i="14"/>
  <c r="BA24" i="14"/>
  <c r="AZ24" i="14"/>
  <c r="CE23" i="14"/>
  <c r="BG23" i="14"/>
  <c r="BB23" i="14"/>
  <c r="AY23" i="14"/>
  <c r="CE22" i="14"/>
  <c r="BG22" i="14"/>
  <c r="BB22" i="14"/>
  <c r="AY22" i="14"/>
  <c r="CE21" i="14"/>
  <c r="BG21" i="14"/>
  <c r="BB21" i="14"/>
  <c r="AY21" i="14"/>
  <c r="CE20" i="14"/>
  <c r="BG20" i="14"/>
  <c r="BB20" i="14"/>
  <c r="AY20" i="14"/>
  <c r="CE19" i="14"/>
  <c r="BG19" i="14"/>
  <c r="BB19" i="14"/>
  <c r="AY19" i="14"/>
  <c r="CE18" i="14"/>
  <c r="BG18" i="14"/>
  <c r="BB18" i="14"/>
  <c r="AY18" i="14"/>
  <c r="CE17" i="14"/>
  <c r="BG17" i="14"/>
  <c r="BB17" i="14"/>
  <c r="AY17" i="14"/>
  <c r="CE16" i="14"/>
  <c r="BG16" i="14"/>
  <c r="BB16" i="14"/>
  <c r="AY16" i="14"/>
  <c r="CE15" i="14"/>
  <c r="BG15" i="14"/>
  <c r="BB15" i="14"/>
  <c r="AY15" i="14"/>
  <c r="CE13" i="14"/>
  <c r="BG13" i="14"/>
  <c r="BB13" i="14"/>
  <c r="AY13" i="14"/>
  <c r="CE12" i="14"/>
  <c r="BG12" i="14"/>
  <c r="BB12" i="14"/>
  <c r="AY12" i="14"/>
  <c r="CE11" i="14"/>
  <c r="BG11" i="14"/>
  <c r="BB11" i="14"/>
  <c r="AY11" i="14"/>
  <c r="CE10" i="14"/>
  <c r="BG10" i="14"/>
  <c r="BB10" i="14"/>
  <c r="AY10" i="14"/>
  <c r="CE9" i="14"/>
  <c r="BG9" i="14"/>
  <c r="BB9" i="14"/>
  <c r="AY9" i="14"/>
  <c r="CE8" i="14"/>
  <c r="BG8" i="14"/>
  <c r="BB8" i="14"/>
  <c r="AY8" i="14"/>
  <c r="H8" i="14"/>
  <c r="CE7" i="14"/>
  <c r="BG7" i="14"/>
  <c r="BB7" i="14"/>
  <c r="AY7" i="14"/>
  <c r="U8" i="14"/>
  <c r="P8" i="14"/>
  <c r="M8" i="14"/>
  <c r="AO33" i="12"/>
  <c r="AO32" i="12"/>
  <c r="J21" i="12"/>
  <c r="M21" i="12"/>
  <c r="M27" i="12"/>
  <c r="BG24" i="14" l="1"/>
  <c r="BB24" i="14"/>
  <c r="BG59" i="14"/>
  <c r="AY24" i="14"/>
  <c r="BB34" i="14"/>
  <c r="BB36" i="14"/>
  <c r="BB38" i="14"/>
  <c r="BB40" i="14"/>
  <c r="BB44" i="14"/>
  <c r="BB46" i="14"/>
  <c r="BB48" i="14"/>
  <c r="BB50" i="14"/>
  <c r="BB52" i="14"/>
  <c r="BB54" i="14"/>
  <c r="BB56" i="14"/>
  <c r="BB58" i="14"/>
  <c r="BB32" i="14"/>
  <c r="BB42" i="14"/>
  <c r="CE24" i="14"/>
  <c r="BG32" i="14"/>
  <c r="BG34" i="14"/>
  <c r="BG36" i="14"/>
  <c r="BG38" i="14"/>
  <c r="BG40" i="14"/>
  <c r="BG42" i="14"/>
  <c r="BG44" i="14"/>
  <c r="BG46" i="14"/>
  <c r="BG48" i="14"/>
  <c r="BG50" i="14"/>
  <c r="BG52" i="14"/>
  <c r="BG54" i="14"/>
  <c r="BG56" i="14"/>
  <c r="BG58" i="14"/>
  <c r="BB33" i="14"/>
  <c r="BB35" i="14"/>
  <c r="BB37" i="14"/>
  <c r="BB41" i="14"/>
  <c r="BB43" i="14"/>
  <c r="BB45" i="14"/>
  <c r="BB47" i="14"/>
  <c r="BB49" i="14"/>
  <c r="BB51" i="14"/>
  <c r="BB53" i="14"/>
  <c r="BB55" i="14"/>
  <c r="BB57" i="14"/>
  <c r="BB59" i="14"/>
  <c r="BB31" i="14"/>
  <c r="BB39" i="14"/>
  <c r="BG31" i="14"/>
  <c r="BG33" i="14"/>
  <c r="BG35" i="14"/>
  <c r="BG37" i="14"/>
  <c r="BG39" i="14"/>
  <c r="BG41" i="14"/>
  <c r="BG43" i="14"/>
  <c r="BG45" i="14"/>
  <c r="BG47" i="14"/>
  <c r="BG49" i="14"/>
  <c r="BG51" i="14"/>
  <c r="BG53" i="14"/>
  <c r="BG55" i="14"/>
  <c r="BG57" i="14"/>
  <c r="R21" i="12"/>
  <c r="J27" i="12"/>
  <c r="M15" i="12"/>
  <c r="R15" i="12"/>
  <c r="J15" i="12"/>
  <c r="R27" i="12"/>
  <c r="R9" i="12"/>
  <c r="M9" i="12"/>
  <c r="J9" i="12"/>
  <c r="K8" i="14" l="1"/>
  <c r="G21" i="12"/>
  <c r="G15" i="12"/>
  <c r="G27" i="12"/>
  <c r="I8" i="14" l="1"/>
  <c r="E21" i="12"/>
  <c r="E15" i="12"/>
  <c r="E27" i="12"/>
  <c r="G9" i="12"/>
  <c r="E9" i="12" l="1"/>
  <c r="F48" i="5" l="1"/>
  <c r="D36" i="3" s="1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I15" i="9" l="1"/>
  <c r="H10" i="4"/>
  <c r="M10" i="4"/>
  <c r="P10" i="4"/>
  <c r="U10" i="4"/>
  <c r="CE7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E48" i="5"/>
  <c r="L36" i="3" s="1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R8" i="10"/>
  <c r="M8" i="10"/>
  <c r="J8" i="10"/>
  <c r="G8" i="10"/>
  <c r="T15" i="9"/>
  <c r="O15" i="9"/>
  <c r="L15" i="9"/>
  <c r="R8" i="8"/>
  <c r="M8" i="8"/>
  <c r="J8" i="8"/>
  <c r="G8" i="8"/>
  <c r="U11" i="7"/>
  <c r="P11" i="7"/>
  <c r="M11" i="7"/>
  <c r="T22" i="6"/>
  <c r="L22" i="6"/>
  <c r="R8" i="5"/>
  <c r="M8" i="5"/>
  <c r="J8" i="5"/>
  <c r="G8" i="5"/>
  <c r="E8" i="5"/>
  <c r="L19" i="2"/>
  <c r="O19" i="2"/>
  <c r="T19" i="2"/>
  <c r="AZ24" i="4"/>
  <c r="BG15" i="4"/>
  <c r="BG16" i="4"/>
  <c r="BB16" i="4" s="1"/>
  <c r="AY16" i="4" s="1"/>
  <c r="BG17" i="4"/>
  <c r="BB17" i="4" s="1"/>
  <c r="AY17" i="4" s="1"/>
  <c r="BG18" i="4"/>
  <c r="BB18" i="4" s="1"/>
  <c r="AY18" i="4" s="1"/>
  <c r="BG19" i="4"/>
  <c r="BB19" i="4" s="1"/>
  <c r="AY19" i="4" s="1"/>
  <c r="BG20" i="4"/>
  <c r="BB20" i="4" s="1"/>
  <c r="AY20" i="4" s="1"/>
  <c r="BG21" i="4"/>
  <c r="BB21" i="4" s="1"/>
  <c r="AY21" i="4" s="1"/>
  <c r="BG22" i="4"/>
  <c r="BB22" i="4" s="1"/>
  <c r="AY22" i="4" s="1"/>
  <c r="BG23" i="4"/>
  <c r="BB23" i="4" s="1"/>
  <c r="AY23" i="4" s="1"/>
  <c r="BB7" i="4"/>
  <c r="BB8" i="4"/>
  <c r="BB9" i="4"/>
  <c r="BB10" i="4"/>
  <c r="BB11" i="4"/>
  <c r="BB12" i="4"/>
  <c r="BB13" i="4"/>
  <c r="BB14" i="4"/>
  <c r="BC24" i="4"/>
  <c r="AZ34" i="4" s="1"/>
  <c r="BD24" i="4"/>
  <c r="AZ35" i="4" s="1"/>
  <c r="BE24" i="4"/>
  <c r="AZ36" i="4" s="1"/>
  <c r="BG7" i="4"/>
  <c r="BG8" i="4"/>
  <c r="BG9" i="4"/>
  <c r="BG10" i="4"/>
  <c r="BG11" i="4"/>
  <c r="BG12" i="4"/>
  <c r="BG13" i="4"/>
  <c r="BG14" i="4"/>
  <c r="BH24" i="4"/>
  <c r="AZ39" i="4" s="1"/>
  <c r="BI24" i="4"/>
  <c r="BJ24" i="4"/>
  <c r="AZ40" i="4" s="1"/>
  <c r="BK24" i="4"/>
  <c r="AZ41" i="4" s="1"/>
  <c r="BL24" i="4"/>
  <c r="AZ42" i="4" s="1"/>
  <c r="BM24" i="4"/>
  <c r="AZ43" i="4" s="1"/>
  <c r="BN24" i="4"/>
  <c r="AZ44" i="4" s="1"/>
  <c r="BO24" i="4"/>
  <c r="AZ45" i="4" s="1"/>
  <c r="BP24" i="4"/>
  <c r="AZ46" i="4" s="1"/>
  <c r="BQ24" i="4"/>
  <c r="AZ47" i="4" s="1"/>
  <c r="BR24" i="4"/>
  <c r="AZ48" i="4" s="1"/>
  <c r="BS24" i="4"/>
  <c r="AZ49" i="4" s="1"/>
  <c r="BT24" i="4"/>
  <c r="AZ50" i="4" s="1"/>
  <c r="BU24" i="4"/>
  <c r="AZ51" i="4" s="1"/>
  <c r="BV24" i="4"/>
  <c r="AZ52" i="4" s="1"/>
  <c r="BW24" i="4"/>
  <c r="AZ53" i="4" s="1"/>
  <c r="BX24" i="4"/>
  <c r="AZ54" i="4" s="1"/>
  <c r="BY24" i="4"/>
  <c r="AZ55" i="4" s="1"/>
  <c r="BZ24" i="4"/>
  <c r="AZ56" i="4" s="1"/>
  <c r="CA24" i="4"/>
  <c r="AZ57" i="4" s="1"/>
  <c r="CB24" i="4"/>
  <c r="AZ58" i="4" s="1"/>
  <c r="CC24" i="4"/>
  <c r="AZ59" i="4" s="1"/>
  <c r="CD24" i="4"/>
  <c r="AZ31" i="4" s="1"/>
  <c r="AY7" i="4"/>
  <c r="AY8" i="4"/>
  <c r="AY9" i="4"/>
  <c r="AY10" i="4"/>
  <c r="AY11" i="4"/>
  <c r="AY12" i="4"/>
  <c r="AY13" i="4"/>
  <c r="AY14" i="4"/>
  <c r="BG24" i="4" l="1"/>
  <c r="BB15" i="4"/>
  <c r="BF24" i="4"/>
  <c r="AZ37" i="4" s="1"/>
  <c r="BG55" i="4"/>
  <c r="D31" i="3" s="1"/>
  <c r="BG49" i="4"/>
  <c r="D25" i="3" s="1"/>
  <c r="BG43" i="4"/>
  <c r="D19" i="3" s="1"/>
  <c r="BG38" i="4"/>
  <c r="D14" i="3" s="1"/>
  <c r="BG32" i="4"/>
  <c r="D8" i="3" s="1"/>
  <c r="BG54" i="4"/>
  <c r="D30" i="3" s="1"/>
  <c r="BG48" i="4"/>
  <c r="D24" i="3" s="1"/>
  <c r="BG42" i="4"/>
  <c r="D18" i="3" s="1"/>
  <c r="BG37" i="4"/>
  <c r="D13" i="3" s="1"/>
  <c r="BG31" i="4"/>
  <c r="D7" i="3" s="1"/>
  <c r="BG59" i="4"/>
  <c r="D35" i="3" s="1"/>
  <c r="BG53" i="4"/>
  <c r="D29" i="3" s="1"/>
  <c r="BG47" i="4"/>
  <c r="D23" i="3" s="1"/>
  <c r="BG41" i="4"/>
  <c r="D17" i="3" s="1"/>
  <c r="BG36" i="4"/>
  <c r="D12" i="3" s="1"/>
  <c r="BG34" i="4"/>
  <c r="D10" i="3" s="1"/>
  <c r="BG58" i="4"/>
  <c r="D34" i="3" s="1"/>
  <c r="BG52" i="4"/>
  <c r="D28" i="3" s="1"/>
  <c r="BG46" i="4"/>
  <c r="D22" i="3" s="1"/>
  <c r="BG40" i="4"/>
  <c r="D16" i="3" s="1"/>
  <c r="BG35" i="4"/>
  <c r="D11" i="3" s="1"/>
  <c r="BG57" i="4"/>
  <c r="D33" i="3" s="1"/>
  <c r="BG51" i="4"/>
  <c r="D27" i="3" s="1"/>
  <c r="BG45" i="4"/>
  <c r="D21" i="3" s="1"/>
  <c r="BG56" i="4"/>
  <c r="D32" i="3" s="1"/>
  <c r="BG50" i="4"/>
  <c r="D26" i="3" s="1"/>
  <c r="BG44" i="4"/>
  <c r="D20" i="3" s="1"/>
  <c r="BG39" i="4"/>
  <c r="D15" i="3" s="1"/>
  <c r="BG33" i="4"/>
  <c r="D9" i="3" s="1"/>
  <c r="I19" i="2"/>
  <c r="BA24" i="4"/>
  <c r="AY15" i="4"/>
  <c r="AY24" i="4" s="1"/>
  <c r="K10" i="4"/>
  <c r="BB56" i="4"/>
  <c r="L32" i="3" s="1"/>
  <c r="BB57" i="4"/>
  <c r="L33" i="3" s="1"/>
  <c r="BB37" i="4"/>
  <c r="L13" i="3" s="1"/>
  <c r="BB44" i="4"/>
  <c r="L20" i="3" s="1"/>
  <c r="BB52" i="4"/>
  <c r="L28" i="3" s="1"/>
  <c r="BB32" i="4"/>
  <c r="L8" i="3" s="1"/>
  <c r="BB43" i="4"/>
  <c r="L19" i="3" s="1"/>
  <c r="BB47" i="4"/>
  <c r="L23" i="3" s="1"/>
  <c r="BB51" i="4"/>
  <c r="L27" i="3" s="1"/>
  <c r="BB55" i="4"/>
  <c r="L31" i="3" s="1"/>
  <c r="BB59" i="4"/>
  <c r="L35" i="3" s="1"/>
  <c r="I10" i="4"/>
  <c r="BB33" i="4"/>
  <c r="L9" i="3" s="1"/>
  <c r="BB40" i="4"/>
  <c r="L16" i="3" s="1"/>
  <c r="BB48" i="4"/>
  <c r="L24" i="3" s="1"/>
  <c r="CE24" i="4"/>
  <c r="BB36" i="4"/>
  <c r="L12" i="3" s="1"/>
  <c r="BB31" i="4"/>
  <c r="L7" i="3" s="1"/>
  <c r="BB35" i="4"/>
  <c r="L11" i="3" s="1"/>
  <c r="BB39" i="4"/>
  <c r="L15" i="3" s="1"/>
  <c r="BB42" i="4"/>
  <c r="L18" i="3" s="1"/>
  <c r="BB46" i="4"/>
  <c r="L22" i="3" s="1"/>
  <c r="BB50" i="4"/>
  <c r="L26" i="3" s="1"/>
  <c r="BB54" i="4"/>
  <c r="L30" i="3" s="1"/>
  <c r="BB58" i="4"/>
  <c r="L34" i="3" s="1"/>
  <c r="BB34" i="4"/>
  <c r="L10" i="3" s="1"/>
  <c r="BB38" i="4"/>
  <c r="L14" i="3" s="1"/>
  <c r="BB41" i="4"/>
  <c r="L17" i="3" s="1"/>
  <c r="BB45" i="4"/>
  <c r="L21" i="3" s="1"/>
  <c r="BB49" i="4"/>
  <c r="L25" i="3" s="1"/>
  <c r="BB53" i="4"/>
  <c r="L29" i="3" s="1"/>
  <c r="E8" i="10"/>
  <c r="G15" i="9"/>
  <c r="E8" i="8"/>
  <c r="J11" i="7"/>
  <c r="H11" i="7"/>
  <c r="G19" i="2"/>
  <c r="AZ32" i="4" l="1"/>
  <c r="L6" i="3"/>
  <c r="AZ33" i="4"/>
  <c r="D6" i="3"/>
  <c r="AZ38" i="4"/>
  <c r="BB24" i="4"/>
  <c r="O22" i="6" l="1"/>
  <c r="I22" i="6" l="1"/>
  <c r="G22" i="6"/>
</calcChain>
</file>

<file path=xl/connections.xml><?xml version="1.0" encoding="utf-8"?>
<connections xmlns="http://schemas.openxmlformats.org/spreadsheetml/2006/main">
  <connection id="1" name="Abandon" type="1" refreshedVersion="4" deleted="1" background="1" saveData="1">
    <dbPr connection="" command=""/>
    <parameters count="1">
      <parameter name="Paramètre 2" sqlType="11" parameterType="cell" refreshOnChange="1" cell="Abandon!$E$1"/>
    </parameters>
  </connection>
  <connection id="2" name="Agriculture" type="1" refreshedVersion="4" deleted="1" background="1" saveData="1">
    <dbPr connection="" command=""/>
    <parameters count="2">
      <parameter name="Paramètre1" sqlType="11" parameterType="cell" refreshOnChange="1" cell="Feuil1!$A$1"/>
      <parameter name="Paramètre1" sqlType="11" parameterType="cell" refreshOnChange="1" cell="Feuil1!$A$1"/>
    </parameters>
  </connection>
  <connection id="3" name="AT-IngTerr" type="1" refreshedVersion="4" deleted="1" background="1" saveData="1">
    <dbPr connection="" command=""/>
    <parameters count="3">
      <parameter name="Paramètre 1" sqlType="11" parameterType="cell" refreshOnChange="1" cell="Feuil1!$A$1"/>
      <parameter name="Paramètre 1" sqlType="11" parameterType="cell" refreshOnChange="1" cell="Feuil1!$A$1"/>
      <parameter name="Paramètre 1" sqlType="11" parameterType="cell" refreshOnChange="1" cell="Feuil1!$A$1"/>
    </parameters>
  </connection>
  <connection id="4" name="Attractivité" type="1" refreshedVersion="4" deleted="1" background="1" saveData="1">
    <dbPr connection="" command=""/>
    <parameters count="3">
      <parameter name="Paramètre 1" sqlType="11" parameterType="cell" refreshOnChange="1" cell="Feuil1!$A$1"/>
      <parameter name="Paramètre 1" sqlType="11" parameterType="cell" refreshOnChange="1" cell="Feuil1!$A$1"/>
      <parameter name="Paramètre 1" sqlType="11" parameterType="cell" refreshOnChange="1" cell="Feuil1!$A$1"/>
    </parameters>
  </connection>
  <connection id="5" name="Biodiversité-MOH" type="1" refreshedVersion="4" deleted="1" background="1" saveData="1">
    <dbPr connection="" command=""/>
    <parameters count="4">
      <parameter name="Paramètre 1" sqlType="11" parameterType="cell" refreshOnChange="1" cell="Feuil1!$A$1"/>
      <parameter name="Paramètre 1" sqlType="11" parameterType="cell" refreshOnChange="1" cell="Feuil1!$A$1"/>
      <parameter name="Paramètre 1" sqlType="11" parameterType="cell" refreshOnChange="1" cell="Feuil1!$A$1"/>
      <parameter name="Paramètre 1" sqlType="11" parameterType="cell" refreshOnChange="1" cell="Feuil1!$A$1"/>
    </parameters>
  </connection>
  <connection id="6" name="Bois" type="1" refreshedVersion="4" deleted="1" background="1" saveData="1">
    <dbPr connection="" command=""/>
    <parameters count="1">
      <parameter name="Paramètre 1" sqlType="11" parameterType="cell" refreshOnChange="1" cell="Feuil1!$A$1"/>
    </parameters>
  </connection>
  <connection id="7" name="Centre-Bourg" type="1" refreshedVersion="4" deleted="1" background="1" saveData="1">
    <dbPr connection="" command=""/>
    <parameters count="2">
      <parameter name="Paramètre 1" sqlType="11" parameterType="cell" refreshOnChange="1" cell="Feuil1!$A$1"/>
      <parameter name="Paramètre 1" sqlType="11" parameterType="cell" refreshOnChange="1" cell="Feuil1!$A$1"/>
    </parameters>
  </connection>
  <connection id="8" name="Filières" type="1" refreshedVersion="4" deleted="1" background="1" saveData="1">
    <dbPr connection="" command=""/>
    <parameters count="1">
      <parameter name="Paramètre 1" sqlType="11" parameterType="cell" refreshOnChange="1" cell="Feuil1!$A$1"/>
    </parameters>
  </connection>
  <connection id="9" name="I-Cluny" type="1" refreshedVersion="4" deleted="1" background="1" saveData="1">
    <dbPr connection="" command=""/>
    <parameters count="1">
      <parameter name="Paramètre 1" sqlType="11" parameterType="cell" refreshOnChange="1" cell="Feuil1!$A$1"/>
    </parameters>
  </connection>
  <connection id="10" name="I-Podiensis" type="1" refreshedVersion="4" deleted="1" background="1" saveData="1">
    <dbPr connection="" command=""/>
    <parameters count="1">
      <parameter name="Paramètre 1" sqlType="11" parameterType="cell" refreshOnChange="1" cell="Feuil1!$A$1"/>
    </parameters>
  </connection>
  <connection id="11" name="I-Saint-Guilhem" type="1" refreshedVersion="4" deleted="1" background="1" saveData="1">
    <dbPr connection="" command=""/>
    <parameters count="1">
      <parameter name="Paramètre 1" sqlType="11" parameterType="cell" refreshOnChange="1" cell="Feuil1!$A$1"/>
    </parameters>
  </connection>
  <connection id="12" name="I-Via Fluvia" type="1" refreshedVersion="4" deleted="1" background="1" saveData="1">
    <dbPr connection="" command=""/>
    <parameters count="1">
      <parameter name="Paramètre 1" sqlType="11" parameterType="cell" refreshOnChange="1" cell="Feuil1!$A$1"/>
    </parameters>
  </connection>
  <connection id="13" name="Pierre" type="1" refreshedVersion="4" deleted="1" background="1" saveData="1">
    <dbPr connection="" command=""/>
    <parameters count="1">
      <parameter name="Paramètre 1" sqlType="11" parameterType="cell" refreshOnChange="1" cell="Feuil1!$A$1"/>
    </parameters>
  </connection>
  <connection id="14" name="Reprog" type="1" refreshedVersion="4" deleted="1" background="1" saveData="1">
    <dbPr connection="" command=""/>
    <parameters count="2">
      <parameter name="Paramètre 2" sqlType="11" parameterType="cell" refreshOnChange="1" cell="'Reprog (en cours)'!$E$1"/>
      <parameter name="Paramètre 2" sqlType="11" parameterType="cell" refreshOnChange="1" cell="'Reprog (en cours)'!$E$1"/>
    </parameters>
  </connection>
  <connection id="15" name="Tourisme" type="1" refreshedVersion="4" deleted="1" background="1" saveData="1">
    <dbPr connection="" command=""/>
    <parameters count="1">
      <parameter name="Paramètre 1" sqlType="11" parameterType="cell" refreshOnChange="1" cell="Feuil1!$A$1"/>
    </parameters>
  </connection>
</connections>
</file>

<file path=xl/sharedStrings.xml><?xml version="1.0" encoding="utf-8"?>
<sst xmlns="http://schemas.openxmlformats.org/spreadsheetml/2006/main" count="1642" uniqueCount="246">
  <si>
    <t>Programme</t>
  </si>
  <si>
    <t>Nom_MO</t>
  </si>
  <si>
    <t>Intitule_Operation</t>
  </si>
  <si>
    <t>Coût total déposé</t>
  </si>
  <si>
    <t>Taux Aide Massif</t>
  </si>
  <si>
    <t>Aide Massif Obtenu</t>
  </si>
  <si>
    <t>Taux Aide Publique</t>
  </si>
  <si>
    <t>ID_Synergie</t>
  </si>
  <si>
    <t>Total</t>
  </si>
  <si>
    <t>ID_dossier GIP</t>
  </si>
  <si>
    <t xml:space="preserve">Remarques </t>
  </si>
  <si>
    <t>Aide Publique Obtenue</t>
  </si>
  <si>
    <t>Coût total Eligible FEDER</t>
  </si>
  <si>
    <t>Coût total</t>
  </si>
  <si>
    <t>'FNADT'</t>
  </si>
  <si>
    <t>'Agriculture'</t>
  </si>
  <si>
    <t>'AURA'</t>
  </si>
  <si>
    <t>'BFC'</t>
  </si>
  <si>
    <t>'ALPC'</t>
  </si>
  <si>
    <t>'LRMP'</t>
  </si>
  <si>
    <t>'03'</t>
  </si>
  <si>
    <t>'07'</t>
  </si>
  <si>
    <t>'11'</t>
  </si>
  <si>
    <t>'12'</t>
  </si>
  <si>
    <t>'15'</t>
  </si>
  <si>
    <t>'19'</t>
  </si>
  <si>
    <t>'21'</t>
  </si>
  <si>
    <t>'23'</t>
  </si>
  <si>
    <t>'30'</t>
  </si>
  <si>
    <t>'34'</t>
  </si>
  <si>
    <t>'42'</t>
  </si>
  <si>
    <t>'43'</t>
  </si>
  <si>
    <t>'46'</t>
  </si>
  <si>
    <t>'48'</t>
  </si>
  <si>
    <t>'58'</t>
  </si>
  <si>
    <t>'63'</t>
  </si>
  <si>
    <t>'69'</t>
  </si>
  <si>
    <t>'71'</t>
  </si>
  <si>
    <t>'81'</t>
  </si>
  <si>
    <t>'82'</t>
  </si>
  <si>
    <t>'87'</t>
  </si>
  <si>
    <t>'89'</t>
  </si>
  <si>
    <t>'FEDER'</t>
  </si>
  <si>
    <t>'Autre Public'</t>
  </si>
  <si>
    <t>Etat</t>
  </si>
  <si>
    <t>Régions</t>
  </si>
  <si>
    <t>Départements</t>
  </si>
  <si>
    <t>Avis Cofimac</t>
  </si>
  <si>
    <t>Aide Massif</t>
  </si>
  <si>
    <t>Bois</t>
  </si>
  <si>
    <t>'Coût total éligible'</t>
  </si>
  <si>
    <t>Tx Aide publique</t>
  </si>
  <si>
    <t>Aide 
publique</t>
  </si>
  <si>
    <t>Tx
Aide Massif</t>
  </si>
  <si>
    <t>Avis Prog</t>
  </si>
  <si>
    <t>FEDER</t>
  </si>
  <si>
    <t>ALPC</t>
  </si>
  <si>
    <t>AURA</t>
  </si>
  <si>
    <t>BFC</t>
  </si>
  <si>
    <t>LRMP</t>
  </si>
  <si>
    <t>NumSym</t>
  </si>
  <si>
    <t>Avis</t>
  </si>
  <si>
    <t>Commentaires</t>
  </si>
  <si>
    <t>Total Etat</t>
  </si>
  <si>
    <t>Total Régions</t>
  </si>
  <si>
    <t>Total Dpts</t>
  </si>
  <si>
    <t>Pierre</t>
  </si>
  <si>
    <t>'FNADT '</t>
  </si>
  <si>
    <t>Attractivité</t>
  </si>
  <si>
    <t>Agriculture</t>
  </si>
  <si>
    <t>Tourisme</t>
  </si>
  <si>
    <t>SIDAM</t>
  </si>
  <si>
    <t>IPAMAC</t>
  </si>
  <si>
    <t>Comité de programmation</t>
  </si>
  <si>
    <t>Reprogrammations</t>
  </si>
  <si>
    <t>MOH</t>
  </si>
  <si>
    <t>'Thématique '</t>
  </si>
  <si>
    <t>BL</t>
  </si>
  <si>
    <t>Prévisionnel</t>
  </si>
  <si>
    <t>Prev</t>
  </si>
  <si>
    <t>Final</t>
  </si>
  <si>
    <t>final</t>
  </si>
  <si>
    <t>prev</t>
  </si>
  <si>
    <t>Communauté de Communes du Bassin Decazeville Aubin</t>
  </si>
  <si>
    <t>LAINAMAC</t>
  </si>
  <si>
    <t>Via Podiensis</t>
  </si>
  <si>
    <t>Assistance technique-Ingénierie Territoriale-Prospective</t>
  </si>
  <si>
    <t>Biodiversité-Milieux ouverts Herbacés-Energie</t>
  </si>
  <si>
    <t>Date début operation</t>
  </si>
  <si>
    <t>POI</t>
  </si>
  <si>
    <t>Via Fluvia</t>
  </si>
  <si>
    <t>Saint-Guilhem</t>
  </si>
  <si>
    <t>Cluny/Lyon-Le-Puy-en-Velay</t>
  </si>
  <si>
    <t>Enveloppe FEDER AAP Itinérance</t>
  </si>
  <si>
    <t>FEDER prévisionnel</t>
  </si>
  <si>
    <t>FEDER programmé</t>
  </si>
  <si>
    <t>Reste</t>
  </si>
  <si>
    <t>Retrait/abandon</t>
  </si>
  <si>
    <t>via fluvia</t>
  </si>
  <si>
    <t>cluny</t>
  </si>
  <si>
    <t>podiensis</t>
  </si>
  <si>
    <t>stguilhem</t>
  </si>
  <si>
    <t>Parc naturel régional du Morvan</t>
  </si>
  <si>
    <t>4-Ajournement</t>
  </si>
  <si>
    <t>Avis défavorable pour l'attribution de FEDER. La structure n'a pas la capacité administrative et financière pour gérer des crédits européens.</t>
  </si>
  <si>
    <t>Avis favorable sous réserve pour la programmation sans crédit FEDER.</t>
  </si>
  <si>
    <t>MC0008386</t>
  </si>
  <si>
    <t>Recherche d'un modèle économique pour la valorisation des produits issus des systèmes herbagers du Massif central</t>
  </si>
  <si>
    <t>Biodiversité</t>
  </si>
  <si>
    <t>Services Environnementaux</t>
  </si>
  <si>
    <t>CIMAC</t>
  </si>
  <si>
    <t>MC0006363</t>
  </si>
  <si>
    <t>LPO France - mission rapaces</t>
  </si>
  <si>
    <t>Conservation des grands rapaces nécrophages des milieux ouverts herbacés du Massif central en 2016 et 2017</t>
  </si>
  <si>
    <t>MC0010286</t>
  </si>
  <si>
    <t>Commune d'Anost</t>
  </si>
  <si>
    <t>Constructions Bois Morvan</t>
  </si>
  <si>
    <t>MC0010288</t>
  </si>
  <si>
    <t>Artisans Bois Morvan</t>
  </si>
  <si>
    <t>MC0009355</t>
  </si>
  <si>
    <t>Chambre de métiers et de l'artisanat du Lot</t>
  </si>
  <si>
    <t>Transition énergétique : Cahors - R2CD. Pôle de compétences : Rénovation / Restauration Construction Durable</t>
  </si>
  <si>
    <t>Axe</t>
  </si>
  <si>
    <t>D234</t>
  </si>
  <si>
    <t>Communauté de communes  du pays de Mauriac</t>
  </si>
  <si>
    <t>Redynamisation du centre-bourg de Mauriac et de son territoire</t>
  </si>
  <si>
    <t>Axe_I</t>
  </si>
  <si>
    <t>D235</t>
  </si>
  <si>
    <t>Commune de Mauriac</t>
  </si>
  <si>
    <t>D236</t>
  </si>
  <si>
    <t>Commune de La Souterraine</t>
  </si>
  <si>
    <t>Redynamisation du centre-bourg de  La Souterraine et de son territoire</t>
  </si>
  <si>
    <t>D237</t>
  </si>
  <si>
    <t>Commune de Bellac</t>
  </si>
  <si>
    <t>Redynamisation du centre-bourg de Bellac</t>
  </si>
  <si>
    <t>MC0009286</t>
  </si>
  <si>
    <t>Pays Nivernais Morvan</t>
  </si>
  <si>
    <t>Lancement du LABO des Villages du Futur et d'une WEB TV territoriale</t>
  </si>
  <si>
    <t>MC0009864</t>
  </si>
  <si>
    <t>ADEFPAT (Association pour le Développement par la Formation des Projets, Acteurs et Territoires)</t>
  </si>
  <si>
    <t>RESSAC. REussir  la co-conception de ServiceS aux entreprises pour améliorer l’Attractivité des territoires et la Compétitivité des entreprises</t>
  </si>
  <si>
    <t>MC0009897</t>
  </si>
  <si>
    <t>Syndicat Mixte du Pays de l'Ardèche Méridionale</t>
  </si>
  <si>
    <t>MC0009899</t>
  </si>
  <si>
    <t>Autunois Morvan - Développement Formation (AM-DF)</t>
  </si>
  <si>
    <t>MC0009901</t>
  </si>
  <si>
    <t>Maison de l'Emploi et de la Formation (MDEF) du Rhône</t>
  </si>
  <si>
    <t>MC0009904</t>
  </si>
  <si>
    <t>Association Mode d'Emplois</t>
  </si>
  <si>
    <t>MC0009909</t>
  </si>
  <si>
    <t>PETR Grand Quercy</t>
  </si>
  <si>
    <t>MC0010018</t>
  </si>
  <si>
    <t>Communauté de Communes des Sources de la Loire</t>
  </si>
  <si>
    <t>Construction d’une Politique d’Accueil en Montagne Ardéchoise</t>
  </si>
  <si>
    <t>D228</t>
  </si>
  <si>
    <t>Conseil départemental du Puy-de-Dôme (MSAP de Saint-Eloy-les-Mines)</t>
  </si>
  <si>
    <t xml:space="preserve">EXPERIMENTATION ET DEPLOIEMENT DE SOLUTIONS INNOVANTES : une nouvelle conception des services aux publics en milieu rural </t>
  </si>
  <si>
    <t>MC0009213</t>
  </si>
  <si>
    <t>Syndicat Mixte de préfiguration du PNR de l'Aubrac</t>
  </si>
  <si>
    <t>Animation du Pôle de pleine nature « Aubrac 4 Saisons »</t>
  </si>
  <si>
    <t>MC0009365</t>
  </si>
  <si>
    <t>Parc naturel régional du Pilat</t>
  </si>
  <si>
    <t>Moderniser l’offre cyclotouristique et VTT du massif du Pilat</t>
  </si>
  <si>
    <t>MC0009764</t>
  </si>
  <si>
    <t>Communauté de Communes Causses Aigoual Cévennes Terres Solidaires</t>
  </si>
  <si>
    <t>Pôle Nature 4 saisons du Massif de l’Aigoual, territoire d’expériences pleine nature entre Causses et Cévennes</t>
  </si>
  <si>
    <t>D218</t>
  </si>
  <si>
    <t>Pour proposer de nouvelles itinérances et de nouvelles formes d’itinérance dans le Massif central</t>
  </si>
  <si>
    <t>MC0010115</t>
  </si>
  <si>
    <t>Société FERRIOL-MATRAT</t>
  </si>
  <si>
    <t>Favoriser l'émergence de pratiques de vélos innovantes et accessibles à tous dans le Pilat : conception et prototypage d'un cycle biplaces</t>
  </si>
  <si>
    <t>MC0010575</t>
  </si>
  <si>
    <t>Syndicat Mixte d'Aménagement du Mont Lozère</t>
  </si>
  <si>
    <t>Animation Pôle de Pleine Nature Mont Lozère</t>
  </si>
  <si>
    <t>MC0010618</t>
  </si>
  <si>
    <t>Extension du réseau de randonnée multi-activités – Phases 2 et 3 / Pôle nature 4 saisons du massif de l’Aigoual</t>
  </si>
  <si>
    <t>MC0011094</t>
  </si>
  <si>
    <t>Syndicat mixte du Pays Haut-Languedoc et Vignobles</t>
  </si>
  <si>
    <t>Pôle de pleine nature Montagnes du Caroux- animation et station de trail</t>
  </si>
  <si>
    <t>MC0008565</t>
  </si>
  <si>
    <t>CRITT Bois Midi-Pyrénées</t>
  </si>
  <si>
    <t>Qualification de la ressource locale en vue de sa valorisation et de son usage au regard des futures exigences économiques et énergétiques du marché</t>
  </si>
  <si>
    <t>PFT Bois Midi Pyrénées</t>
  </si>
  <si>
    <t>D199a</t>
  </si>
  <si>
    <t>Construction Bois Morvan</t>
  </si>
  <si>
    <t>D209a</t>
  </si>
  <si>
    <t>Agence de Valorisation de la Recherche Universitaire en Limousin (AVRUL)</t>
  </si>
  <si>
    <t>MAQUETTE NUMERIQUE &amp; TPE dans la construction bois et pour tous les corps d’état</t>
  </si>
  <si>
    <t>MC0010073</t>
  </si>
  <si>
    <t>MacCOFOR</t>
  </si>
  <si>
    <t>Concrétiser les dynamiques forêt-bois innovantes dans les territoires du Massif central pour favoriser leur attractivité - Territoires forestiers innovants (TFI phase 2)</t>
  </si>
  <si>
    <t>URCOFOR Auvergne-Rhône-Alpes</t>
  </si>
  <si>
    <t>URCOFOR Nouvelle-Aquitaine</t>
  </si>
  <si>
    <t>URCOFOR Occitanie</t>
  </si>
  <si>
    <t>date cofimac</t>
  </si>
  <si>
    <t>date prog</t>
  </si>
  <si>
    <t>Axe_1</t>
  </si>
  <si>
    <t>Axe_II</t>
  </si>
  <si>
    <t>Axe_2</t>
  </si>
  <si>
    <t>D206</t>
  </si>
  <si>
    <t>Association Régionale des Industries Agroalimentaires d’Auvergne-Rhône-Alpes</t>
  </si>
  <si>
    <t>Accompagnement de l’ARIA Auvergne-Rhône-Alpes dans le cadre de la mise en place d’un Cluster herbe Massif Central</t>
  </si>
  <si>
    <t>MC0010049</t>
  </si>
  <si>
    <t>Conservatoire d'Espaces Naturels Rhône-Alpes</t>
  </si>
  <si>
    <t>Milieux ouverts herbacés 2 - phase 1</t>
  </si>
  <si>
    <t>MC0010337</t>
  </si>
  <si>
    <t>Centre Régional de la Propriété Forestière du Limousin</t>
  </si>
  <si>
    <t>Animation de type Plan de Développement de Massif "Continuités écologiques et Forêts anciennes"</t>
  </si>
  <si>
    <t>D207</t>
  </si>
  <si>
    <t>Centre de développement agroalimentaire Ardèche Le Goût</t>
  </si>
  <si>
    <t xml:space="preserve">TERRALIM Producteur de faire Ensemble     </t>
  </si>
  <si>
    <t>Axe_III</t>
  </si>
  <si>
    <t>Filières</t>
  </si>
  <si>
    <t>D211</t>
  </si>
  <si>
    <t>Mecanic Vallée</t>
  </si>
  <si>
    <t>Développement des entreprises du Cluster Mecanic Vallée</t>
  </si>
  <si>
    <t>D215</t>
  </si>
  <si>
    <t>Chaînes de valeur mode et décoration : savoir-faire textiles et matériaux croisés (laine, cuir, textile, peau lainée, bois)</t>
  </si>
  <si>
    <t>Coordonnateur du projet sans financement Massif central</t>
  </si>
  <si>
    <t>MC0009254</t>
  </si>
  <si>
    <t>Ecole Nationale d’Architecture de Saint-Etienne</t>
  </si>
  <si>
    <t>Déploiement du « Espace Rural et Projet Spatial » (ERPS)</t>
  </si>
  <si>
    <t>MC0009705</t>
  </si>
  <si>
    <t>Université de Bourgogne</t>
  </si>
  <si>
    <t xml:space="preserve">Quel avenir pour les bocages et les forêts du Morvan ? Etude géohistorique de la gestion des espaces et des mobilisations paysannes : le bocage et les forêts du Morvan, un patrimoine naturel et culturel en questions (XIIème-XXIème siècle) </t>
  </si>
  <si>
    <t>MC0010566</t>
  </si>
  <si>
    <t>Centre de Gestion de la Fonction Publique Territoriale de la Lozère</t>
  </si>
  <si>
    <t>Projet de recherche « Innovation Territoriale et son acceptation sociale »</t>
  </si>
  <si>
    <t>MC0003885</t>
  </si>
  <si>
    <t>Syndicat Mixte du Beaujolais</t>
  </si>
  <si>
    <t>Politique d’accueil du Pays Beaujolais</t>
  </si>
  <si>
    <t>1-Favorable</t>
  </si>
  <si>
    <t>AE + montants à faire confirmer côté Etat (normallement identique à LRMP mais pas de FN2)</t>
  </si>
  <si>
    <t>MC0006186</t>
  </si>
  <si>
    <t>Association Cévennes écotourisme</t>
  </si>
  <si>
    <t>Cluster écotouristique</t>
  </si>
  <si>
    <t>5-Défavorable</t>
  </si>
  <si>
    <t>Autofinacement fait tourner compteur CD63</t>
  </si>
  <si>
    <t>Consultation écrite</t>
  </si>
  <si>
    <t>D193</t>
  </si>
  <si>
    <t>D216</t>
  </si>
  <si>
    <t>6-Retiré/Abandon</t>
  </si>
  <si>
    <t>D248</t>
  </si>
  <si>
    <t>Commune de Craponne-sur-Arzon</t>
  </si>
  <si>
    <t>Axe_3</t>
  </si>
  <si>
    <t>Redynamisation du bourg de Craponne-sur-Arzon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</si>
</sst>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C]d\ mmmm\ yyyy;@"/>
    <numFmt numFmtId="165" formatCode="[$-40C]d\-mmm\-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theme="8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double">
        <color theme="8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double">
        <color theme="8"/>
      </top>
      <bottom style="thin">
        <color theme="8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double">
        <color theme="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" fontId="0" fillId="0" borderId="0" xfId="0" applyNumberFormat="1" applyFont="1" applyAlignment="1">
      <alignment vertical="center"/>
    </xf>
    <xf numFmtId="1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4" fontId="0" fillId="0" borderId="0" xfId="0" applyNumberFormat="1"/>
    <xf numFmtId="4" fontId="2" fillId="0" borderId="0" xfId="0" applyNumberFormat="1" applyFont="1" applyAlignment="1">
      <alignment vertical="center"/>
    </xf>
    <xf numFmtId="1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4" fontId="3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left" vertical="center" wrapText="1"/>
    </xf>
    <xf numFmtId="165" fontId="1" fillId="0" borderId="0" xfId="0" applyNumberFormat="1" applyFont="1"/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horizontal="left" wrapText="1"/>
      <protection locked="0"/>
    </xf>
    <xf numFmtId="164" fontId="5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4" fontId="0" fillId="0" borderId="0" xfId="0" applyNumberForma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4" fontId="0" fillId="0" borderId="0" xfId="0" applyNumberFormat="1" applyAlignment="1" applyProtection="1">
      <alignment vertical="center" wrapText="1"/>
      <protection locked="0"/>
    </xf>
    <xf numFmtId="10" fontId="0" fillId="0" borderId="0" xfId="0" applyNumberFormat="1" applyAlignment="1" applyProtection="1">
      <alignment vertical="center" wrapText="1"/>
      <protection locked="0"/>
    </xf>
    <xf numFmtId="4" fontId="0" fillId="0" borderId="0" xfId="0" applyNumberForma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0" fillId="0" borderId="0" xfId="0" applyFont="1" applyProtection="1">
      <protection locked="0"/>
    </xf>
    <xf numFmtId="0" fontId="0" fillId="2" borderId="2" xfId="0" applyFont="1" applyFill="1" applyBorder="1" applyAlignment="1">
      <alignment vertical="center"/>
    </xf>
    <xf numFmtId="4" fontId="0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10" fontId="2" fillId="0" borderId="0" xfId="0" applyNumberFormat="1" applyFont="1" applyFill="1" applyAlignment="1">
      <alignment horizontal="center" vertical="center"/>
    </xf>
    <xf numFmtId="4" fontId="0" fillId="0" borderId="0" xfId="0" applyNumberFormat="1" applyFont="1"/>
    <xf numFmtId="4" fontId="0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10" fontId="0" fillId="0" borderId="0" xfId="0" applyNumberFormat="1" applyFont="1" applyFill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2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1" fillId="0" borderId="4" xfId="0" applyFont="1" applyBorder="1" applyAlignment="1">
      <alignment wrapText="1"/>
    </xf>
    <xf numFmtId="4" fontId="1" fillId="0" borderId="0" xfId="0" applyNumberFormat="1" applyFont="1"/>
    <xf numFmtId="4" fontId="1" fillId="0" borderId="0" xfId="0" applyNumberFormat="1" applyFont="1" applyAlignme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0" fillId="4" borderId="5" xfId="0" applyFont="1" applyFill="1" applyBorder="1" applyAlignment="1">
      <alignment vertical="center"/>
    </xf>
    <xf numFmtId="164" fontId="10" fillId="0" borderId="0" xfId="0" applyNumberFormat="1" applyFont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4" fontId="11" fillId="0" borderId="0" xfId="0" applyNumberFormat="1" applyFont="1" applyAlignment="1">
      <alignment vertical="center"/>
    </xf>
    <xf numFmtId="10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/>
    </xf>
    <xf numFmtId="14" fontId="0" fillId="0" borderId="0" xfId="0" applyNumberFormat="1"/>
    <xf numFmtId="0" fontId="0" fillId="0" borderId="0" xfId="0" quotePrefix="1" applyFont="1" applyAlignment="1">
      <alignment horizontal="center" vertical="center" wrapText="1"/>
    </xf>
    <xf numFmtId="10" fontId="0" fillId="2" borderId="2" xfId="0" applyNumberFormat="1" applyFont="1" applyFill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10" fontId="11" fillId="2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vertical="center" wrapText="1"/>
    </xf>
    <xf numFmtId="4" fontId="2" fillId="6" borderId="0" xfId="0" applyNumberFormat="1" applyFont="1" applyFill="1" applyAlignment="1">
      <alignment vertical="center"/>
    </xf>
    <xf numFmtId="10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vertical="center"/>
    </xf>
    <xf numFmtId="14" fontId="9" fillId="6" borderId="0" xfId="0" applyNumberFormat="1" applyFont="1" applyFill="1" applyAlignment="1">
      <alignment horizontal="center" vertical="center"/>
    </xf>
    <xf numFmtId="0" fontId="0" fillId="6" borderId="0" xfId="0" applyFont="1" applyFill="1"/>
    <xf numFmtId="0" fontId="13" fillId="0" borderId="0" xfId="0" applyFont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 wrapText="1"/>
    </xf>
    <xf numFmtId="4" fontId="0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10" fontId="13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4" fontId="13" fillId="0" borderId="0" xfId="0" applyNumberFormat="1" applyFont="1" applyFill="1" applyAlignment="1">
      <alignment vertical="center"/>
    </xf>
    <xf numFmtId="10" fontId="13" fillId="0" borderId="0" xfId="0" applyNumberFormat="1" applyFont="1" applyFill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4" fontId="0" fillId="4" borderId="7" xfId="0" applyNumberFormat="1" applyFont="1" applyFill="1" applyBorder="1" applyAlignment="1">
      <alignment vertical="center" wrapText="1"/>
    </xf>
    <xf numFmtId="4" fontId="0" fillId="0" borderId="7" xfId="0" applyNumberFormat="1" applyFont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4" fontId="0" fillId="0" borderId="0" xfId="0" applyNumberFormat="1" applyFont="1" applyAlignment="1">
      <alignment horizontal="center" vertical="center"/>
    </xf>
    <xf numFmtId="4" fontId="0" fillId="2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4" fontId="0" fillId="6" borderId="1" xfId="0" applyNumberFormat="1" applyFont="1" applyFill="1" applyBorder="1" applyAlignment="1">
      <alignment vertical="center"/>
    </xf>
    <xf numFmtId="4" fontId="1" fillId="0" borderId="3" xfId="0" applyNumberFormat="1" applyFont="1" applyBorder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4" fontId="14" fillId="0" borderId="0" xfId="0" applyNumberFormat="1" applyFont="1" applyFill="1" applyAlignment="1">
      <alignment vertical="center"/>
    </xf>
    <xf numFmtId="10" fontId="14" fillId="0" borderId="0" xfId="0" applyNumberFormat="1" applyFont="1" applyFill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left" vertical="center"/>
    </xf>
    <xf numFmtId="10" fontId="0" fillId="2" borderId="2" xfId="0" applyNumberFormat="1" applyFont="1" applyFill="1" applyBorder="1" applyAlignment="1">
      <alignment horizontal="left" vertical="center"/>
    </xf>
    <xf numFmtId="10" fontId="11" fillId="0" borderId="2" xfId="0" applyNumberFormat="1" applyFont="1" applyBorder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4" fontId="11" fillId="0" borderId="0" xfId="0" applyNumberFormat="1" applyFont="1"/>
    <xf numFmtId="4" fontId="1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0" fillId="0" borderId="0" xfId="0" applyAlignment="1"/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6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numFmt numFmtId="14" formatCode="0.00%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14" formatCode="0.00%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vertical="center" textRotation="0" wrapText="1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alignment horizontal="general" vertical="center" textRotation="0" wrapText="0" indent="0" justifyLastLine="0" shrinkToFit="0" readingOrder="0"/>
      <protection locked="0" hidden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numFmt numFmtId="14" formatCode="0.00%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14" formatCode="0.00%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numFmt numFmtId="4" formatCode="#,##0.00"/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vertical="center" textRotation="0" wrapText="1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ill>
        <patternFill>
          <bgColor theme="6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aseline="0"/>
            </a:pPr>
            <a:r>
              <a:rPr lang="fr-FR" sz="1700" baseline="0"/>
              <a:t>Programmation - 7 avril 2017 - Prévisionnel</a:t>
            </a:r>
          </a:p>
        </c:rich>
      </c:tx>
      <c:layout>
        <c:manualLayout>
          <c:xMode val="edge"/>
          <c:yMode val="edge"/>
          <c:x val="1.5003024803387785E-2"/>
          <c:y val="2.30215792561673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95029319157247"/>
          <c:y val="0.21612700902554671"/>
          <c:w val="0.4886723733036093"/>
          <c:h val="0.77484442306774326"/>
        </c:manualLayout>
      </c:layout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4.6343175853018372E-2"/>
                  <c:y val="-4.48877223680373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0377933702025904E-3"/>
                  <c:y val="3.650521550554723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1583396449309535"/>
                  <c:y val="4.0773573402281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2222878390201232E-2"/>
                  <c:y val="-7.088436862058909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('Recap Financier'!$C$7,'Recap Financier'!$C$8,'Recap Financier'!$C$9,'Recap Financier'!$C$14)</c:f>
              <c:strCache>
                <c:ptCount val="4"/>
                <c:pt idx="0">
                  <c:v>FEDER</c:v>
                </c:pt>
                <c:pt idx="1">
                  <c:v>Etat</c:v>
                </c:pt>
                <c:pt idx="2">
                  <c:v>Régions</c:v>
                </c:pt>
                <c:pt idx="3">
                  <c:v>Départements</c:v>
                </c:pt>
              </c:strCache>
            </c:strRef>
          </c:cat>
          <c:val>
            <c:numRef>
              <c:f>('Recap Financier'!$D$7,'Recap Financier'!$D$8,'Recap Financier'!$D$9,'Recap Financier'!$D$14)</c:f>
              <c:numCache>
                <c:formatCode>#,##0.00</c:formatCode>
                <c:ptCount val="4"/>
                <c:pt idx="0">
                  <c:v>725766</c:v>
                </c:pt>
                <c:pt idx="1">
                  <c:v>1183578.2</c:v>
                </c:pt>
                <c:pt idx="2">
                  <c:v>386923.77</c:v>
                </c:pt>
                <c:pt idx="3">
                  <c:v>88560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Programmation - 7 avril 2017- Programmés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495029319157247"/>
          <c:y val="0.21612700902554671"/>
          <c:w val="0.4886723733036093"/>
          <c:h val="0.77484442306774326"/>
        </c:manualLayout>
      </c:layout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4.6343175853018372E-2"/>
                  <c:y val="-4.48877223680373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8656701487631653E-2"/>
                  <c:y val="3.650521550554723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1583396449309535"/>
                  <c:y val="4.0773573402281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2222878390201232E-2"/>
                  <c:y val="-7.088436862058909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('Recap Financier'!$K$7,'Recap Financier'!$K$8,'Recap Financier'!$K$9,'Recap Financier'!$K$14)</c:f>
              <c:strCache>
                <c:ptCount val="4"/>
                <c:pt idx="0">
                  <c:v>FEDER</c:v>
                </c:pt>
                <c:pt idx="1">
                  <c:v>Etat</c:v>
                </c:pt>
                <c:pt idx="2">
                  <c:v>Régions</c:v>
                </c:pt>
                <c:pt idx="3">
                  <c:v>Départements</c:v>
                </c:pt>
              </c:strCache>
            </c:strRef>
          </c:cat>
          <c:val>
            <c:numRef>
              <c:f>('Recap Financier'!$L$7,'Recap Financier'!$L$8,'Recap Financier'!$L$9,'Recap Financier'!$L$14)</c:f>
              <c:numCache>
                <c:formatCode>#,##0.00</c:formatCode>
                <c:ptCount val="4"/>
                <c:pt idx="0">
                  <c:v>723240</c:v>
                </c:pt>
                <c:pt idx="1">
                  <c:v>1148782.7</c:v>
                </c:pt>
                <c:pt idx="2">
                  <c:v>327609.65000000002</c:v>
                </c:pt>
                <c:pt idx="3">
                  <c:v>35940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1.w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1.w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2044700</xdr:colOff>
      <xdr:row>0</xdr:row>
      <xdr:rowOff>177800</xdr:rowOff>
    </xdr:from>
    <xdr:to>
      <xdr:col>8</xdr:col>
      <xdr:colOff>825500</xdr:colOff>
      <xdr:row>4</xdr:row>
      <xdr:rowOff>184150</xdr:rowOff>
    </xdr:to>
    <xdr:grpSp>
      <xdr:nvGrpSpPr>
        <xdr:cNvPr id="2" name="Groupe 1"/>
        <xdr:cNvGrpSpPr/>
      </xdr:nvGrpSpPr>
      <xdr:grpSpPr>
        <a:xfrm>
          <a:off x="5307013" y="177800"/>
          <a:ext cx="6519862" cy="815975"/>
          <a:chOff x="0" y="0"/>
          <a:chExt cx="6496050" cy="628650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 descr="Marianne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512984</xdr:colOff>
      <xdr:row>0</xdr:row>
      <xdr:rowOff>174625</xdr:rowOff>
    </xdr:from>
    <xdr:to>
      <xdr:col>9</xdr:col>
      <xdr:colOff>622748</xdr:colOff>
      <xdr:row>3</xdr:row>
      <xdr:rowOff>180975</xdr:rowOff>
    </xdr:to>
    <xdr:grpSp>
      <xdr:nvGrpSpPr>
        <xdr:cNvPr id="6" name="Groupe 5"/>
        <xdr:cNvGrpSpPr/>
      </xdr:nvGrpSpPr>
      <xdr:grpSpPr>
        <a:xfrm>
          <a:off x="3751484" y="174625"/>
          <a:ext cx="6409871" cy="632279"/>
          <a:chOff x="0" y="0"/>
          <a:chExt cx="6496050" cy="628650"/>
        </a:xfrm>
      </xdr:grpSpPr>
      <xdr:pic>
        <xdr:nvPicPr>
          <xdr:cNvPr id="7" name="Image 6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Image 7" descr="Marianne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Image 8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179915</xdr:rowOff>
    </xdr:from>
    <xdr:to>
      <xdr:col>43</xdr:col>
      <xdr:colOff>738719</xdr:colOff>
      <xdr:row>3</xdr:row>
      <xdr:rowOff>184148</xdr:rowOff>
    </xdr:to>
    <xdr:grpSp>
      <xdr:nvGrpSpPr>
        <xdr:cNvPr id="2" name="Groupe 1"/>
        <xdr:cNvGrpSpPr/>
      </xdr:nvGrpSpPr>
      <xdr:grpSpPr>
        <a:xfrm>
          <a:off x="9536906" y="179915"/>
          <a:ext cx="5882219" cy="623358"/>
          <a:chOff x="0" y="0"/>
          <a:chExt cx="6496050" cy="628650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 descr="Mariann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179915</xdr:rowOff>
    </xdr:from>
    <xdr:to>
      <xdr:col>43</xdr:col>
      <xdr:colOff>738719</xdr:colOff>
      <xdr:row>3</xdr:row>
      <xdr:rowOff>184148</xdr:rowOff>
    </xdr:to>
    <xdr:grpSp>
      <xdr:nvGrpSpPr>
        <xdr:cNvPr id="2" name="Groupe 1"/>
        <xdr:cNvGrpSpPr/>
      </xdr:nvGrpSpPr>
      <xdr:grpSpPr>
        <a:xfrm>
          <a:off x="8858250" y="179915"/>
          <a:ext cx="5024969" cy="623358"/>
          <a:chOff x="0" y="0"/>
          <a:chExt cx="6496050" cy="628650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 descr="Mariann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76200</xdr:rowOff>
    </xdr:from>
    <xdr:to>
      <xdr:col>8</xdr:col>
      <xdr:colOff>457200</xdr:colOff>
      <xdr:row>3</xdr:row>
      <xdr:rowOff>133350</xdr:rowOff>
    </xdr:to>
    <xdr:grpSp>
      <xdr:nvGrpSpPr>
        <xdr:cNvPr id="2" name="Groupe 1"/>
        <xdr:cNvGrpSpPr/>
      </xdr:nvGrpSpPr>
      <xdr:grpSpPr>
        <a:xfrm>
          <a:off x="209550" y="76200"/>
          <a:ext cx="6543675" cy="628650"/>
          <a:chOff x="0" y="0"/>
          <a:chExt cx="6496050" cy="628650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 descr="Marianne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0</xdr:col>
      <xdr:colOff>190499</xdr:colOff>
      <xdr:row>38</xdr:row>
      <xdr:rowOff>33337</xdr:rowOff>
    </xdr:from>
    <xdr:to>
      <xdr:col>6</xdr:col>
      <xdr:colOff>666749</xdr:colOff>
      <xdr:row>56</xdr:row>
      <xdr:rowOff>161925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19051</xdr:colOff>
      <xdr:row>38</xdr:row>
      <xdr:rowOff>28575</xdr:rowOff>
    </xdr:from>
    <xdr:to>
      <xdr:col>14</xdr:col>
      <xdr:colOff>285751</xdr:colOff>
      <xdr:row>56</xdr:row>
      <xdr:rowOff>161925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166687</xdr:colOff>
      <xdr:row>0</xdr:row>
      <xdr:rowOff>165894</xdr:rowOff>
    </xdr:from>
    <xdr:to>
      <xdr:col>14</xdr:col>
      <xdr:colOff>440531</xdr:colOff>
      <xdr:row>3</xdr:row>
      <xdr:rowOff>172244</xdr:rowOff>
    </xdr:to>
    <xdr:grpSp>
      <xdr:nvGrpSpPr>
        <xdr:cNvPr id="2" name="Groupe 1"/>
        <xdr:cNvGrpSpPr/>
      </xdr:nvGrpSpPr>
      <xdr:grpSpPr>
        <a:xfrm>
          <a:off x="3190875" y="165894"/>
          <a:ext cx="9322594" cy="625475"/>
          <a:chOff x="0" y="0"/>
          <a:chExt cx="6496050" cy="628650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 descr="Marianne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1597025</xdr:colOff>
      <xdr:row>0</xdr:row>
      <xdr:rowOff>114300</xdr:rowOff>
    </xdr:from>
    <xdr:to>
      <xdr:col>9</xdr:col>
      <xdr:colOff>965994</xdr:colOff>
      <xdr:row>3</xdr:row>
      <xdr:rowOff>120650</xdr:rowOff>
    </xdr:to>
    <xdr:grpSp>
      <xdr:nvGrpSpPr>
        <xdr:cNvPr id="6" name="Groupe 5"/>
        <xdr:cNvGrpSpPr/>
      </xdr:nvGrpSpPr>
      <xdr:grpSpPr>
        <a:xfrm>
          <a:off x="3454400" y="114300"/>
          <a:ext cx="8703469" cy="625475"/>
          <a:chOff x="0" y="0"/>
          <a:chExt cx="6496050" cy="628650"/>
        </a:xfrm>
      </xdr:grpSpPr>
      <xdr:pic>
        <xdr:nvPicPr>
          <xdr:cNvPr id="7" name="Image 6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Image 7" descr="Marianne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Image 8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2032000</xdr:colOff>
      <xdr:row>0</xdr:row>
      <xdr:rowOff>190500</xdr:rowOff>
    </xdr:from>
    <xdr:to>
      <xdr:col>8</xdr:col>
      <xdr:colOff>819150</xdr:colOff>
      <xdr:row>4</xdr:row>
      <xdr:rowOff>6350</xdr:rowOff>
    </xdr:to>
    <xdr:grpSp>
      <xdr:nvGrpSpPr>
        <xdr:cNvPr id="2" name="Groupe 1"/>
        <xdr:cNvGrpSpPr/>
      </xdr:nvGrpSpPr>
      <xdr:grpSpPr>
        <a:xfrm>
          <a:off x="5294313" y="190500"/>
          <a:ext cx="7276306" cy="625475"/>
          <a:chOff x="0" y="0"/>
          <a:chExt cx="6496050" cy="628650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 descr="Marianne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2044700</xdr:colOff>
      <xdr:row>0</xdr:row>
      <xdr:rowOff>152400</xdr:rowOff>
    </xdr:from>
    <xdr:to>
      <xdr:col>8</xdr:col>
      <xdr:colOff>825500</xdr:colOff>
      <xdr:row>3</xdr:row>
      <xdr:rowOff>158750</xdr:rowOff>
    </xdr:to>
    <xdr:grpSp>
      <xdr:nvGrpSpPr>
        <xdr:cNvPr id="2" name="Groupe 1"/>
        <xdr:cNvGrpSpPr/>
      </xdr:nvGrpSpPr>
      <xdr:grpSpPr>
        <a:xfrm>
          <a:off x="3213894" y="152400"/>
          <a:ext cx="8648700" cy="625475"/>
          <a:chOff x="0" y="0"/>
          <a:chExt cx="6496050" cy="628650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 descr="Marianne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1250156</xdr:colOff>
      <xdr:row>0</xdr:row>
      <xdr:rowOff>152400</xdr:rowOff>
    </xdr:from>
    <xdr:to>
      <xdr:col>8</xdr:col>
      <xdr:colOff>0</xdr:colOff>
      <xdr:row>3</xdr:row>
      <xdr:rowOff>158750</xdr:rowOff>
    </xdr:to>
    <xdr:grpSp>
      <xdr:nvGrpSpPr>
        <xdr:cNvPr id="2" name="Groupe 1"/>
        <xdr:cNvGrpSpPr/>
      </xdr:nvGrpSpPr>
      <xdr:grpSpPr>
        <a:xfrm>
          <a:off x="3278981" y="152400"/>
          <a:ext cx="4745832" cy="625475"/>
          <a:chOff x="0" y="0"/>
          <a:chExt cx="6496050" cy="628650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 descr="Marianne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2889250</xdr:colOff>
      <xdr:row>0</xdr:row>
      <xdr:rowOff>174625</xdr:rowOff>
    </xdr:from>
    <xdr:to>
      <xdr:col>6</xdr:col>
      <xdr:colOff>257175</xdr:colOff>
      <xdr:row>3</xdr:row>
      <xdr:rowOff>180975</xdr:rowOff>
    </xdr:to>
    <xdr:grpSp>
      <xdr:nvGrpSpPr>
        <xdr:cNvPr id="6" name="Groupe 5"/>
        <xdr:cNvGrpSpPr/>
      </xdr:nvGrpSpPr>
      <xdr:grpSpPr>
        <a:xfrm>
          <a:off x="3413125" y="174625"/>
          <a:ext cx="6001657" cy="632279"/>
          <a:chOff x="0" y="0"/>
          <a:chExt cx="6496050" cy="628650"/>
        </a:xfrm>
      </xdr:grpSpPr>
      <xdr:pic>
        <xdr:nvPicPr>
          <xdr:cNvPr id="7" name="Image 6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Image 7" descr="Marianne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Image 8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2044700</xdr:colOff>
      <xdr:row>0</xdr:row>
      <xdr:rowOff>190500</xdr:rowOff>
    </xdr:from>
    <xdr:to>
      <xdr:col>8</xdr:col>
      <xdr:colOff>825500</xdr:colOff>
      <xdr:row>4</xdr:row>
      <xdr:rowOff>6350</xdr:rowOff>
    </xdr:to>
    <xdr:grpSp>
      <xdr:nvGrpSpPr>
        <xdr:cNvPr id="2" name="Groupe 1"/>
        <xdr:cNvGrpSpPr/>
      </xdr:nvGrpSpPr>
      <xdr:grpSpPr>
        <a:xfrm>
          <a:off x="5307013" y="190500"/>
          <a:ext cx="6496050" cy="625475"/>
          <a:chOff x="0" y="0"/>
          <a:chExt cx="6496050" cy="628650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 descr="Marianne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2044700</xdr:colOff>
      <xdr:row>0</xdr:row>
      <xdr:rowOff>190500</xdr:rowOff>
    </xdr:from>
    <xdr:to>
      <xdr:col>8</xdr:col>
      <xdr:colOff>825500</xdr:colOff>
      <xdr:row>4</xdr:row>
      <xdr:rowOff>6350</xdr:rowOff>
    </xdr:to>
    <xdr:grpSp>
      <xdr:nvGrpSpPr>
        <xdr:cNvPr id="2" name="Groupe 1"/>
        <xdr:cNvGrpSpPr/>
      </xdr:nvGrpSpPr>
      <xdr:grpSpPr>
        <a:xfrm>
          <a:off x="5307013" y="190500"/>
          <a:ext cx="6746081" cy="625475"/>
          <a:chOff x="0" y="0"/>
          <a:chExt cx="6496050" cy="628650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257300" cy="61912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 descr="Marianne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7350" y="0"/>
            <a:ext cx="1028700" cy="6286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Drapeau_couleur UE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914400" cy="6191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queryTables/queryTable1.xml><?xml version="1.0" encoding="utf-8"?>
<queryTable xmlns="http://schemas.openxmlformats.org/spreadsheetml/2006/main" name="Lancer la requête à partir de Excel Files_8" adjustColumnWidth="0" connectionId="12" autoFormatId="16" applyNumberFormats="0" applyBorderFormats="0" applyFontFormats="0" applyPatternFormats="0" applyAlignmentFormats="0" applyWidthHeightFormats="0">
  <queryTableRefresh nextId="108" unboundColumnsRight="1">
    <queryTableFields count="44">
      <queryTableField id="1" name="ID_Synergie" tableColumnId="1"/>
      <queryTableField id="2" name="Nom_MO" tableColumnId="2"/>
      <queryTableField id="3" name="Intitule_Operation" tableColumnId="3"/>
      <queryTableField id="46" name="'Coût total éligible'" tableColumnId="43"/>
      <queryTableField id="42" dataBound="0" tableColumnId="39"/>
      <queryTableField id="92" dataBound="0" tableColumnId="81"/>
      <queryTableField id="43" dataBound="0" tableColumnId="40"/>
      <queryTableField id="93" dataBound="0" tableColumnId="82"/>
      <queryTableField id="78" name="'FEDER'" tableColumnId="75"/>
      <queryTableField id="99" dataBound="0" tableColumnId="7"/>
      <queryTableField id="104" name="'FNADT '" tableColumnId="11"/>
      <queryTableField id="49" name="'Agriculture'" tableColumnId="46"/>
      <queryTableField id="100" dataBound="0" tableColumnId="8"/>
      <queryTableField id="51" name="'ALPC'" tableColumnId="48"/>
      <queryTableField id="52" name="'AURA'" tableColumnId="49"/>
      <queryTableField id="81" name="'BFC'" tableColumnId="78"/>
      <queryTableField id="82" name="'LRMP'" tableColumnId="79"/>
      <queryTableField id="101" dataBound="0" tableColumnId="9"/>
      <queryTableField id="56" name="'03'" tableColumnId="53"/>
      <queryTableField id="57" name="'07'" tableColumnId="54"/>
      <queryTableField id="58" name="'11'" tableColumnId="55"/>
      <queryTableField id="59" name="'12'" tableColumnId="56"/>
      <queryTableField id="60" name="'15'" tableColumnId="57"/>
      <queryTableField id="61" name="'19'" tableColumnId="58"/>
      <queryTableField id="62" name="'21'" tableColumnId="59"/>
      <queryTableField id="85" name="'23'" tableColumnId="80"/>
      <queryTableField id="63" name="'30'" tableColumnId="60"/>
      <queryTableField id="64" name="'34'" tableColumnId="61"/>
      <queryTableField id="65" name="'42'" tableColumnId="62"/>
      <queryTableField id="66" name="'43'" tableColumnId="63"/>
      <queryTableField id="67" name="'46'" tableColumnId="64"/>
      <queryTableField id="68" name="'48'" tableColumnId="65"/>
      <queryTableField id="69" name="'58'" tableColumnId="66"/>
      <queryTableField id="70" name="'63'" tableColumnId="67"/>
      <queryTableField id="71" name="'69'" tableColumnId="68"/>
      <queryTableField id="72" name="'71'" tableColumnId="69"/>
      <queryTableField id="73" name="'81'" tableColumnId="70"/>
      <queryTableField id="74" name="'82'" tableColumnId="71"/>
      <queryTableField id="75" name="'87'" tableColumnId="72"/>
      <queryTableField id="76" name="'89'" tableColumnId="73"/>
      <queryTableField id="79" name="'Autre Public'" tableColumnId="76"/>
      <queryTableField id="35" name="Avis Cofimac" tableColumnId="35"/>
      <queryTableField id="107" name="Date début operation" tableColumnId="5"/>
      <queryTableField id="95" dataBound="0" tableColumnId="4"/>
    </queryTableFields>
  </queryTableRefresh>
</queryTable>
</file>

<file path=xl/queryTables/queryTable10.xml><?xml version="1.0" encoding="utf-8"?>
<queryTable xmlns="http://schemas.openxmlformats.org/spreadsheetml/2006/main" name="Lancer la requête à partir de Excel Files_8" adjustColumnWidth="0" connectionId="5" autoFormatId="16" applyNumberFormats="0" applyBorderFormats="0" applyFontFormats="0" applyPatternFormats="0" applyAlignmentFormats="0" applyWidthHeightFormats="0">
  <queryTableRefresh nextId="118">
    <queryTableFields count="47">
      <queryTableField id="113" name="Programme" tableColumnId="10"/>
      <queryTableField id="114" name="Axe" tableColumnId="12"/>
      <queryTableField id="109" name="'Thématique '" tableColumnId="6"/>
      <queryTableField id="1" name="ID_Synergie" tableColumnId="1"/>
      <queryTableField id="2" name="Nom_MO" tableColumnId="2"/>
      <queryTableField id="3" name="Intitule_Operation" tableColumnId="3"/>
      <queryTableField id="46" name="'Coût total éligible'" tableColumnId="43"/>
      <queryTableField id="42" dataBound="0" tableColumnId="39"/>
      <queryTableField id="92" dataBound="0" tableColumnId="81"/>
      <queryTableField id="43" dataBound="0" tableColumnId="40"/>
      <queryTableField id="93" dataBound="0" tableColumnId="82"/>
      <queryTableField id="78" name="'FEDER'" tableColumnId="75"/>
      <queryTableField id="99" dataBound="0" tableColumnId="7"/>
      <queryTableField id="104" name="'FNADT '" tableColumnId="11"/>
      <queryTableField id="49" name="'Agriculture'" tableColumnId="46"/>
      <queryTableField id="100" dataBound="0" tableColumnId="8"/>
      <queryTableField id="51" name="'ALPC'" tableColumnId="48"/>
      <queryTableField id="52" name="'AURA'" tableColumnId="49"/>
      <queryTableField id="81" name="'BFC'" tableColumnId="78"/>
      <queryTableField id="82" name="'LRMP'" tableColumnId="79"/>
      <queryTableField id="101" dataBound="0" tableColumnId="9"/>
      <queryTableField id="56" name="'03'" tableColumnId="53"/>
      <queryTableField id="57" name="'07'" tableColumnId="54"/>
      <queryTableField id="58" name="'11'" tableColumnId="55"/>
      <queryTableField id="59" name="'12'" tableColumnId="56"/>
      <queryTableField id="60" name="'15'" tableColumnId="57"/>
      <queryTableField id="61" name="'19'" tableColumnId="58"/>
      <queryTableField id="62" name="'21'" tableColumnId="59"/>
      <queryTableField id="85" name="'23'" tableColumnId="80"/>
      <queryTableField id="63" name="'30'" tableColumnId="60"/>
      <queryTableField id="64" name="'34'" tableColumnId="61"/>
      <queryTableField id="65" name="'42'" tableColumnId="62"/>
      <queryTableField id="66" name="'43'" tableColumnId="63"/>
      <queryTableField id="67" name="'46'" tableColumnId="64"/>
      <queryTableField id="68" name="'48'" tableColumnId="65"/>
      <queryTableField id="69" name="'58'" tableColumnId="66"/>
      <queryTableField id="70" name="'63'" tableColumnId="67"/>
      <queryTableField id="71" name="'69'" tableColumnId="68"/>
      <queryTableField id="72" name="'71'" tableColumnId="69"/>
      <queryTableField id="73" name="'81'" tableColumnId="70"/>
      <queryTableField id="74" name="'82'" tableColumnId="71"/>
      <queryTableField id="75" name="'87'" tableColumnId="72"/>
      <queryTableField id="76" name="'89'" tableColumnId="73"/>
      <queryTableField id="79" name="'Autre Public'" tableColumnId="76"/>
      <queryTableField id="35" name="Avis Cofimac" tableColumnId="35"/>
      <queryTableField id="95" dataBound="0" tableColumnId="4"/>
      <queryTableField id="112" name="Date début operation" tableColumnId="5"/>
    </queryTableFields>
  </queryTableRefresh>
</queryTable>
</file>

<file path=xl/queryTables/queryTable11.xml><?xml version="1.0" encoding="utf-8"?>
<queryTable xmlns="http://schemas.openxmlformats.org/spreadsheetml/2006/main" name="Lancer la requête à partir de Excel Files_8" adjustColumnWidth="0" connectionId="2" autoFormatId="16" applyNumberFormats="0" applyBorderFormats="0" applyFontFormats="0" applyPatternFormats="0" applyAlignmentFormats="0" applyWidthHeightFormats="0">
  <queryTableRefresh nextId="108" unboundColumnsRight="1">
    <queryTableFields count="44">
      <queryTableField id="1" name="ID_Synergie" tableColumnId="1"/>
      <queryTableField id="2" name="Nom_MO" tableColumnId="2"/>
      <queryTableField id="3" name="Intitule_Operation" tableColumnId="3"/>
      <queryTableField id="46" name="'Coût total éligible'" tableColumnId="43"/>
      <queryTableField id="42" dataBound="0" tableColumnId="39"/>
      <queryTableField id="92" dataBound="0" tableColumnId="81"/>
      <queryTableField id="43" dataBound="0" tableColumnId="40"/>
      <queryTableField id="93" dataBound="0" tableColumnId="82"/>
      <queryTableField id="78" name="'FEDER'" tableColumnId="75"/>
      <queryTableField id="99" dataBound="0" tableColumnId="7"/>
      <queryTableField id="104" name="'FNADT '" tableColumnId="11"/>
      <queryTableField id="49" name="'Agriculture'" tableColumnId="46"/>
      <queryTableField id="100" dataBound="0" tableColumnId="8"/>
      <queryTableField id="51" name="'ALPC'" tableColumnId="48"/>
      <queryTableField id="52" name="'AURA'" tableColumnId="49"/>
      <queryTableField id="81" name="'BFC'" tableColumnId="78"/>
      <queryTableField id="82" name="'LRMP'" tableColumnId="79"/>
      <queryTableField id="101" dataBound="0" tableColumnId="9"/>
      <queryTableField id="56" name="'03'" tableColumnId="53"/>
      <queryTableField id="57" name="'07'" tableColumnId="54"/>
      <queryTableField id="58" name="'11'" tableColumnId="55"/>
      <queryTableField id="59" name="'12'" tableColumnId="56"/>
      <queryTableField id="60" name="'15'" tableColumnId="57"/>
      <queryTableField id="61" name="'19'" tableColumnId="58"/>
      <queryTableField id="62" name="'21'" tableColumnId="59"/>
      <queryTableField id="85" name="'23'" tableColumnId="80"/>
      <queryTableField id="63" name="'30'" tableColumnId="60"/>
      <queryTableField id="64" name="'34'" tableColumnId="61"/>
      <queryTableField id="65" name="'42'" tableColumnId="62"/>
      <queryTableField id="66" name="'43'" tableColumnId="63"/>
      <queryTableField id="67" name="'46'" tableColumnId="64"/>
      <queryTableField id="68" name="'48'" tableColumnId="65"/>
      <queryTableField id="69" name="'58'" tableColumnId="66"/>
      <queryTableField id="70" name="'63'" tableColumnId="67"/>
      <queryTableField id="71" name="'69'" tableColumnId="68"/>
      <queryTableField id="72" name="'71'" tableColumnId="69"/>
      <queryTableField id="73" name="'81'" tableColumnId="70"/>
      <queryTableField id="74" name="'82'" tableColumnId="71"/>
      <queryTableField id="75" name="'87'" tableColumnId="72"/>
      <queryTableField id="76" name="'89'" tableColumnId="73"/>
      <queryTableField id="79" name="'Autre Public'" tableColumnId="76"/>
      <queryTableField id="35" name="Avis Cofimac" tableColumnId="35"/>
      <queryTableField id="107" name="Date début operation" tableColumnId="5"/>
      <queryTableField id="95" dataBound="0" tableColumnId="4"/>
    </queryTableFields>
  </queryTableRefresh>
</queryTable>
</file>

<file path=xl/queryTables/queryTable12.xml><?xml version="1.0" encoding="utf-8"?>
<queryTable xmlns="http://schemas.openxmlformats.org/spreadsheetml/2006/main" name="Lancer la requête à partir de Excel Files_8" adjustColumnWidth="0" connectionId="3" autoFormatId="16" applyNumberFormats="0" applyBorderFormats="0" applyFontFormats="0" applyPatternFormats="0" applyAlignmentFormats="0" applyWidthHeightFormats="0">
  <queryTableRefresh nextId="108" unboundColumnsRight="1">
    <queryTableFields count="44">
      <queryTableField id="1" name="ID_Synergie" tableColumnId="1"/>
      <queryTableField id="2" name="Nom_MO" tableColumnId="2"/>
      <queryTableField id="3" name="Intitule_Operation" tableColumnId="3"/>
      <queryTableField id="46" name="'Coût total éligible'" tableColumnId="43"/>
      <queryTableField id="42" dataBound="0" tableColumnId="39"/>
      <queryTableField id="92" dataBound="0" tableColumnId="81"/>
      <queryTableField id="43" dataBound="0" tableColumnId="40"/>
      <queryTableField id="93" dataBound="0" tableColumnId="82"/>
      <queryTableField id="78" name="'FEDER'" tableColumnId="75"/>
      <queryTableField id="99" dataBound="0" tableColumnId="7"/>
      <queryTableField id="104" name="'FNADT '" tableColumnId="11"/>
      <queryTableField id="49" name="'Agriculture'" tableColumnId="46"/>
      <queryTableField id="100" dataBound="0" tableColumnId="8"/>
      <queryTableField id="51" name="'ALPC'" tableColumnId="48"/>
      <queryTableField id="52" name="'AURA'" tableColumnId="49"/>
      <queryTableField id="81" name="'BFC'" tableColumnId="78"/>
      <queryTableField id="82" name="'LRMP'" tableColumnId="79"/>
      <queryTableField id="101" dataBound="0" tableColumnId="9"/>
      <queryTableField id="56" name="'03'" tableColumnId="53"/>
      <queryTableField id="57" name="'07'" tableColumnId="54"/>
      <queryTableField id="58" name="'11'" tableColumnId="55"/>
      <queryTableField id="59" name="'12'" tableColumnId="56"/>
      <queryTableField id="60" name="'15'" tableColumnId="57"/>
      <queryTableField id="61" name="'19'" tableColumnId="58"/>
      <queryTableField id="62" name="'21'" tableColumnId="59"/>
      <queryTableField id="85" name="'23'" tableColumnId="80"/>
      <queryTableField id="63" name="'30'" tableColumnId="60"/>
      <queryTableField id="64" name="'34'" tableColumnId="61"/>
      <queryTableField id="65" name="'42'" tableColumnId="62"/>
      <queryTableField id="66" name="'43'" tableColumnId="63"/>
      <queryTableField id="67" name="'46'" tableColumnId="64"/>
      <queryTableField id="68" name="'48'" tableColumnId="65"/>
      <queryTableField id="69" name="'58'" tableColumnId="66"/>
      <queryTableField id="70" name="'63'" tableColumnId="67"/>
      <queryTableField id="71" name="'69'" tableColumnId="68"/>
      <queryTableField id="72" name="'71'" tableColumnId="69"/>
      <queryTableField id="73" name="'81'" tableColumnId="70"/>
      <queryTableField id="74" name="'82'" tableColumnId="71"/>
      <queryTableField id="75" name="'87'" tableColumnId="72"/>
      <queryTableField id="76" name="'89'" tableColumnId="73"/>
      <queryTableField id="79" name="'Autre Public'" tableColumnId="76"/>
      <queryTableField id="35" name="Avis Cofimac" tableColumnId="35"/>
      <queryTableField id="107" name="Date début operation" tableColumnId="5"/>
      <queryTableField id="95" dataBound="0" tableColumnId="4"/>
    </queryTableFields>
  </queryTableRefresh>
</queryTable>
</file>

<file path=xl/queryTables/queryTable13.xml><?xml version="1.0" encoding="utf-8"?>
<queryTable xmlns="http://schemas.openxmlformats.org/spreadsheetml/2006/main" name="Lancer la requête à partir de Excel Files_8" adjustColumnWidth="0" connectionId="8" autoFormatId="16" applyNumberFormats="0" applyBorderFormats="0" applyFontFormats="0" applyPatternFormats="0" applyAlignmentFormats="0" applyWidthHeightFormats="0">
  <queryTableRefresh nextId="118">
    <queryTableFields count="46">
      <queryTableField id="113" name="Programme" tableColumnId="10"/>
      <queryTableField id="114" name="Axe" tableColumnId="12"/>
      <queryTableField id="1" name="ID_Synergie" tableColumnId="1"/>
      <queryTableField id="2" name="Nom_MO" tableColumnId="2"/>
      <queryTableField id="3" name="Intitule_Operation" tableColumnId="3"/>
      <queryTableField id="46" name="'Coût total éligible'" tableColumnId="43"/>
      <queryTableField id="42" dataBound="0" tableColumnId="39"/>
      <queryTableField id="92" dataBound="0" tableColumnId="81"/>
      <queryTableField id="43" dataBound="0" tableColumnId="40"/>
      <queryTableField id="93" dataBound="0" tableColumnId="82"/>
      <queryTableField id="78" name="'FEDER'" tableColumnId="75"/>
      <queryTableField id="99" dataBound="0" tableColumnId="7"/>
      <queryTableField id="104" name="'FNADT '" tableColumnId="11"/>
      <queryTableField id="49" name="'Agriculture'" tableColumnId="46"/>
      <queryTableField id="100" dataBound="0" tableColumnId="8"/>
      <queryTableField id="51" name="'ALPC'" tableColumnId="48"/>
      <queryTableField id="52" name="'AURA'" tableColumnId="49"/>
      <queryTableField id="81" name="'BFC'" tableColumnId="78"/>
      <queryTableField id="82" name="'LRMP'" tableColumnId="79"/>
      <queryTableField id="101" dataBound="0" tableColumnId="9"/>
      <queryTableField id="56" name="'03'" tableColumnId="53"/>
      <queryTableField id="57" name="'07'" tableColumnId="54"/>
      <queryTableField id="58" name="'11'" tableColumnId="55"/>
      <queryTableField id="59" name="'12'" tableColumnId="56"/>
      <queryTableField id="60" name="'15'" tableColumnId="57"/>
      <queryTableField id="61" name="'19'" tableColumnId="58"/>
      <queryTableField id="62" name="'21'" tableColumnId="59"/>
      <queryTableField id="85" name="'23'" tableColumnId="80"/>
      <queryTableField id="63" name="'30'" tableColumnId="60"/>
      <queryTableField id="64" name="'34'" tableColumnId="61"/>
      <queryTableField id="65" name="'42'" tableColumnId="62"/>
      <queryTableField id="66" name="'43'" tableColumnId="63"/>
      <queryTableField id="67" name="'46'" tableColumnId="64"/>
      <queryTableField id="68" name="'48'" tableColumnId="65"/>
      <queryTableField id="69" name="'58'" tableColumnId="66"/>
      <queryTableField id="70" name="'63'" tableColumnId="67"/>
      <queryTableField id="71" name="'69'" tableColumnId="68"/>
      <queryTableField id="72" name="'71'" tableColumnId="69"/>
      <queryTableField id="73" name="'81'" tableColumnId="70"/>
      <queryTableField id="74" name="'82'" tableColumnId="71"/>
      <queryTableField id="75" name="'87'" tableColumnId="72"/>
      <queryTableField id="76" name="'89'" tableColumnId="73"/>
      <queryTableField id="79" name="'Autre Public'" tableColumnId="76"/>
      <queryTableField id="35" name="Avis Cofimac" tableColumnId="35"/>
      <queryTableField id="95" dataBound="0" tableColumnId="4"/>
      <queryTableField id="112" name="Date début operation" tableColumnId="5"/>
    </queryTableFields>
  </queryTableRefresh>
</queryTable>
</file>

<file path=xl/queryTables/queryTable14.xml><?xml version="1.0" encoding="utf-8"?>
<queryTable xmlns="http://schemas.openxmlformats.org/spreadsheetml/2006/main" name="Lancer la requête à partir de Excel Files" adjustColumnWidth="0" connectionId="14" autoFormatId="16" applyNumberFormats="0" applyBorderFormats="0" applyFontFormats="0" applyPatternFormats="0" applyAlignmentFormats="0" applyWidthHeightFormats="0">
  <queryTableRefresh nextId="171" unboundColumnsRight="1">
    <queryTableFields count="46">
      <queryTableField id="1" name="Programme" tableColumnId="1"/>
      <queryTableField id="84" name="ID_dossier GIP" tableColumnId="50"/>
      <queryTableField id="48" name="ID_Synergie" tableColumnId="43"/>
      <queryTableField id="2" name="Nom_MO" tableColumnId="2"/>
      <queryTableField id="3" name="Intitule_Operation" tableColumnId="3"/>
      <queryTableField id="4" name="Coût total déposé" tableColumnId="4"/>
      <queryTableField id="128" name="Coût total Eligible FEDER" tableColumnId="12"/>
      <queryTableField id="131" dataBound="0" tableColumnId="13"/>
      <queryTableField id="92" dataBound="0" tableColumnId="6"/>
      <queryTableField id="44" dataBound="0" tableColumnId="44"/>
      <queryTableField id="40" dataBound="0" tableColumnId="40"/>
      <queryTableField id="42" dataBound="0" tableColumnId="42"/>
      <queryTableField id="89" dataBound="0" tableColumnId="52"/>
      <queryTableField id="133" name="'FNADT'" tableColumnId="15"/>
      <queryTableField id="134" name="'Agriculture'" tableColumnId="16"/>
      <queryTableField id="90" dataBound="0" tableColumnId="54"/>
      <queryTableField id="138" name="'ALPC'" tableColumnId="20"/>
      <queryTableField id="136" name="'AURA'" tableColumnId="18"/>
      <queryTableField id="137" name="'BFC'" tableColumnId="19"/>
      <queryTableField id="139" name="'LRMP'" tableColumnId="21"/>
      <queryTableField id="91" dataBound="0" tableColumnId="55"/>
      <queryTableField id="141" name="'03'" tableColumnId="23"/>
      <queryTableField id="142" name="'07'" tableColumnId="24"/>
      <queryTableField id="143" name="'11'" tableColumnId="25"/>
      <queryTableField id="144" name="'12'" tableColumnId="26"/>
      <queryTableField id="145" name="'15'" tableColumnId="27"/>
      <queryTableField id="146" name="'19'" tableColumnId="28"/>
      <queryTableField id="147" name="'21'" tableColumnId="29"/>
      <queryTableField id="148" name="'23'" tableColumnId="30"/>
      <queryTableField id="149" name="'30'" tableColumnId="31"/>
      <queryTableField id="150" name="'34'" tableColumnId="32"/>
      <queryTableField id="151" name="'42'" tableColumnId="33"/>
      <queryTableField id="152" name="'43'" tableColumnId="34"/>
      <queryTableField id="153" name="'46'" tableColumnId="35"/>
      <queryTableField id="154" name="'48'" tableColumnId="36"/>
      <queryTableField id="155" name="'58'" tableColumnId="37"/>
      <queryTableField id="156" name="'63'" tableColumnId="38"/>
      <queryTableField id="157" name="'69'" tableColumnId="39"/>
      <queryTableField id="158" name="'71'" tableColumnId="41"/>
      <queryTableField id="159" name="'81'" tableColumnId="45"/>
      <queryTableField id="160" name="'82'" tableColumnId="47"/>
      <queryTableField id="161" name="'87'" tableColumnId="48"/>
      <queryTableField id="162" name="'89'" tableColumnId="51"/>
      <queryTableField id="163" name="'FEDER'" tableColumnId="53"/>
      <queryTableField id="164" name="'Autre Public'" tableColumnId="56"/>
      <queryTableField id="169" dataBound="0" tableColumnId="5"/>
    </queryTableFields>
    <queryTableDeletedFields count="8">
      <deletedField name="Total_Etat_FN2"/>
      <deletedField name="Total_Regions_FN2"/>
      <deletedField name="Total_Dpts_FN2"/>
      <deletedField name="Aide Publique demandée"/>
      <deletedField name="'Régions'"/>
      <deletedField name="'Etat'"/>
      <deletedField name="'Dpts'"/>
      <deletedField name="Remarques"/>
    </queryTableDeletedFields>
  </queryTableRefresh>
</queryTable>
</file>

<file path=xl/queryTables/queryTable15.xml><?xml version="1.0" encoding="utf-8"?>
<queryTable xmlns="http://schemas.openxmlformats.org/spreadsheetml/2006/main" name="Lancer la requête à partir de Excel Files" adjustColumnWidth="0" connectionId="1" autoFormatId="16" applyNumberFormats="0" applyBorderFormats="0" applyFontFormats="0" applyPatternFormats="0" applyAlignmentFormats="0" applyWidthHeightFormats="0">
  <queryTableRefresh nextId="171" unboundColumnsRight="1">
    <queryTableFields count="46">
      <queryTableField id="1" name="Programme" tableColumnId="1"/>
      <queryTableField id="84" name="ID_dossier GIP" tableColumnId="50"/>
      <queryTableField id="48" name="ID_Synergie" tableColumnId="43"/>
      <queryTableField id="2" name="Nom_MO" tableColumnId="2"/>
      <queryTableField id="3" name="Intitule_Operation" tableColumnId="3"/>
      <queryTableField id="4" name="Coût total déposé" tableColumnId="4"/>
      <queryTableField id="128" name="Coût total Eligible FEDER" tableColumnId="12"/>
      <queryTableField id="131" dataBound="0" tableColumnId="13"/>
      <queryTableField id="92" dataBound="0" tableColumnId="6"/>
      <queryTableField id="44" dataBound="0" tableColumnId="44"/>
      <queryTableField id="40" dataBound="0" tableColumnId="40"/>
      <queryTableField id="42" dataBound="0" tableColumnId="42"/>
      <queryTableField id="89" dataBound="0" tableColumnId="52"/>
      <queryTableField id="133" name="'FNADT'" tableColumnId="15"/>
      <queryTableField id="134" name="'Agriculture'" tableColumnId="16"/>
      <queryTableField id="90" dataBound="0" tableColumnId="54"/>
      <queryTableField id="138" name="'ALPC'" tableColumnId="20"/>
      <queryTableField id="136" name="'AURA'" tableColumnId="18"/>
      <queryTableField id="137" name="'BFC'" tableColumnId="19"/>
      <queryTableField id="139" name="'LRMP'" tableColumnId="21"/>
      <queryTableField id="91" dataBound="0" tableColumnId="55"/>
      <queryTableField id="141" name="'03'" tableColumnId="23"/>
      <queryTableField id="142" name="'07'" tableColumnId="24"/>
      <queryTableField id="143" name="'11'" tableColumnId="25"/>
      <queryTableField id="144" name="'12'" tableColumnId="26"/>
      <queryTableField id="145" name="'15'" tableColumnId="27"/>
      <queryTableField id="146" name="'19'" tableColumnId="28"/>
      <queryTableField id="147" name="'21'" tableColumnId="29"/>
      <queryTableField id="148" name="'23'" tableColumnId="30"/>
      <queryTableField id="149" name="'30'" tableColumnId="31"/>
      <queryTableField id="150" name="'34'" tableColumnId="32"/>
      <queryTableField id="151" name="'42'" tableColumnId="33"/>
      <queryTableField id="152" name="'43'" tableColumnId="34"/>
      <queryTableField id="153" name="'46'" tableColumnId="35"/>
      <queryTableField id="154" name="'48'" tableColumnId="36"/>
      <queryTableField id="155" name="'58'" tableColumnId="37"/>
      <queryTableField id="156" name="'63'" tableColumnId="38"/>
      <queryTableField id="157" name="'69'" tableColumnId="39"/>
      <queryTableField id="158" name="'71'" tableColumnId="41"/>
      <queryTableField id="159" name="'81'" tableColumnId="45"/>
      <queryTableField id="160" name="'82'" tableColumnId="47"/>
      <queryTableField id="161" name="'87'" tableColumnId="48"/>
      <queryTableField id="162" name="'89'" tableColumnId="51"/>
      <queryTableField id="163" name="'FEDER'" tableColumnId="53"/>
      <queryTableField id="164" name="'Autre Public'" tableColumnId="56"/>
      <queryTableField id="169" dataBound="0" tableColumnId="5"/>
    </queryTableFields>
    <queryTableDeletedFields count="8">
      <deletedField name="Total_Etat_FN2"/>
      <deletedField name="Total_Regions_FN2"/>
      <deletedField name="Total_Dpts_FN2"/>
      <deletedField name="Aide Publique demandée"/>
      <deletedField name="'Régions'"/>
      <deletedField name="'Etat'"/>
      <deletedField name="'Dpts'"/>
      <deletedField name="Remarques"/>
    </queryTableDeletedFields>
  </queryTableRefresh>
</queryTable>
</file>

<file path=xl/queryTables/queryTable2.xml><?xml version="1.0" encoding="utf-8"?>
<queryTable xmlns="http://schemas.openxmlformats.org/spreadsheetml/2006/main" name="Lancer la requête à partir de Excel Files_9" adjustColumnWidth="0" connectionId="11" autoFormatId="16" applyNumberFormats="0" applyBorderFormats="0" applyFontFormats="0" applyPatternFormats="0" applyAlignmentFormats="0" applyWidthHeightFormats="0">
  <queryTableRefresh nextId="108" unboundColumnsRight="1">
    <queryTableFields count="44">
      <queryTableField id="1" name="ID_Synergie" tableColumnId="1"/>
      <queryTableField id="2" name="Nom_MO" tableColumnId="2"/>
      <queryTableField id="3" name="Intitule_Operation" tableColumnId="3"/>
      <queryTableField id="46" name="'Coût total éligible'" tableColumnId="43"/>
      <queryTableField id="42" dataBound="0" tableColumnId="39"/>
      <queryTableField id="92" dataBound="0" tableColumnId="81"/>
      <queryTableField id="43" dataBound="0" tableColumnId="40"/>
      <queryTableField id="93" dataBound="0" tableColumnId="82"/>
      <queryTableField id="78" name="'FEDER'" tableColumnId="75"/>
      <queryTableField id="99" dataBound="0" tableColumnId="7"/>
      <queryTableField id="104" name="'FNADT '" tableColumnId="11"/>
      <queryTableField id="49" name="'Agriculture'" tableColumnId="46"/>
      <queryTableField id="100" dataBound="0" tableColumnId="8"/>
      <queryTableField id="51" name="'ALPC'" tableColumnId="48"/>
      <queryTableField id="52" name="'AURA'" tableColumnId="49"/>
      <queryTableField id="81" name="'BFC'" tableColumnId="78"/>
      <queryTableField id="82" name="'LRMP'" tableColumnId="79"/>
      <queryTableField id="101" dataBound="0" tableColumnId="9"/>
      <queryTableField id="56" name="'03'" tableColumnId="53"/>
      <queryTableField id="57" name="'07'" tableColumnId="54"/>
      <queryTableField id="58" name="'11'" tableColumnId="55"/>
      <queryTableField id="59" name="'12'" tableColumnId="56"/>
      <queryTableField id="60" name="'15'" tableColumnId="57"/>
      <queryTableField id="61" name="'19'" tableColumnId="58"/>
      <queryTableField id="62" name="'21'" tableColumnId="59"/>
      <queryTableField id="85" name="'23'" tableColumnId="80"/>
      <queryTableField id="63" name="'30'" tableColumnId="60"/>
      <queryTableField id="64" name="'34'" tableColumnId="61"/>
      <queryTableField id="65" name="'42'" tableColumnId="62"/>
      <queryTableField id="66" name="'43'" tableColumnId="63"/>
      <queryTableField id="67" name="'46'" tableColumnId="64"/>
      <queryTableField id="68" name="'48'" tableColumnId="65"/>
      <queryTableField id="69" name="'58'" tableColumnId="66"/>
      <queryTableField id="70" name="'63'" tableColumnId="67"/>
      <queryTableField id="71" name="'69'" tableColumnId="68"/>
      <queryTableField id="72" name="'71'" tableColumnId="69"/>
      <queryTableField id="73" name="'81'" tableColumnId="70"/>
      <queryTableField id="74" name="'82'" tableColumnId="71"/>
      <queryTableField id="75" name="'87'" tableColumnId="72"/>
      <queryTableField id="76" name="'89'" tableColumnId="73"/>
      <queryTableField id="79" name="'Autre Public'" tableColumnId="76"/>
      <queryTableField id="35" name="Avis Cofimac" tableColumnId="35"/>
      <queryTableField id="107" name="Date début operation" tableColumnId="5"/>
      <queryTableField id="95" dataBound="0" tableColumnId="4"/>
    </queryTableFields>
  </queryTableRefresh>
</queryTable>
</file>

<file path=xl/queryTables/queryTable3.xml><?xml version="1.0" encoding="utf-8"?>
<queryTable xmlns="http://schemas.openxmlformats.org/spreadsheetml/2006/main" name="Lancer la requête à partir de Excel Files_10" adjustColumnWidth="0" connectionId="9" autoFormatId="16" applyNumberFormats="0" applyBorderFormats="0" applyFontFormats="0" applyPatternFormats="0" applyAlignmentFormats="0" applyWidthHeightFormats="0">
  <queryTableRefresh nextId="108" unboundColumnsRight="1">
    <queryTableFields count="44">
      <queryTableField id="1" name="ID_Synergie" tableColumnId="1"/>
      <queryTableField id="2" name="Nom_MO" tableColumnId="2"/>
      <queryTableField id="3" name="Intitule_Operation" tableColumnId="3"/>
      <queryTableField id="46" name="'Coût total éligible'" tableColumnId="43"/>
      <queryTableField id="42" dataBound="0" tableColumnId="39"/>
      <queryTableField id="92" dataBound="0" tableColumnId="81"/>
      <queryTableField id="43" dataBound="0" tableColumnId="40"/>
      <queryTableField id="93" dataBound="0" tableColumnId="82"/>
      <queryTableField id="78" name="'FEDER'" tableColumnId="75"/>
      <queryTableField id="99" dataBound="0" tableColumnId="7"/>
      <queryTableField id="104" name="'FNADT '" tableColumnId="11"/>
      <queryTableField id="49" name="'Agriculture'" tableColumnId="46"/>
      <queryTableField id="100" dataBound="0" tableColumnId="8"/>
      <queryTableField id="51" name="'ALPC'" tableColumnId="48"/>
      <queryTableField id="52" name="'AURA'" tableColumnId="49"/>
      <queryTableField id="81" name="'BFC'" tableColumnId="78"/>
      <queryTableField id="82" name="'LRMP'" tableColumnId="79"/>
      <queryTableField id="101" dataBound="0" tableColumnId="9"/>
      <queryTableField id="56" name="'03'" tableColumnId="53"/>
      <queryTableField id="57" name="'07'" tableColumnId="54"/>
      <queryTableField id="58" name="'11'" tableColumnId="55"/>
      <queryTableField id="59" name="'12'" tableColumnId="56"/>
      <queryTableField id="60" name="'15'" tableColumnId="57"/>
      <queryTableField id="61" name="'19'" tableColumnId="58"/>
      <queryTableField id="62" name="'21'" tableColumnId="59"/>
      <queryTableField id="85" name="'23'" tableColumnId="80"/>
      <queryTableField id="63" name="'30'" tableColumnId="60"/>
      <queryTableField id="64" name="'34'" tableColumnId="61"/>
      <queryTableField id="65" name="'42'" tableColumnId="62"/>
      <queryTableField id="66" name="'43'" tableColumnId="63"/>
      <queryTableField id="67" name="'46'" tableColumnId="64"/>
      <queryTableField id="68" name="'48'" tableColumnId="65"/>
      <queryTableField id="69" name="'58'" tableColumnId="66"/>
      <queryTableField id="70" name="'63'" tableColumnId="67"/>
      <queryTableField id="71" name="'69'" tableColumnId="68"/>
      <queryTableField id="72" name="'71'" tableColumnId="69"/>
      <queryTableField id="73" name="'81'" tableColumnId="70"/>
      <queryTableField id="74" name="'82'" tableColumnId="71"/>
      <queryTableField id="75" name="'87'" tableColumnId="72"/>
      <queryTableField id="76" name="'89'" tableColumnId="73"/>
      <queryTableField id="79" name="'Autre Public'" tableColumnId="76"/>
      <queryTableField id="35" name="Avis Cofimac" tableColumnId="35"/>
      <queryTableField id="107" name="Date début operation" tableColumnId="5"/>
      <queryTableField id="95" dataBound="0" tableColumnId="4"/>
    </queryTableFields>
  </queryTableRefresh>
</queryTable>
</file>

<file path=xl/queryTables/queryTable4.xml><?xml version="1.0" encoding="utf-8"?>
<queryTable xmlns="http://schemas.openxmlformats.org/spreadsheetml/2006/main" name="Lancer la requête à partir de Excel Files_11" adjustColumnWidth="0" connectionId="10" autoFormatId="16" applyNumberFormats="0" applyBorderFormats="0" applyFontFormats="0" applyPatternFormats="0" applyAlignmentFormats="0" applyWidthHeightFormats="0">
  <queryTableRefresh nextId="108" unboundColumnsRight="1">
    <queryTableFields count="44">
      <queryTableField id="1" name="ID_Synergie" tableColumnId="1"/>
      <queryTableField id="2" name="Nom_MO" tableColumnId="2"/>
      <queryTableField id="3" name="Intitule_Operation" tableColumnId="3"/>
      <queryTableField id="46" name="'Coût total éligible'" tableColumnId="43"/>
      <queryTableField id="42" dataBound="0" tableColumnId="39"/>
      <queryTableField id="92" dataBound="0" tableColumnId="81"/>
      <queryTableField id="43" dataBound="0" tableColumnId="40"/>
      <queryTableField id="93" dataBound="0" tableColumnId="82"/>
      <queryTableField id="78" name="'FEDER'" tableColumnId="75"/>
      <queryTableField id="99" dataBound="0" tableColumnId="7"/>
      <queryTableField id="104" name="'FNADT '" tableColumnId="11"/>
      <queryTableField id="49" name="'Agriculture'" tableColumnId="46"/>
      <queryTableField id="100" dataBound="0" tableColumnId="8"/>
      <queryTableField id="51" name="'ALPC'" tableColumnId="48"/>
      <queryTableField id="52" name="'AURA'" tableColumnId="49"/>
      <queryTableField id="81" name="'BFC'" tableColumnId="78"/>
      <queryTableField id="82" name="'LRMP'" tableColumnId="79"/>
      <queryTableField id="101" dataBound="0" tableColumnId="9"/>
      <queryTableField id="56" name="'03'" tableColumnId="53"/>
      <queryTableField id="57" name="'07'" tableColumnId="54"/>
      <queryTableField id="58" name="'11'" tableColumnId="55"/>
      <queryTableField id="59" name="'12'" tableColumnId="56"/>
      <queryTableField id="60" name="'15'" tableColumnId="57"/>
      <queryTableField id="61" name="'19'" tableColumnId="58"/>
      <queryTableField id="62" name="'21'" tableColumnId="59"/>
      <queryTableField id="85" name="'23'" tableColumnId="80"/>
      <queryTableField id="63" name="'30'" tableColumnId="60"/>
      <queryTableField id="64" name="'34'" tableColumnId="61"/>
      <queryTableField id="65" name="'42'" tableColumnId="62"/>
      <queryTableField id="66" name="'43'" tableColumnId="63"/>
      <queryTableField id="67" name="'46'" tableColumnId="64"/>
      <queryTableField id="68" name="'48'" tableColumnId="65"/>
      <queryTableField id="69" name="'58'" tableColumnId="66"/>
      <queryTableField id="70" name="'63'" tableColumnId="67"/>
      <queryTableField id="71" name="'69'" tableColumnId="68"/>
      <queryTableField id="72" name="'71'" tableColumnId="69"/>
      <queryTableField id="73" name="'81'" tableColumnId="70"/>
      <queryTableField id="74" name="'82'" tableColumnId="71"/>
      <queryTableField id="75" name="'87'" tableColumnId="72"/>
      <queryTableField id="76" name="'89'" tableColumnId="73"/>
      <queryTableField id="79" name="'Autre Public'" tableColumnId="76"/>
      <queryTableField id="35" name="Avis Cofimac" tableColumnId="35"/>
      <queryTableField id="107" name="Date début operation" tableColumnId="5"/>
      <queryTableField id="95" dataBound="0" tableColumnId="4"/>
    </queryTableFields>
  </queryTableRefresh>
</queryTable>
</file>

<file path=xl/queryTables/queryTable5.xml><?xml version="1.0" encoding="utf-8"?>
<queryTable xmlns="http://schemas.openxmlformats.org/spreadsheetml/2006/main" name="Lancer la requête à partir de Excel Files_8" adjustColumnWidth="0" connectionId="15" autoFormatId="16" applyNumberFormats="0" applyBorderFormats="0" applyFontFormats="0" applyPatternFormats="0" applyAlignmentFormats="0" applyWidthHeightFormats="0">
  <queryTableRefresh nextId="112" unboundColumnsRight="1">
    <queryTableFields count="45">
      <queryTableField id="108" name="Programme" tableColumnId="6"/>
      <queryTableField id="109" name="Axe" tableColumnId="10"/>
      <queryTableField id="1" name="ID_Synergie" tableColumnId="1"/>
      <queryTableField id="2" name="Nom_MO" tableColumnId="2"/>
      <queryTableField id="3" name="Intitule_Operation" tableColumnId="3"/>
      <queryTableField id="46" name="'Coût total éligible'" tableColumnId="43"/>
      <queryTableField id="42" dataBound="0" tableColumnId="39"/>
      <queryTableField id="92" dataBound="0" tableColumnId="81"/>
      <queryTableField id="43" dataBound="0" tableColumnId="40"/>
      <queryTableField id="93" dataBound="0" tableColumnId="82"/>
      <queryTableField id="78" name="'FEDER'" tableColumnId="75"/>
      <queryTableField id="99" dataBound="0" tableColumnId="7"/>
      <queryTableField id="104" name="'FNADT '" tableColumnId="11"/>
      <queryTableField id="49" name="'Agriculture'" tableColumnId="46"/>
      <queryTableField id="100" dataBound="0" tableColumnId="8"/>
      <queryTableField id="51" name="'ALPC'" tableColumnId="48"/>
      <queryTableField id="52" name="'AURA'" tableColumnId="49"/>
      <queryTableField id="81" name="'BFC'" tableColumnId="78"/>
      <queryTableField id="82" name="'LRMP'" tableColumnId="79"/>
      <queryTableField id="101" dataBound="0" tableColumnId="9"/>
      <queryTableField id="56" name="'03'" tableColumnId="53"/>
      <queryTableField id="57" name="'07'" tableColumnId="54"/>
      <queryTableField id="58" name="'11'" tableColumnId="55"/>
      <queryTableField id="59" name="'12'" tableColumnId="56"/>
      <queryTableField id="60" name="'15'" tableColumnId="57"/>
      <queryTableField id="61" name="'19'" tableColumnId="58"/>
      <queryTableField id="62" name="'21'" tableColumnId="59"/>
      <queryTableField id="85" name="'23'" tableColumnId="80"/>
      <queryTableField id="63" name="'30'" tableColumnId="60"/>
      <queryTableField id="64" name="'34'" tableColumnId="61"/>
      <queryTableField id="65" name="'42'" tableColumnId="62"/>
      <queryTableField id="66" name="'43'" tableColumnId="63"/>
      <queryTableField id="67" name="'46'" tableColumnId="64"/>
      <queryTableField id="68" name="'48'" tableColumnId="65"/>
      <queryTableField id="69" name="'58'" tableColumnId="66"/>
      <queryTableField id="70" name="'63'" tableColumnId="67"/>
      <queryTableField id="71" name="'69'" tableColumnId="68"/>
      <queryTableField id="72" name="'71'" tableColumnId="69"/>
      <queryTableField id="73" name="'81'" tableColumnId="70"/>
      <queryTableField id="74" name="'82'" tableColumnId="71"/>
      <queryTableField id="75" name="'87'" tableColumnId="72"/>
      <queryTableField id="76" name="'89'" tableColumnId="73"/>
      <queryTableField id="79" name="'Autre Public'" tableColumnId="76"/>
      <queryTableField id="35" name="Avis Cofimac" tableColumnId="35"/>
      <queryTableField id="95" dataBound="0" tableColumnId="4"/>
    </queryTableFields>
    <queryTableDeletedFields count="1">
      <deletedField name="Date début operation"/>
    </queryTableDeletedFields>
  </queryTableRefresh>
</queryTable>
</file>

<file path=xl/queryTables/queryTable6.xml><?xml version="1.0" encoding="utf-8"?>
<queryTable xmlns="http://schemas.openxmlformats.org/spreadsheetml/2006/main" name="Lancer la requête à partir de Excel Files_8" adjustColumnWidth="0" connectionId="6" autoFormatId="16" applyNumberFormats="0" applyBorderFormats="0" applyFontFormats="0" applyPatternFormats="0" applyAlignmentFormats="0" applyWidthHeightFormats="0">
  <queryTableRefresh nextId="111">
    <queryTableFields count="46">
      <queryTableField id="106" name="Programme" tableColumnId="6"/>
      <queryTableField id="107" name="Axe" tableColumnId="11"/>
      <queryTableField id="1" name="ID_Synergie" tableColumnId="1"/>
      <queryTableField id="2" name="Nom_MO" tableColumnId="2"/>
      <queryTableField id="3" name="Intitule_Operation" tableColumnId="3"/>
      <queryTableField id="46" name="'Coût total éligible'" tableColumnId="43"/>
      <queryTableField id="42" dataBound="0" tableColumnId="39"/>
      <queryTableField id="92" dataBound="0" tableColumnId="81"/>
      <queryTableField id="43" dataBound="0" tableColumnId="40"/>
      <queryTableField id="93" dataBound="0" tableColumnId="82"/>
      <queryTableField id="78" name="'FEDER'" tableColumnId="75"/>
      <queryTableField id="99" dataBound="0" tableColumnId="7"/>
      <queryTableField id="102" name="'FNADT '" tableColumnId="10"/>
      <queryTableField id="49" name="'Agriculture'" tableColumnId="46"/>
      <queryTableField id="100" dataBound="0" tableColumnId="8"/>
      <queryTableField id="51" name="'ALPC'" tableColumnId="48"/>
      <queryTableField id="52" name="'AURA'" tableColumnId="49"/>
      <queryTableField id="81" name="'BFC'" tableColumnId="78"/>
      <queryTableField id="82" name="'LRMP'" tableColumnId="79"/>
      <queryTableField id="101" dataBound="0" tableColumnId="9"/>
      <queryTableField id="56" name="'03'" tableColumnId="53"/>
      <queryTableField id="57" name="'07'" tableColumnId="54"/>
      <queryTableField id="58" name="'11'" tableColumnId="55"/>
      <queryTableField id="59" name="'12'" tableColumnId="56"/>
      <queryTableField id="60" name="'15'" tableColumnId="57"/>
      <queryTableField id="61" name="'19'" tableColumnId="58"/>
      <queryTableField id="62" name="'21'" tableColumnId="59"/>
      <queryTableField id="85" name="'23'" tableColumnId="80"/>
      <queryTableField id="63" name="'30'" tableColumnId="60"/>
      <queryTableField id="64" name="'34'" tableColumnId="61"/>
      <queryTableField id="65" name="'42'" tableColumnId="62"/>
      <queryTableField id="66" name="'43'" tableColumnId="63"/>
      <queryTableField id="67" name="'46'" tableColumnId="64"/>
      <queryTableField id="68" name="'48'" tableColumnId="65"/>
      <queryTableField id="69" name="'58'" tableColumnId="66"/>
      <queryTableField id="70" name="'63'" tableColumnId="67"/>
      <queryTableField id="71" name="'69'" tableColumnId="68"/>
      <queryTableField id="72" name="'71'" tableColumnId="69"/>
      <queryTableField id="73" name="'81'" tableColumnId="70"/>
      <queryTableField id="74" name="'82'" tableColumnId="71"/>
      <queryTableField id="75" name="'87'" tableColumnId="72"/>
      <queryTableField id="76" name="'89'" tableColumnId="73"/>
      <queryTableField id="79" name="'Autre Public'" tableColumnId="76"/>
      <queryTableField id="35" name="Avis Cofimac" tableColumnId="35"/>
      <queryTableField id="104" dataBound="0" tableColumnId="4"/>
      <queryTableField id="105" name="Date début operation" tableColumnId="5"/>
    </queryTableFields>
  </queryTableRefresh>
</queryTable>
</file>

<file path=xl/queryTables/queryTable7.xml><?xml version="1.0" encoding="utf-8"?>
<queryTable xmlns="http://schemas.openxmlformats.org/spreadsheetml/2006/main" name="Lancer la requête à partir de Excel Files_8" adjustColumnWidth="0" connectionId="13" autoFormatId="16" applyNumberFormats="0" applyBorderFormats="0" applyFontFormats="0" applyPatternFormats="0" applyAlignmentFormats="0" applyWidthHeightFormats="0">
  <queryTableRefresh nextId="108" unboundColumnsRight="1">
    <queryTableFields count="43">
      <queryTableField id="1" name="ID_Synergie" tableColumnId="1"/>
      <queryTableField id="2" name="Nom_MO" tableColumnId="2"/>
      <queryTableField id="3" name="Intitule_Operation" tableColumnId="3"/>
      <queryTableField id="46" name="'Coût total éligible'" tableColumnId="43"/>
      <queryTableField id="42" dataBound="0" tableColumnId="39"/>
      <queryTableField id="92" dataBound="0" tableColumnId="81"/>
      <queryTableField id="43" dataBound="0" tableColumnId="40"/>
      <queryTableField id="93" dataBound="0" tableColumnId="82"/>
      <queryTableField id="78" name="'FEDER'" tableColumnId="75"/>
      <queryTableField id="99" dataBound="0" tableColumnId="7"/>
      <queryTableField id="104" name="'FNADT '" tableColumnId="11"/>
      <queryTableField id="49" name="'Agriculture'" tableColumnId="46"/>
      <queryTableField id="100" dataBound="0" tableColumnId="8"/>
      <queryTableField id="51" name="'ALPC'" tableColumnId="48"/>
      <queryTableField id="52" name="'AURA'" tableColumnId="49"/>
      <queryTableField id="81" name="'BFC'" tableColumnId="78"/>
      <queryTableField id="82" name="'LRMP'" tableColumnId="79"/>
      <queryTableField id="101" dataBound="0" tableColumnId="9"/>
      <queryTableField id="56" name="'03'" tableColumnId="53"/>
      <queryTableField id="57" name="'07'" tableColumnId="54"/>
      <queryTableField id="58" name="'11'" tableColumnId="55"/>
      <queryTableField id="59" name="'12'" tableColumnId="56"/>
      <queryTableField id="60" name="'15'" tableColumnId="57"/>
      <queryTableField id="61" name="'19'" tableColumnId="58"/>
      <queryTableField id="62" name="'21'" tableColumnId="59"/>
      <queryTableField id="85" name="'23'" tableColumnId="80"/>
      <queryTableField id="63" name="'30'" tableColumnId="60"/>
      <queryTableField id="64" name="'34'" tableColumnId="61"/>
      <queryTableField id="65" name="'42'" tableColumnId="62"/>
      <queryTableField id="66" name="'43'" tableColumnId="63"/>
      <queryTableField id="67" name="'46'" tableColumnId="64"/>
      <queryTableField id="68" name="'48'" tableColumnId="65"/>
      <queryTableField id="69" name="'58'" tableColumnId="66"/>
      <queryTableField id="70" name="'63'" tableColumnId="67"/>
      <queryTableField id="71" name="'69'" tableColumnId="68"/>
      <queryTableField id="72" name="'71'" tableColumnId="69"/>
      <queryTableField id="73" name="'81'" tableColumnId="70"/>
      <queryTableField id="74" name="'82'" tableColumnId="71"/>
      <queryTableField id="75" name="'87'" tableColumnId="72"/>
      <queryTableField id="76" name="'89'" tableColumnId="73"/>
      <queryTableField id="79" name="'Autre Public'" tableColumnId="76"/>
      <queryTableField id="35" name="Avis Cofimac" tableColumnId="35"/>
      <queryTableField id="95" dataBound="0" tableColumnId="4"/>
    </queryTableFields>
  </queryTableRefresh>
</queryTable>
</file>

<file path=xl/queryTables/queryTable8.xml><?xml version="1.0" encoding="utf-8"?>
<queryTable xmlns="http://schemas.openxmlformats.org/spreadsheetml/2006/main" name="Lancer la requête à partir de Excel Files_8" adjustColumnWidth="0" connectionId="4" autoFormatId="16" applyNumberFormats="0" applyBorderFormats="0" applyFontFormats="0" applyPatternFormats="0" applyAlignmentFormats="0" applyWidthHeightFormats="0">
  <queryTableRefresh nextId="110" unboundColumnsLeft="2" unboundColumnsRight="1">
    <queryTableFields count="45">
      <queryTableField id="109" dataBound="0" tableColumnId="10"/>
      <queryTableField id="108" dataBound="0" tableColumnId="6"/>
      <queryTableField id="1" name="ID_Synergie" tableColumnId="1"/>
      <queryTableField id="2" name="Nom_MO" tableColumnId="2"/>
      <queryTableField id="3" name="Intitule_Operation" tableColumnId="3"/>
      <queryTableField id="46" name="'Coût total éligible'" tableColumnId="43"/>
      <queryTableField id="42" dataBound="0" tableColumnId="39"/>
      <queryTableField id="92" dataBound="0" tableColumnId="81"/>
      <queryTableField id="43" dataBound="0" tableColumnId="40"/>
      <queryTableField id="93" dataBound="0" tableColumnId="82"/>
      <queryTableField id="78" name="'FEDER'" tableColumnId="75"/>
      <queryTableField id="99" dataBound="0" tableColumnId="7"/>
      <queryTableField id="104" name="'FNADT '" tableColumnId="11"/>
      <queryTableField id="49" name="'Agriculture'" tableColumnId="46"/>
      <queryTableField id="100" dataBound="0" tableColumnId="8"/>
      <queryTableField id="51" name="'ALPC'" tableColumnId="48"/>
      <queryTableField id="52" name="'AURA'" tableColumnId="49"/>
      <queryTableField id="81" name="'BFC'" tableColumnId="78"/>
      <queryTableField id="82" name="'LRMP'" tableColumnId="79"/>
      <queryTableField id="101" dataBound="0" tableColumnId="9"/>
      <queryTableField id="56" name="'03'" tableColumnId="53"/>
      <queryTableField id="57" name="'07'" tableColumnId="54"/>
      <queryTableField id="58" name="'11'" tableColumnId="55"/>
      <queryTableField id="59" name="'12'" tableColumnId="56"/>
      <queryTableField id="60" name="'15'" tableColumnId="57"/>
      <queryTableField id="61" name="'19'" tableColumnId="58"/>
      <queryTableField id="62" name="'21'" tableColumnId="59"/>
      <queryTableField id="85" name="'23'" tableColumnId="80"/>
      <queryTableField id="63" name="'30'" tableColumnId="60"/>
      <queryTableField id="64" name="'34'" tableColumnId="61"/>
      <queryTableField id="65" name="'42'" tableColumnId="62"/>
      <queryTableField id="66" name="'43'" tableColumnId="63"/>
      <queryTableField id="67" name="'46'" tableColumnId="64"/>
      <queryTableField id="68" name="'48'" tableColumnId="65"/>
      <queryTableField id="69" name="'58'" tableColumnId="66"/>
      <queryTableField id="70" name="'63'" tableColumnId="67"/>
      <queryTableField id="71" name="'69'" tableColumnId="68"/>
      <queryTableField id="72" name="'71'" tableColumnId="69"/>
      <queryTableField id="73" name="'81'" tableColumnId="70"/>
      <queryTableField id="74" name="'82'" tableColumnId="71"/>
      <queryTableField id="75" name="'87'" tableColumnId="72"/>
      <queryTableField id="76" name="'89'" tableColumnId="73"/>
      <queryTableField id="79" name="'Autre Public'" tableColumnId="76"/>
      <queryTableField id="35" name="Avis Cofimac" tableColumnId="35"/>
      <queryTableField id="95" dataBound="0" tableColumnId="4"/>
    </queryTableFields>
    <queryTableDeletedFields count="1">
      <deletedField name="Date début operation"/>
    </queryTableDeletedFields>
  </queryTableRefresh>
</queryTable>
</file>

<file path=xl/queryTables/queryTable9.xml><?xml version="1.0" encoding="utf-8"?>
<queryTable xmlns="http://schemas.openxmlformats.org/spreadsheetml/2006/main" name="Lancer la requête à partir de Excel Files_8" adjustColumnWidth="0" connectionId="7" autoFormatId="16" applyNumberFormats="0" applyBorderFormats="0" applyFontFormats="0" applyPatternFormats="0" applyAlignmentFormats="0" applyWidthHeightFormats="0">
  <queryTableRefresh nextId="113">
    <queryTableFields count="46">
      <queryTableField id="108" name="Programme" tableColumnId="6"/>
      <queryTableField id="109" name="Axe" tableColumnId="10"/>
      <queryTableField id="1" name="ID_Synergie" tableColumnId="1"/>
      <queryTableField id="2" name="Nom_MO" tableColumnId="2"/>
      <queryTableField id="3" name="Intitule_Operation" tableColumnId="3"/>
      <queryTableField id="46" name="'Coût total éligible'" tableColumnId="43"/>
      <queryTableField id="42" dataBound="0" tableColumnId="39"/>
      <queryTableField id="92" dataBound="0" tableColumnId="81"/>
      <queryTableField id="43" dataBound="0" tableColumnId="40"/>
      <queryTableField id="93" dataBound="0" tableColumnId="82"/>
      <queryTableField id="78" name="'FEDER'" tableColumnId="75"/>
      <queryTableField id="99" dataBound="0" tableColumnId="7"/>
      <queryTableField id="104" name="'FNADT '" tableColumnId="11"/>
      <queryTableField id="49" name="'Agriculture'" tableColumnId="46"/>
      <queryTableField id="100" dataBound="0" tableColumnId="8"/>
      <queryTableField id="51" name="'ALPC'" tableColumnId="48"/>
      <queryTableField id="52" name="'AURA'" tableColumnId="49"/>
      <queryTableField id="81" name="'BFC'" tableColumnId="78"/>
      <queryTableField id="82" name="'LRMP'" tableColumnId="79"/>
      <queryTableField id="101" dataBound="0" tableColumnId="9"/>
      <queryTableField id="56" name="'03'" tableColumnId="53"/>
      <queryTableField id="57" name="'07'" tableColumnId="54"/>
      <queryTableField id="58" name="'11'" tableColumnId="55"/>
      <queryTableField id="59" name="'12'" tableColumnId="56"/>
      <queryTableField id="60" name="'15'" tableColumnId="57"/>
      <queryTableField id="61" name="'19'" tableColumnId="58"/>
      <queryTableField id="62" name="'21'" tableColumnId="59"/>
      <queryTableField id="85" name="'23'" tableColumnId="80"/>
      <queryTableField id="63" name="'30'" tableColumnId="60"/>
      <queryTableField id="64" name="'34'" tableColumnId="61"/>
      <queryTableField id="65" name="'42'" tableColumnId="62"/>
      <queryTableField id="66" name="'43'" tableColumnId="63"/>
      <queryTableField id="67" name="'46'" tableColumnId="64"/>
      <queryTableField id="68" name="'48'" tableColumnId="65"/>
      <queryTableField id="69" name="'58'" tableColumnId="66"/>
      <queryTableField id="70" name="'63'" tableColumnId="67"/>
      <queryTableField id="71" name="'69'" tableColumnId="68"/>
      <queryTableField id="72" name="'71'" tableColumnId="69"/>
      <queryTableField id="73" name="'81'" tableColumnId="70"/>
      <queryTableField id="74" name="'82'" tableColumnId="71"/>
      <queryTableField id="75" name="'87'" tableColumnId="72"/>
      <queryTableField id="76" name="'89'" tableColumnId="73"/>
      <queryTableField id="79" name="'Autre Public'" tableColumnId="76"/>
      <queryTableField id="35" name="Avis Cofimac" tableColumnId="35"/>
      <queryTableField id="95" dataBound="0" tableColumnId="4"/>
      <queryTableField id="107" name="Date début operation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0" name="Tableau_Lancer_la_requête_à_partir_de_Excel_Files1025678911" displayName="Tableau_Lancer_la_requête_à_partir_de_Excel_Files1025678911" ref="A7:AR9" tableType="queryTable" insertRow="1" totalsRowCount="1" headerRowDxfId="1616" dataDxfId="1615" totalsRowDxfId="1614">
  <autoFilter ref="A7:AR8"/>
  <sortState ref="A8:AR8">
    <sortCondition ref="A6:A18"/>
  </sortState>
  <tableColumns count="44">
    <tableColumn id="1" uniqueName="1" name="ID_Synergie" totalsRowLabel="Total" queryTableFieldId="1" dataDxfId="1613" totalsRowDxfId="1612"/>
    <tableColumn id="2" uniqueName="2" name="Nom_MO" totalsRowFunction="count" queryTableFieldId="2" dataDxfId="1611" totalsRowDxfId="1610"/>
    <tableColumn id="3" uniqueName="3" name="Intitule_Operation" queryTableFieldId="3" dataDxfId="1609" totalsRowDxfId="1608"/>
    <tableColumn id="43" uniqueName="43" name="'Coût total éligible'" totalsRowFunction="sum" queryTableFieldId="46" dataDxfId="1607" totalsRowDxfId="1606"/>
    <tableColumn id="39" uniqueName="39" name="Aide _x000a_publique" totalsRowFunction="sum" queryTableFieldId="42" dataDxfId="1605" totalsRowDxfId="1604">
      <calculatedColumnFormula>Tableau_Lancer_la_requête_à_partir_de_Excel_Files1025678911[[#This Row],[Aide Massif]]+Tableau_Lancer_la_requête_à_partir_de_Excel_Files1025678911[[#This Row],[''Autre Public'']]</calculatedColumnFormula>
    </tableColumn>
    <tableColumn id="81" uniqueName="81" name="Tx Aide publique" queryTableFieldId="92" dataDxfId="1603" totalsRowDxfId="1602">
      <calculatedColumnFormula>Tableau_Lancer_la_requête_à_partir_de_Excel_Files1025678911[[#This Row],[Aide 
publique]]/Tableau_Lancer_la_requête_à_partir_de_Excel_Files1025678911[[#This Row],[''Coût total éligible'']]</calculatedColumnFormula>
    </tableColumn>
    <tableColumn id="40" uniqueName="40" name="Aide Massif" totalsRowFunction="sum" queryTableFieldId="43" dataDxfId="1601" totalsRowDxfId="1600">
      <calculatedColumnFormula>Tableau_Lancer_la_requête_à_partir_de_Excel_Files1025678911[[#This Row],[''FEDER'']]+Tableau_Lancer_la_requête_à_partir_de_Excel_Files1025678911[[#This Row],[Total Etat]]+Tableau_Lancer_la_requête_à_partir_de_Excel_Files1025678911[[#This Row],[Total Régions]]+Tableau_Lancer_la_requête_à_partir_de_Excel_Files1025678911[[#This Row],[Total Dpts]]</calculatedColumnFormula>
    </tableColumn>
    <tableColumn id="82" uniqueName="82" name="Tx_x000a_Aide Massif" queryTableFieldId="93" dataDxfId="1599" totalsRowDxfId="1598">
      <calculatedColumnFormula>Tableau_Lancer_la_requête_à_partir_de_Excel_Files1025678911[[#This Row],[Aide Massif]]/Tableau_Lancer_la_requête_à_partir_de_Excel_Files1025678911[[#This Row],[''Coût total éligible'']]</calculatedColumnFormula>
    </tableColumn>
    <tableColumn id="75" uniqueName="75" name="'FEDER'" totalsRowFunction="sum" queryTableFieldId="78" dataDxfId="1597" totalsRowDxfId="1596"/>
    <tableColumn id="7" uniqueName="7" name="Total Etat" totalsRowFunction="sum" queryTableFieldId="99" dataDxfId="1595" totalsRowDxfId="1594">
      <calculatedColumnFormula>Tableau_Lancer_la_requête_à_partir_de_Excel_Files1025678911[[#This Row],[''FNADT '']]+Tableau_Lancer_la_requête_à_partir_de_Excel_Files1025678911[[#This Row],[''Agriculture'']]</calculatedColumnFormula>
    </tableColumn>
    <tableColumn id="11" uniqueName="11" name="'FNADT '" queryTableFieldId="104" dataDxfId="1593" totalsRowDxfId="1592"/>
    <tableColumn id="46" uniqueName="46" name="'Agriculture'" totalsRowFunction="sum" queryTableFieldId="49" dataDxfId="1591" totalsRowDxfId="1590"/>
    <tableColumn id="8" uniqueName="8" name="Total Régions" totalsRowFunction="sum" queryTableFieldId="100" dataDxfId="1589" totalsRowDxfId="1588">
      <calculatedColumnFormula>Tableau_Lancer_la_requête_à_partir_de_Excel_Files1025678911[[#This Row],[''ALPC'']]+Tableau_Lancer_la_requête_à_partir_de_Excel_Files1025678911[[#This Row],[''AURA'']]+Tableau_Lancer_la_requête_à_partir_de_Excel_Files1025678911[[#This Row],[''BFC'']]+Tableau_Lancer_la_requête_à_partir_de_Excel_Files1025678911[[#This Row],[''LRMP'']]</calculatedColumnFormula>
    </tableColumn>
    <tableColumn id="48" uniqueName="48" name="'ALPC'" totalsRowFunction="sum" queryTableFieldId="51" dataDxfId="1587" totalsRowDxfId="1586"/>
    <tableColumn id="49" uniqueName="49" name="'AURA'" totalsRowFunction="sum" queryTableFieldId="52" dataDxfId="1585" totalsRowDxfId="1584"/>
    <tableColumn id="78" uniqueName="78" name="'BFC'" totalsRowFunction="sum" queryTableFieldId="81" dataDxfId="1583" totalsRowDxfId="1582"/>
    <tableColumn id="79" uniqueName="79" name="'LRMP'" totalsRowFunction="sum" queryTableFieldId="82" dataDxfId="1581" totalsRowDxfId="1580"/>
    <tableColumn id="9" uniqueName="9" name="Total Dpts" totalsRowFunction="sum" queryTableFieldId="101" dataDxfId="1579" totalsRowDxfId="1578">
      <calculatedColumnFormula>Tableau_Lancer_la_requête_à_partir_de_Excel_Files1025678911[[#This Row],[''03'']]+Tableau_Lancer_la_requête_à_partir_de_Excel_Files1025678911[[#This Row],[''07'']]+Tableau_Lancer_la_requête_à_partir_de_Excel_Files1025678911[[#This Row],[''11'']]+Tableau_Lancer_la_requête_à_partir_de_Excel_Files1025678911[[#This Row],[''12'']]+Tableau_Lancer_la_requête_à_partir_de_Excel_Files1025678911[[#This Row],[''15'']]+Tableau_Lancer_la_requête_à_partir_de_Excel_Files1025678911[[#This Row],[''19'']]+Tableau_Lancer_la_requête_à_partir_de_Excel_Files1025678911[[#This Row],[''21'']]+Tableau_Lancer_la_requête_à_partir_de_Excel_Files1025678911[[#This Row],[''23'']]+Tableau_Lancer_la_requête_à_partir_de_Excel_Files1025678911[[#This Row],[''30'']]+Tableau_Lancer_la_requête_à_partir_de_Excel_Files1025678911[[#This Row],[''34'']]+Tableau_Lancer_la_requête_à_partir_de_Excel_Files1025678911[[#This Row],[''42'']]+Tableau_Lancer_la_requête_à_partir_de_Excel_Files1025678911[[#This Row],[''43'']]+Tableau_Lancer_la_requête_à_partir_de_Excel_Files1025678911[[#This Row],[''46'']]+Tableau_Lancer_la_requête_à_partir_de_Excel_Files1025678911[[#This Row],[''48'']]+Tableau_Lancer_la_requête_à_partir_de_Excel_Files1025678911[[#This Row],[''58'']]+Tableau_Lancer_la_requête_à_partir_de_Excel_Files1025678911[[#This Row],[''63'']]+Tableau_Lancer_la_requête_à_partir_de_Excel_Files1025678911[[#This Row],[''69'']]+Tableau_Lancer_la_requête_à_partir_de_Excel_Files1025678911[[#This Row],[''71'']]+Tableau_Lancer_la_requête_à_partir_de_Excel_Files1025678911[[#This Row],[''81'']]+Tableau_Lancer_la_requête_à_partir_de_Excel_Files1025678911[[#This Row],[''82'']]+Tableau_Lancer_la_requête_à_partir_de_Excel_Files1025678911[[#This Row],[''87'']]+Tableau_Lancer_la_requête_à_partir_de_Excel_Files1025678911[[#This Row],[''89'']]</calculatedColumnFormula>
    </tableColumn>
    <tableColumn id="53" uniqueName="53" name="'03'" totalsRowFunction="sum" queryTableFieldId="56" dataDxfId="1577" totalsRowDxfId="1576"/>
    <tableColumn id="54" uniqueName="54" name="'07'" totalsRowFunction="sum" queryTableFieldId="57" dataDxfId="1575" totalsRowDxfId="1574"/>
    <tableColumn id="55" uniqueName="55" name="'11'" totalsRowFunction="sum" queryTableFieldId="58" dataDxfId="1573" totalsRowDxfId="1572"/>
    <tableColumn id="56" uniqueName="56" name="'12'" totalsRowFunction="sum" queryTableFieldId="59" dataDxfId="1571" totalsRowDxfId="1570"/>
    <tableColumn id="57" uniqueName="57" name="'15'" totalsRowFunction="sum" queryTableFieldId="60" dataDxfId="1569" totalsRowDxfId="1568"/>
    <tableColumn id="58" uniqueName="58" name="'19'" totalsRowFunction="sum" queryTableFieldId="61" dataDxfId="1567" totalsRowDxfId="1566"/>
    <tableColumn id="59" uniqueName="59" name="'21'" totalsRowFunction="sum" queryTableFieldId="62" dataDxfId="1565" totalsRowDxfId="1564"/>
    <tableColumn id="80" uniqueName="80" name="'23'" totalsRowFunction="sum" queryTableFieldId="85" dataDxfId="1563" totalsRowDxfId="1562"/>
    <tableColumn id="60" uniqueName="60" name="'30'" totalsRowFunction="sum" queryTableFieldId="63" dataDxfId="1561" totalsRowDxfId="1560"/>
    <tableColumn id="61" uniqueName="61" name="'34'" totalsRowFunction="sum" queryTableFieldId="64" dataDxfId="1559" totalsRowDxfId="1558"/>
    <tableColumn id="62" uniqueName="62" name="'42'" totalsRowFunction="sum" queryTableFieldId="65" dataDxfId="1557" totalsRowDxfId="1556"/>
    <tableColumn id="63" uniqueName="63" name="'43'" totalsRowFunction="sum" queryTableFieldId="66" dataDxfId="1555" totalsRowDxfId="1554"/>
    <tableColumn id="64" uniqueName="64" name="'46'" totalsRowFunction="sum" queryTableFieldId="67" dataDxfId="1553" totalsRowDxfId="1552"/>
    <tableColumn id="65" uniqueName="65" name="'48'" totalsRowFunction="sum" queryTableFieldId="68" dataDxfId="1551" totalsRowDxfId="1550"/>
    <tableColumn id="66" uniqueName="66" name="'58'" totalsRowFunction="sum" queryTableFieldId="69" dataDxfId="1549" totalsRowDxfId="1548"/>
    <tableColumn id="67" uniqueName="67" name="'63'" totalsRowFunction="sum" queryTableFieldId="70" dataDxfId="1547" totalsRowDxfId="1546"/>
    <tableColumn id="68" uniqueName="68" name="'69'" totalsRowFunction="sum" queryTableFieldId="71" dataDxfId="1545" totalsRowDxfId="1544"/>
    <tableColumn id="69" uniqueName="69" name="'71'" totalsRowFunction="sum" queryTableFieldId="72" dataDxfId="1543" totalsRowDxfId="1542"/>
    <tableColumn id="70" uniqueName="70" name="'81'" totalsRowFunction="sum" queryTableFieldId="73" dataDxfId="1541" totalsRowDxfId="1540"/>
    <tableColumn id="71" uniqueName="71" name="'82'" totalsRowFunction="sum" queryTableFieldId="74" dataDxfId="1539" totalsRowDxfId="1538"/>
    <tableColumn id="72" uniqueName="72" name="'87'" totalsRowFunction="sum" queryTableFieldId="75" dataDxfId="1537" totalsRowDxfId="1536"/>
    <tableColumn id="73" uniqueName="73" name="'89'" totalsRowFunction="sum" queryTableFieldId="76" dataDxfId="1535" totalsRowDxfId="1534"/>
    <tableColumn id="76" uniqueName="76" name="'Autre Public'" totalsRowFunction="sum" queryTableFieldId="79" dataDxfId="1533" totalsRowDxfId="1532"/>
    <tableColumn id="35" uniqueName="35" name="Avis Cofimac" queryTableFieldId="35" dataDxfId="1531" totalsRowDxfId="1530"/>
    <tableColumn id="5" uniqueName="5" name="Date début operation" queryTableFieldId="107" dataDxfId="1529" totalsRowDxfId="1528"/>
    <tableColumn id="4" uniqueName="4" name="Avis Prog" queryTableFieldId="95" dataDxfId="1527" totalsRowDxfId="1526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6" name="Tableau_Lancer_la_requête_à_partir_de_Excel_Files102567" displayName="Tableau_Lancer_la_requête_à_partir_de_Excel_Files102567" ref="A6:AU11" tableType="queryTable" totalsRowCount="1" headerRowDxfId="842" dataDxfId="841" totalsRowDxfId="840">
  <autoFilter ref="A6:AU10"/>
  <sortState ref="C7:AW10">
    <sortCondition ref="C7:C21"/>
    <sortCondition ref="D7:D21"/>
  </sortState>
  <tableColumns count="47">
    <tableColumn id="10" uniqueName="10" name="Programme" queryTableFieldId="113" dataDxfId="839" totalsRowDxfId="838"/>
    <tableColumn id="12" uniqueName="12" name="Axe" queryTableFieldId="114" dataDxfId="837" totalsRowDxfId="836"/>
    <tableColumn id="6" uniqueName="6" name="'Thématique '" queryTableFieldId="109" dataDxfId="835" totalsRowDxfId="834"/>
    <tableColumn id="1" uniqueName="1" name="ID_Synergie" totalsRowLabel="Total" queryTableFieldId="1" dataDxfId="833" totalsRowDxfId="832"/>
    <tableColumn id="2" uniqueName="2" name="Nom_MO" totalsRowFunction="count" queryTableFieldId="2" dataDxfId="831" totalsRowDxfId="830"/>
    <tableColumn id="3" uniqueName="3" name="Intitule_Operation" queryTableFieldId="3" dataDxfId="829" totalsRowDxfId="828"/>
    <tableColumn id="43" uniqueName="43" name="'Coût total éligible'" totalsRowFunction="sum" queryTableFieldId="46" dataDxfId="827" totalsRowDxfId="826"/>
    <tableColumn id="39" uniqueName="39" name="Aide _x000a_publique" totalsRowFunction="sum" queryTableFieldId="42" dataDxfId="825" totalsRowDxfId="824">
      <calculatedColumnFormula>Tableau_Lancer_la_requête_à_partir_de_Excel_Files102567[[#This Row],[Aide Massif]]+Tableau_Lancer_la_requête_à_partir_de_Excel_Files102567[[#This Row],[''Autre Public'']]</calculatedColumnFormula>
    </tableColumn>
    <tableColumn id="81" uniqueName="81" name="Tx Aide publique" queryTableFieldId="92" dataDxfId="823" totalsRowDxfId="822">
      <calculatedColumnFormula>Tableau_Lancer_la_requête_à_partir_de_Excel_Files102567[[#This Row],[Aide 
publique]]/Tableau_Lancer_la_requête_à_partir_de_Excel_Files102567[[#This Row],[''Coût total éligible'']]</calculatedColumnFormula>
    </tableColumn>
    <tableColumn id="40" uniqueName="40" name="Aide Massif" totalsRowFunction="sum" queryTableFieldId="43" dataDxfId="821" totalsRowDxfId="820">
      <calculatedColumnFormula>Tableau_Lancer_la_requête_à_partir_de_Excel_Files102567[[#This Row],[''FEDER'']]+Tableau_Lancer_la_requête_à_partir_de_Excel_Files102567[[#This Row],[Total Etat]]+Tableau_Lancer_la_requête_à_partir_de_Excel_Files102567[[#This Row],[Total Régions]]+Tableau_Lancer_la_requête_à_partir_de_Excel_Files102567[[#This Row],[Total Dpts]]</calculatedColumnFormula>
    </tableColumn>
    <tableColumn id="82" uniqueName="82" name="Tx_x000a_Aide Massif" queryTableFieldId="93" dataDxfId="819" totalsRowDxfId="818">
      <calculatedColumnFormula>Tableau_Lancer_la_requête_à_partir_de_Excel_Files102567[[#This Row],[Aide Massif]]/Tableau_Lancer_la_requête_à_partir_de_Excel_Files102567[[#This Row],[''Coût total éligible'']]</calculatedColumnFormula>
    </tableColumn>
    <tableColumn id="75" uniqueName="75" name="'FEDER'" totalsRowFunction="sum" queryTableFieldId="78" dataDxfId="817" totalsRowDxfId="816"/>
    <tableColumn id="7" uniqueName="7" name="Total Etat" totalsRowFunction="sum" queryTableFieldId="99" dataDxfId="815" totalsRowDxfId="814">
      <calculatedColumnFormula>Tableau_Lancer_la_requête_à_partir_de_Excel_Files102567[[#This Row],[''FNADT '']]+Tableau_Lancer_la_requête_à_partir_de_Excel_Files102567[[#This Row],[''Agriculture'']]</calculatedColumnFormula>
    </tableColumn>
    <tableColumn id="11" uniqueName="11" name="'FNADT '" queryTableFieldId="104" dataDxfId="813" totalsRowDxfId="812"/>
    <tableColumn id="46" uniqueName="46" name="'Agriculture'" totalsRowFunction="sum" queryTableFieldId="49" dataDxfId="811" totalsRowDxfId="810"/>
    <tableColumn id="8" uniqueName="8" name="Total Régions" totalsRowFunction="sum" queryTableFieldId="100" dataDxfId="809" totalsRowDxfId="808">
      <calculatedColumnFormula>Tableau_Lancer_la_requête_à_partir_de_Excel_Files102567[[#This Row],[''ALPC'']]+Tableau_Lancer_la_requête_à_partir_de_Excel_Files102567[[#This Row],[''AURA'']]+Tableau_Lancer_la_requête_à_partir_de_Excel_Files102567[[#This Row],[''BFC'']]+Tableau_Lancer_la_requête_à_partir_de_Excel_Files102567[[#This Row],[''LRMP'']]</calculatedColumnFormula>
    </tableColumn>
    <tableColumn id="48" uniqueName="48" name="'ALPC'" totalsRowFunction="sum" queryTableFieldId="51" dataDxfId="807" totalsRowDxfId="806"/>
    <tableColumn id="49" uniqueName="49" name="'AURA'" totalsRowFunction="sum" queryTableFieldId="52" dataDxfId="805" totalsRowDxfId="804"/>
    <tableColumn id="78" uniqueName="78" name="'BFC'" totalsRowFunction="sum" queryTableFieldId="81" dataDxfId="803" totalsRowDxfId="802"/>
    <tableColumn id="79" uniqueName="79" name="'LRMP'" totalsRowFunction="sum" queryTableFieldId="82" dataDxfId="801" totalsRowDxfId="800"/>
    <tableColumn id="9" uniqueName="9" name="Total Dpts" totalsRowFunction="sum" queryTableFieldId="101" dataDxfId="799" totalsRowDxfId="798">
      <calculatedColumnFormula>Tableau_Lancer_la_requête_à_partir_de_Excel_Files102567[[#This Row],[''03'']]+Tableau_Lancer_la_requête_à_partir_de_Excel_Files102567[[#This Row],[''07'']]+Tableau_Lancer_la_requête_à_partir_de_Excel_Files102567[[#This Row],[''11'']]+Tableau_Lancer_la_requête_à_partir_de_Excel_Files102567[[#This Row],[''12'']]+Tableau_Lancer_la_requête_à_partir_de_Excel_Files102567[[#This Row],[''15'']]+Tableau_Lancer_la_requête_à_partir_de_Excel_Files102567[[#This Row],[''19'']]+Tableau_Lancer_la_requête_à_partir_de_Excel_Files102567[[#This Row],[''21'']]+Tableau_Lancer_la_requête_à_partir_de_Excel_Files102567[[#This Row],[''23'']]+Tableau_Lancer_la_requête_à_partir_de_Excel_Files102567[[#This Row],[''30'']]+Tableau_Lancer_la_requête_à_partir_de_Excel_Files102567[[#This Row],[''34'']]+Tableau_Lancer_la_requête_à_partir_de_Excel_Files102567[[#This Row],[''42'']]+Tableau_Lancer_la_requête_à_partir_de_Excel_Files102567[[#This Row],[''43'']]+Tableau_Lancer_la_requête_à_partir_de_Excel_Files102567[[#This Row],[''46'']]+Tableau_Lancer_la_requête_à_partir_de_Excel_Files102567[[#This Row],[''48'']]+Tableau_Lancer_la_requête_à_partir_de_Excel_Files102567[[#This Row],[''58'']]+Tableau_Lancer_la_requête_à_partir_de_Excel_Files102567[[#This Row],[''63'']]+Tableau_Lancer_la_requête_à_partir_de_Excel_Files102567[[#This Row],[''69'']]+Tableau_Lancer_la_requête_à_partir_de_Excel_Files102567[[#This Row],[''71'']]+Tableau_Lancer_la_requête_à_partir_de_Excel_Files102567[[#This Row],[''81'']]+Tableau_Lancer_la_requête_à_partir_de_Excel_Files102567[[#This Row],[''82'']]+Tableau_Lancer_la_requête_à_partir_de_Excel_Files102567[[#This Row],[''87'']]+Tableau_Lancer_la_requête_à_partir_de_Excel_Files102567[[#This Row],[''89'']]</calculatedColumnFormula>
    </tableColumn>
    <tableColumn id="53" uniqueName="53" name="'03'" totalsRowFunction="sum" queryTableFieldId="56" dataDxfId="797" totalsRowDxfId="796"/>
    <tableColumn id="54" uniqueName="54" name="'07'" totalsRowFunction="sum" queryTableFieldId="57" dataDxfId="795" totalsRowDxfId="794"/>
    <tableColumn id="55" uniqueName="55" name="'11'" totalsRowFunction="sum" queryTableFieldId="58" dataDxfId="793" totalsRowDxfId="792"/>
    <tableColumn id="56" uniqueName="56" name="'12'" totalsRowFunction="sum" queryTableFieldId="59" dataDxfId="791" totalsRowDxfId="790"/>
    <tableColumn id="57" uniqueName="57" name="'15'" totalsRowFunction="sum" queryTableFieldId="60" dataDxfId="789" totalsRowDxfId="788"/>
    <tableColumn id="58" uniqueName="58" name="'19'" totalsRowFunction="sum" queryTableFieldId="61" dataDxfId="787" totalsRowDxfId="786"/>
    <tableColumn id="59" uniqueName="59" name="'21'" totalsRowFunction="sum" queryTableFieldId="62" dataDxfId="785" totalsRowDxfId="784"/>
    <tableColumn id="80" uniqueName="80" name="'23'" totalsRowFunction="sum" queryTableFieldId="85" dataDxfId="783" totalsRowDxfId="782"/>
    <tableColumn id="60" uniqueName="60" name="'30'" totalsRowFunction="sum" queryTableFieldId="63" dataDxfId="781" totalsRowDxfId="780"/>
    <tableColumn id="61" uniqueName="61" name="'34'" totalsRowFunction="sum" queryTableFieldId="64" dataDxfId="779" totalsRowDxfId="778"/>
    <tableColumn id="62" uniqueName="62" name="'42'" totalsRowFunction="sum" queryTableFieldId="65" dataDxfId="777" totalsRowDxfId="776"/>
    <tableColumn id="63" uniqueName="63" name="'43'" totalsRowFunction="sum" queryTableFieldId="66" dataDxfId="775" totalsRowDxfId="774"/>
    <tableColumn id="64" uniqueName="64" name="'46'" totalsRowFunction="sum" queryTableFieldId="67" dataDxfId="773" totalsRowDxfId="772"/>
    <tableColumn id="65" uniqueName="65" name="'48'" totalsRowFunction="sum" queryTableFieldId="68" dataDxfId="771" totalsRowDxfId="770"/>
    <tableColumn id="66" uniqueName="66" name="'58'" totalsRowFunction="sum" queryTableFieldId="69" dataDxfId="769" totalsRowDxfId="768"/>
    <tableColumn id="67" uniqueName="67" name="'63'" totalsRowFunction="sum" queryTableFieldId="70" dataDxfId="767" totalsRowDxfId="766"/>
    <tableColumn id="68" uniqueName="68" name="'69'" totalsRowFunction="sum" queryTableFieldId="71" dataDxfId="765" totalsRowDxfId="764"/>
    <tableColumn id="69" uniqueName="69" name="'71'" totalsRowFunction="sum" queryTableFieldId="72" dataDxfId="763" totalsRowDxfId="762"/>
    <tableColumn id="70" uniqueName="70" name="'81'" totalsRowFunction="sum" queryTableFieldId="73" dataDxfId="761" totalsRowDxfId="760"/>
    <tableColumn id="71" uniqueName="71" name="'82'" totalsRowFunction="sum" queryTableFieldId="74" dataDxfId="759" totalsRowDxfId="758"/>
    <tableColumn id="72" uniqueName="72" name="'87'" totalsRowFunction="sum" queryTableFieldId="75" dataDxfId="757" totalsRowDxfId="756"/>
    <tableColumn id="73" uniqueName="73" name="'89'" totalsRowFunction="sum" queryTableFieldId="76" dataDxfId="755" totalsRowDxfId="754"/>
    <tableColumn id="76" uniqueName="76" name="'Autre Public'" totalsRowFunction="sum" queryTableFieldId="79" dataDxfId="753" totalsRowDxfId="752"/>
    <tableColumn id="35" uniqueName="35" name="Avis Cofimac" queryTableFieldId="35" dataDxfId="751" totalsRowDxfId="750"/>
    <tableColumn id="4" uniqueName="4" name="Avis Prog" queryTableFieldId="95" dataDxfId="749" totalsRowDxfId="748"/>
    <tableColumn id="5" uniqueName="5" name="Date début operation" queryTableFieldId="112" dataDxfId="747" totalsRowDxfId="746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7" name="Tableau_Lancer_la_requête_à_partir_de_Excel_Files1025678" displayName="Tableau_Lancer_la_requête_à_partir_de_Excel_Files1025678" ref="A6:AR8" tableType="queryTable" insertRow="1" totalsRowCount="1" headerRowDxfId="735" dataDxfId="734" totalsRowDxfId="733">
  <autoFilter ref="A6:AR7"/>
  <sortState ref="A7:AR7">
    <sortCondition ref="A6:A18"/>
  </sortState>
  <tableColumns count="44">
    <tableColumn id="1" uniqueName="1" name="ID_Synergie" totalsRowLabel="Total" queryTableFieldId="1" dataDxfId="732" totalsRowDxfId="731"/>
    <tableColumn id="2" uniqueName="2" name="Nom_MO" totalsRowFunction="count" queryTableFieldId="2" dataDxfId="730" totalsRowDxfId="729"/>
    <tableColumn id="3" uniqueName="3" name="Intitule_Operation" queryTableFieldId="3" dataDxfId="728" totalsRowDxfId="727"/>
    <tableColumn id="43" uniqueName="43" name="'Coût total éligible'" totalsRowFunction="sum" queryTableFieldId="46" dataDxfId="726" totalsRowDxfId="725"/>
    <tableColumn id="39" uniqueName="39" name="Aide _x000a_publique" totalsRowFunction="sum" queryTableFieldId="42" dataDxfId="724" totalsRowDxfId="723">
      <calculatedColumnFormula>Tableau_Lancer_la_requête_à_partir_de_Excel_Files1025678[[#This Row],[Aide Massif]]+Tableau_Lancer_la_requête_à_partir_de_Excel_Files1025678[[#This Row],[''Autre Public'']]</calculatedColumnFormula>
    </tableColumn>
    <tableColumn id="81" uniqueName="81" name="Tx Aide publique" queryTableFieldId="92" dataDxfId="722" totalsRowDxfId="721">
      <calculatedColumnFormula>Tableau_Lancer_la_requête_à_partir_de_Excel_Files1025678[[#This Row],[Aide 
publique]]/Tableau_Lancer_la_requête_à_partir_de_Excel_Files1025678[[#This Row],[''Coût total éligible'']]</calculatedColumnFormula>
    </tableColumn>
    <tableColumn id="40" uniqueName="40" name="Aide Massif" totalsRowFunction="sum" queryTableFieldId="43" dataDxfId="720" totalsRowDxfId="719">
      <calculatedColumnFormula>Tableau_Lancer_la_requête_à_partir_de_Excel_Files1025678[[#This Row],[''FEDER'']]+Tableau_Lancer_la_requête_à_partir_de_Excel_Files1025678[[#This Row],[Total Etat]]+Tableau_Lancer_la_requête_à_partir_de_Excel_Files1025678[[#This Row],[Total Régions]]+Tableau_Lancer_la_requête_à_partir_de_Excel_Files1025678[[#This Row],[Total Dpts]]</calculatedColumnFormula>
    </tableColumn>
    <tableColumn id="82" uniqueName="82" name="Tx_x000a_Aide Massif" queryTableFieldId="93" dataDxfId="718" totalsRowDxfId="717">
      <calculatedColumnFormula>Tableau_Lancer_la_requête_à_partir_de_Excel_Files1025678[[#This Row],[Aide Massif]]/Tableau_Lancer_la_requête_à_partir_de_Excel_Files1025678[[#This Row],[''Coût total éligible'']]</calculatedColumnFormula>
    </tableColumn>
    <tableColumn id="75" uniqueName="75" name="'FEDER'" totalsRowFunction="sum" queryTableFieldId="78" dataDxfId="716" totalsRowDxfId="715"/>
    <tableColumn id="7" uniqueName="7" name="Total Etat" totalsRowFunction="sum" queryTableFieldId="99" dataDxfId="714" totalsRowDxfId="713">
      <calculatedColumnFormula>Tableau_Lancer_la_requête_à_partir_de_Excel_Files1025678[[#This Row],[''FNADT '']]+Tableau_Lancer_la_requête_à_partir_de_Excel_Files1025678[[#This Row],[''Agriculture'']]</calculatedColumnFormula>
    </tableColumn>
    <tableColumn id="11" uniqueName="11" name="'FNADT '" queryTableFieldId="104" dataDxfId="712" totalsRowDxfId="711"/>
    <tableColumn id="46" uniqueName="46" name="'Agriculture'" totalsRowFunction="sum" queryTableFieldId="49" dataDxfId="710" totalsRowDxfId="709"/>
    <tableColumn id="8" uniqueName="8" name="Total Régions" totalsRowFunction="sum" queryTableFieldId="100" dataDxfId="708" totalsRowDxfId="707">
      <calculatedColumnFormula>Tableau_Lancer_la_requête_à_partir_de_Excel_Files1025678[[#This Row],[''ALPC'']]+Tableau_Lancer_la_requête_à_partir_de_Excel_Files1025678[[#This Row],[''AURA'']]+Tableau_Lancer_la_requête_à_partir_de_Excel_Files1025678[[#This Row],[''BFC'']]+Tableau_Lancer_la_requête_à_partir_de_Excel_Files1025678[[#This Row],[''LRMP'']]</calculatedColumnFormula>
    </tableColumn>
    <tableColumn id="48" uniqueName="48" name="'ALPC'" totalsRowFunction="sum" queryTableFieldId="51" dataDxfId="706" totalsRowDxfId="705"/>
    <tableColumn id="49" uniqueName="49" name="'AURA'" totalsRowFunction="sum" queryTableFieldId="52" dataDxfId="704" totalsRowDxfId="703"/>
    <tableColumn id="78" uniqueName="78" name="'BFC'" totalsRowFunction="sum" queryTableFieldId="81" dataDxfId="702" totalsRowDxfId="701"/>
    <tableColumn id="79" uniqueName="79" name="'LRMP'" totalsRowFunction="sum" queryTableFieldId="82" dataDxfId="700" totalsRowDxfId="699"/>
    <tableColumn id="9" uniqueName="9" name="Total Dpts" totalsRowFunction="sum" queryTableFieldId="101" dataDxfId="698" totalsRowDxfId="697">
      <calculatedColumnFormula>Tableau_Lancer_la_requête_à_partir_de_Excel_Files1025678[[#This Row],[''03'']]+Tableau_Lancer_la_requête_à_partir_de_Excel_Files1025678[[#This Row],[''07'']]+Tableau_Lancer_la_requête_à_partir_de_Excel_Files1025678[[#This Row],[''11'']]+Tableau_Lancer_la_requête_à_partir_de_Excel_Files1025678[[#This Row],[''12'']]+Tableau_Lancer_la_requête_à_partir_de_Excel_Files1025678[[#This Row],[''15'']]+Tableau_Lancer_la_requête_à_partir_de_Excel_Files1025678[[#This Row],[''19'']]+Tableau_Lancer_la_requête_à_partir_de_Excel_Files1025678[[#This Row],[''21'']]+Tableau_Lancer_la_requête_à_partir_de_Excel_Files1025678[[#This Row],[''23'']]+Tableau_Lancer_la_requête_à_partir_de_Excel_Files1025678[[#This Row],[''30'']]+Tableau_Lancer_la_requête_à_partir_de_Excel_Files1025678[[#This Row],[''34'']]+Tableau_Lancer_la_requête_à_partir_de_Excel_Files1025678[[#This Row],[''42'']]+Tableau_Lancer_la_requête_à_partir_de_Excel_Files1025678[[#This Row],[''43'']]+Tableau_Lancer_la_requête_à_partir_de_Excel_Files1025678[[#This Row],[''46'']]+Tableau_Lancer_la_requête_à_partir_de_Excel_Files1025678[[#This Row],[''48'']]+Tableau_Lancer_la_requête_à_partir_de_Excel_Files1025678[[#This Row],[''58'']]+Tableau_Lancer_la_requête_à_partir_de_Excel_Files1025678[[#This Row],[''63'']]+Tableau_Lancer_la_requête_à_partir_de_Excel_Files1025678[[#This Row],[''69'']]+Tableau_Lancer_la_requête_à_partir_de_Excel_Files1025678[[#This Row],[''71'']]+Tableau_Lancer_la_requête_à_partir_de_Excel_Files1025678[[#This Row],[''81'']]+Tableau_Lancer_la_requête_à_partir_de_Excel_Files1025678[[#This Row],[''82'']]+Tableau_Lancer_la_requête_à_partir_de_Excel_Files1025678[[#This Row],[''87'']]+Tableau_Lancer_la_requête_à_partir_de_Excel_Files1025678[[#This Row],[''89'']]</calculatedColumnFormula>
    </tableColumn>
    <tableColumn id="53" uniqueName="53" name="'03'" totalsRowFunction="sum" queryTableFieldId="56" dataDxfId="696" totalsRowDxfId="695"/>
    <tableColumn id="54" uniqueName="54" name="'07'" totalsRowFunction="sum" queryTableFieldId="57" dataDxfId="694" totalsRowDxfId="693"/>
    <tableColumn id="55" uniqueName="55" name="'11'" totalsRowFunction="sum" queryTableFieldId="58" dataDxfId="692" totalsRowDxfId="691"/>
    <tableColumn id="56" uniqueName="56" name="'12'" totalsRowFunction="sum" queryTableFieldId="59" dataDxfId="690" totalsRowDxfId="689"/>
    <tableColumn id="57" uniqueName="57" name="'15'" totalsRowFunction="sum" queryTableFieldId="60" dataDxfId="688" totalsRowDxfId="687"/>
    <tableColumn id="58" uniqueName="58" name="'19'" totalsRowFunction="sum" queryTableFieldId="61" dataDxfId="686" totalsRowDxfId="685"/>
    <tableColumn id="59" uniqueName="59" name="'21'" totalsRowFunction="sum" queryTableFieldId="62" dataDxfId="684" totalsRowDxfId="683"/>
    <tableColumn id="80" uniqueName="80" name="'23'" totalsRowFunction="sum" queryTableFieldId="85" dataDxfId="682" totalsRowDxfId="681"/>
    <tableColumn id="60" uniqueName="60" name="'30'" totalsRowFunction="sum" queryTableFieldId="63" dataDxfId="680" totalsRowDxfId="679"/>
    <tableColumn id="61" uniqueName="61" name="'34'" totalsRowFunction="sum" queryTableFieldId="64" dataDxfId="678" totalsRowDxfId="677"/>
    <tableColumn id="62" uniqueName="62" name="'42'" totalsRowFunction="sum" queryTableFieldId="65" dataDxfId="676" totalsRowDxfId="675"/>
    <tableColumn id="63" uniqueName="63" name="'43'" totalsRowFunction="sum" queryTableFieldId="66" dataDxfId="674" totalsRowDxfId="673"/>
    <tableColumn id="64" uniqueName="64" name="'46'" totalsRowFunction="sum" queryTableFieldId="67" dataDxfId="672" totalsRowDxfId="671"/>
    <tableColumn id="65" uniqueName="65" name="'48'" totalsRowFunction="sum" queryTableFieldId="68" dataDxfId="670" totalsRowDxfId="669"/>
    <tableColumn id="66" uniqueName="66" name="'58'" totalsRowFunction="sum" queryTableFieldId="69" dataDxfId="668" totalsRowDxfId="667"/>
    <tableColumn id="67" uniqueName="67" name="'63'" totalsRowFunction="sum" queryTableFieldId="70" dataDxfId="666" totalsRowDxfId="665"/>
    <tableColumn id="68" uniqueName="68" name="'69'" totalsRowFunction="sum" queryTableFieldId="71" dataDxfId="664" totalsRowDxfId="663"/>
    <tableColumn id="69" uniqueName="69" name="'71'" totalsRowFunction="sum" queryTableFieldId="72" dataDxfId="662" totalsRowDxfId="661"/>
    <tableColumn id="70" uniqueName="70" name="'81'" totalsRowFunction="sum" queryTableFieldId="73" dataDxfId="660" totalsRowDxfId="659"/>
    <tableColumn id="71" uniqueName="71" name="'82'" totalsRowFunction="sum" queryTableFieldId="74" dataDxfId="658" totalsRowDxfId="657"/>
    <tableColumn id="72" uniqueName="72" name="'87'" totalsRowFunction="sum" queryTableFieldId="75" dataDxfId="656" totalsRowDxfId="655"/>
    <tableColumn id="73" uniqueName="73" name="'89'" totalsRowFunction="sum" queryTableFieldId="76" dataDxfId="654" totalsRowDxfId="653"/>
    <tableColumn id="76" uniqueName="76" name="'Autre Public'" totalsRowFunction="sum" queryTableFieldId="79" dataDxfId="652" totalsRowDxfId="651"/>
    <tableColumn id="35" uniqueName="35" name="Avis Cofimac" queryTableFieldId="35" dataDxfId="650" totalsRowDxfId="649"/>
    <tableColumn id="5" uniqueName="5" name="Date début operation" queryTableFieldId="107" dataDxfId="648" totalsRowDxfId="647"/>
    <tableColumn id="4" uniqueName="4" name="Avis Prog" queryTableFieldId="95" dataDxfId="646" totalsRowDxfId="645"/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9" name="Tableau_Lancer_la_requête_à_partir_de_Excel_Files1025678910" displayName="Tableau_Lancer_la_requête_à_partir_de_Excel_Files1025678910" ref="A6:AR8" tableType="queryTable" insertRow="1" totalsRowCount="1" headerRowDxfId="634" dataDxfId="633" totalsRowDxfId="632">
  <autoFilter ref="A6:AR7"/>
  <sortState ref="A7:AR7">
    <sortCondition ref="A6:A18"/>
  </sortState>
  <tableColumns count="44">
    <tableColumn id="1" uniqueName="1" name="ID_Synergie" totalsRowLabel="Total" queryTableFieldId="1" dataDxfId="631" totalsRowDxfId="630"/>
    <tableColumn id="2" uniqueName="2" name="Nom_MO" totalsRowFunction="count" queryTableFieldId="2" dataDxfId="629" totalsRowDxfId="628"/>
    <tableColumn id="3" uniqueName="3" name="Intitule_Operation" queryTableFieldId="3" dataDxfId="627" totalsRowDxfId="626"/>
    <tableColumn id="43" uniqueName="43" name="'Coût total éligible'" totalsRowFunction="sum" queryTableFieldId="46" dataDxfId="625" totalsRowDxfId="624"/>
    <tableColumn id="39" uniqueName="39" name="Aide _x000a_publique" totalsRowFunction="sum" queryTableFieldId="42" dataDxfId="623" totalsRowDxfId="622">
      <calculatedColumnFormula>Tableau_Lancer_la_requête_à_partir_de_Excel_Files1025678910[[#This Row],[Aide Massif]]+Tableau_Lancer_la_requête_à_partir_de_Excel_Files1025678910[[#This Row],[''Autre Public'']]</calculatedColumnFormula>
    </tableColumn>
    <tableColumn id="81" uniqueName="81" name="Tx Aide publique" queryTableFieldId="92" dataDxfId="621" totalsRowDxfId="620">
      <calculatedColumnFormula>Tableau_Lancer_la_requête_à_partir_de_Excel_Files1025678910[[#This Row],[Aide 
publique]]/Tableau_Lancer_la_requête_à_partir_de_Excel_Files1025678910[[#This Row],[''Coût total éligible'']]</calculatedColumnFormula>
    </tableColumn>
    <tableColumn id="40" uniqueName="40" name="Aide Massif" totalsRowFunction="sum" queryTableFieldId="43" dataDxfId="619" totalsRowDxfId="618">
      <calculatedColumnFormula>Tableau_Lancer_la_requête_à_partir_de_Excel_Files1025678910[[#This Row],[''FEDER'']]+Tableau_Lancer_la_requête_à_partir_de_Excel_Files1025678910[[#This Row],[Total Etat]]+Tableau_Lancer_la_requête_à_partir_de_Excel_Files1025678910[[#This Row],[Total Régions]]+Tableau_Lancer_la_requête_à_partir_de_Excel_Files1025678910[[#This Row],[Total Dpts]]</calculatedColumnFormula>
    </tableColumn>
    <tableColumn id="82" uniqueName="82" name="Tx_x000a_Aide Massif" queryTableFieldId="93" dataDxfId="617" totalsRowDxfId="616">
      <calculatedColumnFormula>Tableau_Lancer_la_requête_à_partir_de_Excel_Files1025678910[[#This Row],[Aide Massif]]/Tableau_Lancer_la_requête_à_partir_de_Excel_Files1025678910[[#This Row],[''Coût total éligible'']]</calculatedColumnFormula>
    </tableColumn>
    <tableColumn id="75" uniqueName="75" name="'FEDER'" totalsRowFunction="sum" queryTableFieldId="78" dataDxfId="615" totalsRowDxfId="614"/>
    <tableColumn id="7" uniqueName="7" name="Total Etat" totalsRowFunction="sum" queryTableFieldId="99" dataDxfId="613" totalsRowDxfId="612">
      <calculatedColumnFormula>Tableau_Lancer_la_requête_à_partir_de_Excel_Files1025678910[[#This Row],[''FNADT '']]+Tableau_Lancer_la_requête_à_partir_de_Excel_Files1025678910[[#This Row],[''Agriculture'']]</calculatedColumnFormula>
    </tableColumn>
    <tableColumn id="11" uniqueName="11" name="'FNADT '" queryTableFieldId="104" dataDxfId="611" totalsRowDxfId="610"/>
    <tableColumn id="46" uniqueName="46" name="'Agriculture'" totalsRowFunction="sum" queryTableFieldId="49" dataDxfId="609" totalsRowDxfId="608"/>
    <tableColumn id="8" uniqueName="8" name="Total Régions" totalsRowFunction="sum" queryTableFieldId="100" dataDxfId="607" totalsRowDxfId="606">
      <calculatedColumnFormula>Tableau_Lancer_la_requête_à_partir_de_Excel_Files1025678910[[#This Row],[''ALPC'']]+Tableau_Lancer_la_requête_à_partir_de_Excel_Files1025678910[[#This Row],[''AURA'']]+Tableau_Lancer_la_requête_à_partir_de_Excel_Files1025678910[[#This Row],[''BFC'']]+Tableau_Lancer_la_requête_à_partir_de_Excel_Files1025678910[[#This Row],[''LRMP'']]</calculatedColumnFormula>
    </tableColumn>
    <tableColumn id="48" uniqueName="48" name="'ALPC'" totalsRowFunction="sum" queryTableFieldId="51" dataDxfId="605" totalsRowDxfId="604"/>
    <tableColumn id="49" uniqueName="49" name="'AURA'" totalsRowFunction="sum" queryTableFieldId="52" dataDxfId="603" totalsRowDxfId="602"/>
    <tableColumn id="78" uniqueName="78" name="'BFC'" totalsRowFunction="sum" queryTableFieldId="81" dataDxfId="601" totalsRowDxfId="600"/>
    <tableColumn id="79" uniqueName="79" name="'LRMP'" totalsRowFunction="sum" queryTableFieldId="82" dataDxfId="599" totalsRowDxfId="598"/>
    <tableColumn id="9" uniqueName="9" name="Total Dpts" totalsRowFunction="sum" queryTableFieldId="101" dataDxfId="597" totalsRowDxfId="596">
      <calculatedColumnFormula>Tableau_Lancer_la_requête_à_partir_de_Excel_Files1025678910[[#This Row],[''03'']]+Tableau_Lancer_la_requête_à_partir_de_Excel_Files1025678910[[#This Row],[''07'']]+Tableau_Lancer_la_requête_à_partir_de_Excel_Files1025678910[[#This Row],[''11'']]+Tableau_Lancer_la_requête_à_partir_de_Excel_Files1025678910[[#This Row],[''12'']]+Tableau_Lancer_la_requête_à_partir_de_Excel_Files1025678910[[#This Row],[''15'']]+Tableau_Lancer_la_requête_à_partir_de_Excel_Files1025678910[[#This Row],[''19'']]+Tableau_Lancer_la_requête_à_partir_de_Excel_Files1025678910[[#This Row],[''21'']]+Tableau_Lancer_la_requête_à_partir_de_Excel_Files1025678910[[#This Row],[''23'']]+Tableau_Lancer_la_requête_à_partir_de_Excel_Files1025678910[[#This Row],[''30'']]+Tableau_Lancer_la_requête_à_partir_de_Excel_Files1025678910[[#This Row],[''34'']]+Tableau_Lancer_la_requête_à_partir_de_Excel_Files1025678910[[#This Row],[''42'']]+Tableau_Lancer_la_requête_à_partir_de_Excel_Files1025678910[[#This Row],[''43'']]+Tableau_Lancer_la_requête_à_partir_de_Excel_Files1025678910[[#This Row],[''46'']]+Tableau_Lancer_la_requête_à_partir_de_Excel_Files1025678910[[#This Row],[''48'']]+Tableau_Lancer_la_requête_à_partir_de_Excel_Files1025678910[[#This Row],[''58'']]+Tableau_Lancer_la_requête_à_partir_de_Excel_Files1025678910[[#This Row],[''63'']]+Tableau_Lancer_la_requête_à_partir_de_Excel_Files1025678910[[#This Row],[''69'']]+Tableau_Lancer_la_requête_à_partir_de_Excel_Files1025678910[[#This Row],[''71'']]+Tableau_Lancer_la_requête_à_partir_de_Excel_Files1025678910[[#This Row],[''81'']]+Tableau_Lancer_la_requête_à_partir_de_Excel_Files1025678910[[#This Row],[''82'']]+Tableau_Lancer_la_requête_à_partir_de_Excel_Files1025678910[[#This Row],[''87'']]+Tableau_Lancer_la_requête_à_partir_de_Excel_Files1025678910[[#This Row],[''89'']]</calculatedColumnFormula>
    </tableColumn>
    <tableColumn id="53" uniqueName="53" name="'03'" totalsRowFunction="sum" queryTableFieldId="56" dataDxfId="595" totalsRowDxfId="594"/>
    <tableColumn id="54" uniqueName="54" name="'07'" totalsRowFunction="sum" queryTableFieldId="57" dataDxfId="593" totalsRowDxfId="592"/>
    <tableColumn id="55" uniqueName="55" name="'11'" totalsRowFunction="sum" queryTableFieldId="58" dataDxfId="591" totalsRowDxfId="590"/>
    <tableColumn id="56" uniqueName="56" name="'12'" totalsRowFunction="sum" queryTableFieldId="59" dataDxfId="589" totalsRowDxfId="588"/>
    <tableColumn id="57" uniqueName="57" name="'15'" totalsRowFunction="sum" queryTableFieldId="60" dataDxfId="587" totalsRowDxfId="586"/>
    <tableColumn id="58" uniqueName="58" name="'19'" totalsRowFunction="sum" queryTableFieldId="61" dataDxfId="585" totalsRowDxfId="584"/>
    <tableColumn id="59" uniqueName="59" name="'21'" totalsRowFunction="sum" queryTableFieldId="62" dataDxfId="583" totalsRowDxfId="582"/>
    <tableColumn id="80" uniqueName="80" name="'23'" totalsRowFunction="sum" queryTableFieldId="85" dataDxfId="581" totalsRowDxfId="580"/>
    <tableColumn id="60" uniqueName="60" name="'30'" totalsRowFunction="sum" queryTableFieldId="63" dataDxfId="579" totalsRowDxfId="578"/>
    <tableColumn id="61" uniqueName="61" name="'34'" totalsRowFunction="sum" queryTableFieldId="64" dataDxfId="577" totalsRowDxfId="576"/>
    <tableColumn id="62" uniqueName="62" name="'42'" totalsRowFunction="sum" queryTableFieldId="65" dataDxfId="575" totalsRowDxfId="574"/>
    <tableColumn id="63" uniqueName="63" name="'43'" totalsRowFunction="sum" queryTableFieldId="66" dataDxfId="573" totalsRowDxfId="572"/>
    <tableColumn id="64" uniqueName="64" name="'46'" totalsRowFunction="sum" queryTableFieldId="67" dataDxfId="571" totalsRowDxfId="570"/>
    <tableColumn id="65" uniqueName="65" name="'48'" totalsRowFunction="sum" queryTableFieldId="68" dataDxfId="569" totalsRowDxfId="568"/>
    <tableColumn id="66" uniqueName="66" name="'58'" totalsRowFunction="sum" queryTableFieldId="69" dataDxfId="567" totalsRowDxfId="566"/>
    <tableColumn id="67" uniqueName="67" name="'63'" totalsRowFunction="sum" queryTableFieldId="70" dataDxfId="565" totalsRowDxfId="564"/>
    <tableColumn id="68" uniqueName="68" name="'69'" totalsRowFunction="sum" queryTableFieldId="71" dataDxfId="563" totalsRowDxfId="562"/>
    <tableColumn id="69" uniqueName="69" name="'71'" totalsRowFunction="sum" queryTableFieldId="72" dataDxfId="561" totalsRowDxfId="560"/>
    <tableColumn id="70" uniqueName="70" name="'81'" totalsRowFunction="sum" queryTableFieldId="73" dataDxfId="559" totalsRowDxfId="558"/>
    <tableColumn id="71" uniqueName="71" name="'82'" totalsRowFunction="sum" queryTableFieldId="74" dataDxfId="557" totalsRowDxfId="556"/>
    <tableColumn id="72" uniqueName="72" name="'87'" totalsRowFunction="sum" queryTableFieldId="75" dataDxfId="555" totalsRowDxfId="554"/>
    <tableColumn id="73" uniqueName="73" name="'89'" totalsRowFunction="sum" queryTableFieldId="76" dataDxfId="553" totalsRowDxfId="552"/>
    <tableColumn id="76" uniqueName="76" name="'Autre Public'" totalsRowFunction="sum" queryTableFieldId="79" dataDxfId="551" totalsRowDxfId="550"/>
    <tableColumn id="35" uniqueName="35" name="Avis Cofimac" queryTableFieldId="35" dataDxfId="549" totalsRowDxfId="548"/>
    <tableColumn id="5" uniqueName="5" name="Date début operation" queryTableFieldId="107" dataDxfId="547" totalsRowDxfId="546"/>
    <tableColumn id="4" uniqueName="4" name="Avis Prog" queryTableFieldId="95" dataDxfId="545" totalsRowDxfId="544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17" name="Tableau_Lancer_la_requête_à_partir_de_Excel_Files10256718" displayName="Tableau_Lancer_la_requête_à_partir_de_Excel_Files10256718" ref="A6:AT9" tableType="queryTable" totalsRowCount="1" headerRowDxfId="538" dataDxfId="537" totalsRowDxfId="536">
  <autoFilter ref="A6:AT8"/>
  <sortState ref="C7:AV8">
    <sortCondition ref="C7:C21"/>
  </sortState>
  <tableColumns count="46">
    <tableColumn id="10" uniqueName="10" name="Programme" queryTableFieldId="113" dataDxfId="535" totalsRowDxfId="534"/>
    <tableColumn id="12" uniqueName="12" name="Axe" queryTableFieldId="114" dataDxfId="533" totalsRowDxfId="532"/>
    <tableColumn id="1" uniqueName="1" name="ID_Synergie" totalsRowLabel="Total" queryTableFieldId="1" dataDxfId="531" totalsRowDxfId="530"/>
    <tableColumn id="2" uniqueName="2" name="Nom_MO" totalsRowFunction="count" queryTableFieldId="2" dataDxfId="529" totalsRowDxfId="528"/>
    <tableColumn id="3" uniqueName="3" name="Intitule_Operation" queryTableFieldId="3" dataDxfId="527" totalsRowDxfId="526"/>
    <tableColumn id="43" uniqueName="43" name="'Coût total éligible'" totalsRowFunction="sum" queryTableFieldId="46" dataDxfId="525" totalsRowDxfId="524"/>
    <tableColumn id="39" uniqueName="39" name="Aide _x000a_publique" totalsRowFunction="sum" queryTableFieldId="42" dataDxfId="523" totalsRowDxfId="522">
      <calculatedColumnFormula>Tableau_Lancer_la_requête_à_partir_de_Excel_Files10256718[[#This Row],[Aide Massif]]+Tableau_Lancer_la_requête_à_partir_de_Excel_Files10256718[[#This Row],[''Autre Public'']]</calculatedColumnFormula>
    </tableColumn>
    <tableColumn id="81" uniqueName="81" name="Tx Aide publique" queryTableFieldId="92" dataDxfId="521" totalsRowDxfId="520">
      <calculatedColumnFormula>Tableau_Lancer_la_requête_à_partir_de_Excel_Files10256718[[#This Row],[Aide 
publique]]/Tableau_Lancer_la_requête_à_partir_de_Excel_Files10256718[[#This Row],[''Coût total éligible'']]</calculatedColumnFormula>
    </tableColumn>
    <tableColumn id="40" uniqueName="40" name="Aide Massif" totalsRowFunction="sum" queryTableFieldId="43" dataDxfId="519" totalsRowDxfId="518">
      <calculatedColumnFormula>Tableau_Lancer_la_requête_à_partir_de_Excel_Files10256718[[#This Row],[''FEDER'']]+Tableau_Lancer_la_requête_à_partir_de_Excel_Files10256718[[#This Row],[Total Etat]]+Tableau_Lancer_la_requête_à_partir_de_Excel_Files10256718[[#This Row],[Total Régions]]+Tableau_Lancer_la_requête_à_partir_de_Excel_Files10256718[[#This Row],[Total Dpts]]</calculatedColumnFormula>
    </tableColumn>
    <tableColumn id="82" uniqueName="82" name="Tx_x000a_Aide Massif" queryTableFieldId="93" dataDxfId="517" totalsRowDxfId="516">
      <calculatedColumnFormula>Tableau_Lancer_la_requête_à_partir_de_Excel_Files10256718[[#This Row],[Aide Massif]]/Tableau_Lancer_la_requête_à_partir_de_Excel_Files10256718[[#This Row],[''Coût total éligible'']]</calculatedColumnFormula>
    </tableColumn>
    <tableColumn id="75" uniqueName="75" name="'FEDER'" totalsRowFunction="sum" queryTableFieldId="78" dataDxfId="515" totalsRowDxfId="514"/>
    <tableColumn id="7" uniqueName="7" name="Total Etat" totalsRowFunction="sum" queryTableFieldId="99" dataDxfId="513" totalsRowDxfId="512">
      <calculatedColumnFormula>Tableau_Lancer_la_requête_à_partir_de_Excel_Files10256718[[#This Row],[''FNADT '']]+Tableau_Lancer_la_requête_à_partir_de_Excel_Files10256718[[#This Row],[''Agriculture'']]</calculatedColumnFormula>
    </tableColumn>
    <tableColumn id="11" uniqueName="11" name="'FNADT '" queryTableFieldId="104" dataDxfId="511" totalsRowDxfId="510"/>
    <tableColumn id="46" uniqueName="46" name="'Agriculture'" totalsRowFunction="sum" queryTableFieldId="49" dataDxfId="509" totalsRowDxfId="508"/>
    <tableColumn id="8" uniqueName="8" name="Total Régions" totalsRowFunction="sum" queryTableFieldId="100" dataDxfId="507" totalsRowDxfId="506">
      <calculatedColumnFormula>Tableau_Lancer_la_requête_à_partir_de_Excel_Files10256718[[#This Row],[''ALPC'']]+Tableau_Lancer_la_requête_à_partir_de_Excel_Files10256718[[#This Row],[''AURA'']]+Tableau_Lancer_la_requête_à_partir_de_Excel_Files10256718[[#This Row],[''BFC'']]+Tableau_Lancer_la_requête_à_partir_de_Excel_Files10256718[[#This Row],[''LRMP'']]</calculatedColumnFormula>
    </tableColumn>
    <tableColumn id="48" uniqueName="48" name="'ALPC'" totalsRowFunction="sum" queryTableFieldId="51" dataDxfId="505" totalsRowDxfId="504"/>
    <tableColumn id="49" uniqueName="49" name="'AURA'" totalsRowFunction="sum" queryTableFieldId="52" dataDxfId="503" totalsRowDxfId="502"/>
    <tableColumn id="78" uniqueName="78" name="'BFC'" totalsRowFunction="sum" queryTableFieldId="81" dataDxfId="501" totalsRowDxfId="500"/>
    <tableColumn id="79" uniqueName="79" name="'LRMP'" totalsRowFunction="sum" queryTableFieldId="82" dataDxfId="499" totalsRowDxfId="498"/>
    <tableColumn id="9" uniqueName="9" name="Total Dpts" totalsRowFunction="sum" queryTableFieldId="101" dataDxfId="497" totalsRowDxfId="496">
      <calculatedColumnFormula>Tableau_Lancer_la_requête_à_partir_de_Excel_Files10256718[[#This Row],[''03'']]+Tableau_Lancer_la_requête_à_partir_de_Excel_Files10256718[[#This Row],[''07'']]+Tableau_Lancer_la_requête_à_partir_de_Excel_Files10256718[[#This Row],[''11'']]+Tableau_Lancer_la_requête_à_partir_de_Excel_Files10256718[[#This Row],[''12'']]+Tableau_Lancer_la_requête_à_partir_de_Excel_Files10256718[[#This Row],[''15'']]+Tableau_Lancer_la_requête_à_partir_de_Excel_Files10256718[[#This Row],[''19'']]+Tableau_Lancer_la_requête_à_partir_de_Excel_Files10256718[[#This Row],[''21'']]+Tableau_Lancer_la_requête_à_partir_de_Excel_Files10256718[[#This Row],[''23'']]+Tableau_Lancer_la_requête_à_partir_de_Excel_Files10256718[[#This Row],[''30'']]+Tableau_Lancer_la_requête_à_partir_de_Excel_Files10256718[[#This Row],[''34'']]+Tableau_Lancer_la_requête_à_partir_de_Excel_Files10256718[[#This Row],[''42'']]+Tableau_Lancer_la_requête_à_partir_de_Excel_Files10256718[[#This Row],[''43'']]+Tableau_Lancer_la_requête_à_partir_de_Excel_Files10256718[[#This Row],[''46'']]+Tableau_Lancer_la_requête_à_partir_de_Excel_Files10256718[[#This Row],[''48'']]+Tableau_Lancer_la_requête_à_partir_de_Excel_Files10256718[[#This Row],[''58'']]+Tableau_Lancer_la_requête_à_partir_de_Excel_Files10256718[[#This Row],[''63'']]+Tableau_Lancer_la_requête_à_partir_de_Excel_Files10256718[[#This Row],[''69'']]+Tableau_Lancer_la_requête_à_partir_de_Excel_Files10256718[[#This Row],[''71'']]+Tableau_Lancer_la_requête_à_partir_de_Excel_Files10256718[[#This Row],[''81'']]+Tableau_Lancer_la_requête_à_partir_de_Excel_Files10256718[[#This Row],[''82'']]+Tableau_Lancer_la_requête_à_partir_de_Excel_Files10256718[[#This Row],[''87'']]+Tableau_Lancer_la_requête_à_partir_de_Excel_Files10256718[[#This Row],[''89'']]</calculatedColumnFormula>
    </tableColumn>
    <tableColumn id="53" uniqueName="53" name="'03'" totalsRowFunction="sum" queryTableFieldId="56" dataDxfId="495" totalsRowDxfId="494"/>
    <tableColumn id="54" uniqueName="54" name="'07'" totalsRowFunction="sum" queryTableFieldId="57" dataDxfId="493" totalsRowDxfId="492"/>
    <tableColumn id="55" uniqueName="55" name="'11'" totalsRowFunction="sum" queryTableFieldId="58" dataDxfId="491" totalsRowDxfId="490"/>
    <tableColumn id="56" uniqueName="56" name="'12'" totalsRowFunction="sum" queryTableFieldId="59" dataDxfId="489" totalsRowDxfId="488"/>
    <tableColumn id="57" uniqueName="57" name="'15'" totalsRowFunction="sum" queryTableFieldId="60" dataDxfId="487" totalsRowDxfId="486"/>
    <tableColumn id="58" uniqueName="58" name="'19'" totalsRowFunction="sum" queryTableFieldId="61" dataDxfId="485" totalsRowDxfId="484"/>
    <tableColumn id="59" uniqueName="59" name="'21'" totalsRowFunction="sum" queryTableFieldId="62" dataDxfId="483" totalsRowDxfId="482"/>
    <tableColumn id="80" uniqueName="80" name="'23'" totalsRowFunction="sum" queryTableFieldId="85" dataDxfId="481" totalsRowDxfId="480"/>
    <tableColumn id="60" uniqueName="60" name="'30'" totalsRowFunction="sum" queryTableFieldId="63" dataDxfId="479" totalsRowDxfId="478"/>
    <tableColumn id="61" uniqueName="61" name="'34'" totalsRowFunction="sum" queryTableFieldId="64" dataDxfId="477" totalsRowDxfId="476"/>
    <tableColumn id="62" uniqueName="62" name="'42'" totalsRowFunction="sum" queryTableFieldId="65" dataDxfId="475" totalsRowDxfId="474"/>
    <tableColumn id="63" uniqueName="63" name="'43'" totalsRowFunction="sum" queryTableFieldId="66" dataDxfId="473" totalsRowDxfId="472"/>
    <tableColumn id="64" uniqueName="64" name="'46'" totalsRowFunction="sum" queryTableFieldId="67" dataDxfId="471" totalsRowDxfId="470"/>
    <tableColumn id="65" uniqueName="65" name="'48'" totalsRowFunction="sum" queryTableFieldId="68" dataDxfId="469" totalsRowDxfId="468"/>
    <tableColumn id="66" uniqueName="66" name="'58'" totalsRowFunction="sum" queryTableFieldId="69" dataDxfId="467" totalsRowDxfId="466"/>
    <tableColumn id="67" uniqueName="67" name="'63'" totalsRowFunction="sum" queryTableFieldId="70" dataDxfId="465" totalsRowDxfId="464"/>
    <tableColumn id="68" uniqueName="68" name="'69'" totalsRowFunction="sum" queryTableFieldId="71" dataDxfId="463" totalsRowDxfId="462"/>
    <tableColumn id="69" uniqueName="69" name="'71'" totalsRowFunction="sum" queryTableFieldId="72" dataDxfId="461" totalsRowDxfId="460"/>
    <tableColumn id="70" uniqueName="70" name="'81'" totalsRowFunction="sum" queryTableFieldId="73" dataDxfId="459" totalsRowDxfId="458"/>
    <tableColumn id="71" uniqueName="71" name="'82'" totalsRowFunction="sum" queryTableFieldId="74" dataDxfId="457" totalsRowDxfId="456"/>
    <tableColumn id="72" uniqueName="72" name="'87'" totalsRowFunction="sum" queryTableFieldId="75" dataDxfId="455" totalsRowDxfId="454"/>
    <tableColumn id="73" uniqueName="73" name="'89'" totalsRowFunction="sum" queryTableFieldId="76" dataDxfId="453" totalsRowDxfId="452"/>
    <tableColumn id="76" uniqueName="76" name="'Autre Public'" totalsRowFunction="sum" queryTableFieldId="79" dataDxfId="451" totalsRowDxfId="450"/>
    <tableColumn id="35" uniqueName="35" name="Avis Cofimac" queryTableFieldId="35" dataDxfId="449" totalsRowDxfId="448"/>
    <tableColumn id="4" uniqueName="4" name="Avis Prog" queryTableFieldId="95" dataDxfId="447" totalsRowDxfId="446"/>
    <tableColumn id="5" uniqueName="5" name="Date début operation" queryTableFieldId="112" dataDxfId="445" totalsRowDxfId="444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2" name="Tableau_Lancer_la_requête_à_partir_de_Excel_Files3" displayName="Tableau_Lancer_la_requête_à_partir_de_Excel_Files3" ref="A6:AT10" tableType="queryTable" totalsRowCount="1" headerRowDxfId="433" dataDxfId="432" totalsRowDxfId="431">
  <autoFilter ref="A6:AT9"/>
  <sortState ref="A7:AT9">
    <sortCondition ref="C6:C18"/>
  </sortState>
  <tableColumns count="46">
    <tableColumn id="1" uniqueName="1" name="Programme" totalsRowLabel="Total" queryTableFieldId="1" dataDxfId="430" totalsRowDxfId="429"/>
    <tableColumn id="50" uniqueName="50" name="Axe" queryTableFieldId="84" dataDxfId="428" totalsRowDxfId="427"/>
    <tableColumn id="43" uniqueName="43" name="ID_Synergie" totalsRowFunction="count" queryTableFieldId="48" dataDxfId="426" totalsRowDxfId="425"/>
    <tableColumn id="2" uniqueName="2" name="Nom_MO" queryTableFieldId="2" dataDxfId="424" totalsRowDxfId="423"/>
    <tableColumn id="3" uniqueName="3" name="Intitule_Operation" queryTableFieldId="3" dataDxfId="422" totalsRowDxfId="421"/>
    <tableColumn id="4" uniqueName="4" name="Coût total déposé" totalsRowFunction="sum" queryTableFieldId="4" dataDxfId="420" totalsRowDxfId="419"/>
    <tableColumn id="12" uniqueName="12" name="Coût total Eligible FEDER" queryTableFieldId="128" dataDxfId="418" totalsRowDxfId="417"/>
    <tableColumn id="13" uniqueName="13" name="Coût total" totalsRowFunction="sum" queryTableFieldId="131" dataDxfId="416" totalsRowDxfId="415">
      <calculatedColumnFormula>IF(Tableau_Lancer_la_requête_à_partir_de_Excel_Files3[[#This Row],[Coût total Eligible FEDER]]="",Tableau_Lancer_la_requête_à_partir_de_Excel_Files3[[#This Row],[Coût total déposé]],Tableau_Lancer_la_requête_à_partir_de_Excel_Files3[[#This Row],[Coût total Eligible FEDER]])</calculatedColumnFormula>
    </tableColumn>
    <tableColumn id="6" uniqueName="6" name="Aide Publique Obtenue" totalsRowFunction="sum" queryTableFieldId="92" dataDxfId="414" totalsRowDxfId="413">
      <calculatedColumnFormula>Tableau_Lancer_la_requête_à_partir_de_Excel_Files3[[#This Row],[Aide Massif Obtenu]]+Tableau_Lancer_la_requête_à_partir_de_Excel_Files3[[#This Row],[''Autre Public'']]</calculatedColumnFormula>
    </tableColumn>
    <tableColumn id="44" uniqueName="44" name="Taux Aide Publique" queryTableFieldId="44" dataDxfId="412" totalsRowDxfId="411">
      <calculatedColumnFormula>Tableau_Lancer_la_requête_à_partir_de_Excel_Files3[[#This Row],[Aide Publique Obtenue]]/Tableau_Lancer_la_requête_à_partir_de_Excel_Files3[[#This Row],[Coût total]]</calculatedColumnFormula>
    </tableColumn>
    <tableColumn id="40" uniqueName="40" name="Aide Massif Obtenu" totalsRowFunction="sum" queryTableFieldId="40" dataDxfId="410" totalsRowDxfId="409">
      <calculatedColumnFormula>Tableau_Lancer_la_requête_à_partir_de_Excel_Files3[[#This Row],[Etat]]+Tableau_Lancer_la_requête_à_partir_de_Excel_Files3[[#This Row],[Régions]]+Tableau_Lancer_la_requête_à_partir_de_Excel_Files3[[#This Row],[Départements]]+Tableau_Lancer_la_requête_à_partir_de_Excel_Files3[[#This Row],[''FEDER'']]</calculatedColumnFormula>
    </tableColumn>
    <tableColumn id="42" uniqueName="42" name="Taux Aide Massif" queryTableFieldId="42" dataDxfId="408" totalsRowDxfId="407">
      <calculatedColumnFormula>Tableau_Lancer_la_requête_à_partir_de_Excel_Files3[[#This Row],[Aide Massif Obtenu]]/Tableau_Lancer_la_requête_à_partir_de_Excel_Files3[[#This Row],[Coût total]]</calculatedColumnFormula>
    </tableColumn>
    <tableColumn id="52" uniqueName="52" name="Etat" totalsRowFunction="sum" queryTableFieldId="89" dataDxfId="406" totalsRowDxfId="405">
      <calculatedColumnFormula>Tableau_Lancer_la_requête_à_partir_de_Excel_Files3[[#This Row],[''FNADT'']]+Tableau_Lancer_la_requête_à_partir_de_Excel_Files3[[#This Row],[''Agriculture'']]</calculatedColumnFormula>
    </tableColumn>
    <tableColumn id="15" uniqueName="15" name="'FNADT'" queryTableFieldId="133" dataDxfId="404" totalsRowDxfId="403"/>
    <tableColumn id="16" uniqueName="16" name="'Agriculture'" queryTableFieldId="134" dataDxfId="402" totalsRowDxfId="401"/>
    <tableColumn id="54" uniqueName="54" name="Régions" totalsRowFunction="sum" queryTableFieldId="90" dataDxfId="400" totalsRowDxfId="399">
      <calculatedColumnFormula>Tableau_Lancer_la_requête_à_partir_de_Excel_Files3[[#This Row],[''ALPC'']]+Tableau_Lancer_la_requête_à_partir_de_Excel_Files3[[#This Row],[''AURA'']]+Tableau_Lancer_la_requête_à_partir_de_Excel_Files3[[#This Row],[''BFC'']]+Tableau_Lancer_la_requête_à_partir_de_Excel_Files3[[#This Row],[''LRMP'']]</calculatedColumnFormula>
    </tableColumn>
    <tableColumn id="20" uniqueName="20" name="'ALPC'" queryTableFieldId="138" dataDxfId="398" totalsRowDxfId="397"/>
    <tableColumn id="18" uniqueName="18" name="'AURA'" queryTableFieldId="136" dataDxfId="396" totalsRowDxfId="395"/>
    <tableColumn id="19" uniqueName="19" name="'BFC'" queryTableFieldId="137" dataDxfId="394" totalsRowDxfId="393"/>
    <tableColumn id="21" uniqueName="21" name="'LRMP'" queryTableFieldId="139" dataDxfId="392" totalsRowDxfId="391"/>
    <tableColumn id="55" uniqueName="55" name="Départements" totalsRowFunction="sum" queryTableFieldId="91" dataDxfId="390" totalsRowDxfId="389">
      <calculatedColumnFormula>Tableau_Lancer_la_requête_à_partir_de_Excel_Files3[[#This Row],[''03'']]+Tableau_Lancer_la_requête_à_partir_de_Excel_Files3[[#This Row],[''07'']]+Tableau_Lancer_la_requête_à_partir_de_Excel_Files3[[#This Row],[''11'']]+Tableau_Lancer_la_requête_à_partir_de_Excel_Files3[[#This Row],[''12'']]+Tableau_Lancer_la_requête_à_partir_de_Excel_Files3[[#This Row],[''15'']]+Tableau_Lancer_la_requête_à_partir_de_Excel_Files3[[#This Row],[''21'']]+Tableau_Lancer_la_requête_à_partir_de_Excel_Files3[[#This Row],[''19'']]+Tableau_Lancer_la_requête_à_partir_de_Excel_Files3[[#This Row],[''23'']]+Tableau_Lancer_la_requête_à_partir_de_Excel_Files3[[#This Row],[''30'']]+Tableau_Lancer_la_requête_à_partir_de_Excel_Files3[[#This Row],[''34'']]+Tableau_Lancer_la_requête_à_partir_de_Excel_Files3[[#This Row],[''42'']]+Tableau_Lancer_la_requête_à_partir_de_Excel_Files3[[#This Row],[''43'']]+Tableau_Lancer_la_requête_à_partir_de_Excel_Files3[[#This Row],[''46'']]+Tableau_Lancer_la_requête_à_partir_de_Excel_Files3[[#This Row],[''48'']]+Tableau_Lancer_la_requête_à_partir_de_Excel_Files3[[#This Row],[''58'']]+Tableau_Lancer_la_requête_à_partir_de_Excel_Files3[[#This Row],[''63'']]+Tableau_Lancer_la_requête_à_partir_de_Excel_Files3[[#This Row],[''69'']]+Tableau_Lancer_la_requête_à_partir_de_Excel_Files3[[#This Row],[''71'']]+Tableau_Lancer_la_requête_à_partir_de_Excel_Files3[[#This Row],[''81'']]+Tableau_Lancer_la_requête_à_partir_de_Excel_Files3[[#This Row],[''82'']]+Tableau_Lancer_la_requête_à_partir_de_Excel_Files3[[#This Row],[''87'']]+Tableau_Lancer_la_requête_à_partir_de_Excel_Files3[[#This Row],[''89'']]</calculatedColumnFormula>
    </tableColumn>
    <tableColumn id="23" uniqueName="23" name="'03'" queryTableFieldId="141" dataDxfId="388" totalsRowDxfId="387"/>
    <tableColumn id="24" uniqueName="24" name="'07'" queryTableFieldId="142" dataDxfId="386" totalsRowDxfId="385"/>
    <tableColumn id="25" uniqueName="25" name="'11'" queryTableFieldId="143" dataDxfId="384" totalsRowDxfId="383"/>
    <tableColumn id="26" uniqueName="26" name="'12'" queryTableFieldId="144" dataDxfId="382" totalsRowDxfId="381"/>
    <tableColumn id="27" uniqueName="27" name="'15'" queryTableFieldId="145" dataDxfId="380" totalsRowDxfId="379"/>
    <tableColumn id="28" uniqueName="28" name="'19'" queryTableFieldId="146" dataDxfId="378" totalsRowDxfId="377"/>
    <tableColumn id="29" uniqueName="29" name="'21'" queryTableFieldId="147" dataDxfId="376" totalsRowDxfId="375"/>
    <tableColumn id="30" uniqueName="30" name="'23'" queryTableFieldId="148" dataDxfId="374" totalsRowDxfId="373"/>
    <tableColumn id="31" uniqueName="31" name="'30'" queryTableFieldId="149" dataDxfId="372" totalsRowDxfId="371"/>
    <tableColumn id="32" uniqueName="32" name="'34'" queryTableFieldId="150" dataDxfId="370" totalsRowDxfId="369"/>
    <tableColumn id="33" uniqueName="33" name="'42'" queryTableFieldId="151" dataDxfId="368" totalsRowDxfId="367"/>
    <tableColumn id="34" uniqueName="34" name="'43'" queryTableFieldId="152" dataDxfId="366" totalsRowDxfId="365"/>
    <tableColumn id="35" uniqueName="35" name="'46'" queryTableFieldId="153" dataDxfId="364" totalsRowDxfId="363"/>
    <tableColumn id="36" uniqueName="36" name="'48'" queryTableFieldId="154" dataDxfId="362" totalsRowDxfId="361"/>
    <tableColumn id="37" uniqueName="37" name="'58'" queryTableFieldId="155" dataDxfId="360" totalsRowDxfId="359"/>
    <tableColumn id="38" uniqueName="38" name="'63'" queryTableFieldId="156" dataDxfId="358" totalsRowDxfId="357"/>
    <tableColumn id="39" uniqueName="39" name="'69'" queryTableFieldId="157" dataDxfId="356" totalsRowDxfId="355"/>
    <tableColumn id="41" uniqueName="41" name="'71'" queryTableFieldId="158" dataDxfId="354" totalsRowDxfId="353"/>
    <tableColumn id="45" uniqueName="45" name="'81'" queryTableFieldId="159" dataDxfId="352" totalsRowDxfId="351"/>
    <tableColumn id="47" uniqueName="47" name="'82'" queryTableFieldId="160" dataDxfId="350" totalsRowDxfId="349"/>
    <tableColumn id="48" uniqueName="48" name="'87'" queryTableFieldId="161" dataDxfId="348" totalsRowDxfId="347"/>
    <tableColumn id="51" uniqueName="51" name="'89'" queryTableFieldId="162" dataDxfId="346" totalsRowDxfId="345"/>
    <tableColumn id="53" uniqueName="53" name="'FEDER'" totalsRowFunction="sum" queryTableFieldId="163" dataDxfId="344" totalsRowDxfId="343"/>
    <tableColumn id="56" uniqueName="56" name="'Autre Public'" totalsRowFunction="sum" queryTableFieldId="164" dataDxfId="342" totalsRowDxfId="341"/>
    <tableColumn id="5" uniqueName="5" name="Avis Prog" queryTableFieldId="169" dataDxfId="340" totalsRowDxfId="33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3" name="Tableau3" displayName="Tableau3" ref="AX6:CE24" totalsRowCount="1" headerRowDxfId="338" dataDxfId="337" totalsRowDxfId="336">
  <autoFilter ref="AX6:CE23"/>
  <tableColumns count="34">
    <tableColumn id="1" name="NumSym" totalsRowLabel="Total" dataDxfId="335" totalsRowDxfId="334"/>
    <tableColumn id="2" name="Etat" totalsRowFunction="sum" dataDxfId="333" totalsRowDxfId="332">
      <calculatedColumnFormula>SUM(AZ7:BA7)</calculatedColumnFormula>
    </tableColumn>
    <tableColumn id="3" name="'FNADT'" totalsRowFunction="sum" dataDxfId="331" totalsRowDxfId="330"/>
    <tableColumn id="4" name="'Agriculture'" totalsRowFunction="sum" dataDxfId="329" totalsRowDxfId="328">
      <calculatedColumnFormula>SUM(BB7:BE7)</calculatedColumnFormula>
    </tableColumn>
    <tableColumn id="5" name="Régions" totalsRowFunction="sum" dataDxfId="327" totalsRowDxfId="326">
      <calculatedColumnFormula>SUM(BC7:BF7)</calculatedColumnFormula>
    </tableColumn>
    <tableColumn id="6" name="'ALPC'" totalsRowFunction="sum" dataDxfId="325" totalsRowDxfId="324"/>
    <tableColumn id="7" name="'AURA'" totalsRowFunction="sum" dataDxfId="323" totalsRowDxfId="322"/>
    <tableColumn id="8" name="'BFC'" totalsRowFunction="sum" dataDxfId="321" totalsRowDxfId="320"/>
    <tableColumn id="9" name="'LRMP'" totalsRowFunction="sum" dataDxfId="319" totalsRowDxfId="318">
      <calculatedColumnFormula>SUM(BG7:CB7)</calculatedColumnFormula>
    </tableColumn>
    <tableColumn id="10" name="Départements" totalsRowFunction="sum" dataDxfId="317" totalsRowDxfId="316">
      <calculatedColumnFormula>SUM(BH7:CC7)</calculatedColumnFormula>
    </tableColumn>
    <tableColumn id="11" name="'03'" totalsRowFunction="sum" dataDxfId="315" totalsRowDxfId="314"/>
    <tableColumn id="12" name="'07'" totalsRowFunction="sum" dataDxfId="313" totalsRowDxfId="312"/>
    <tableColumn id="13" name="'11'" totalsRowFunction="sum" dataDxfId="311" totalsRowDxfId="310"/>
    <tableColumn id="14" name="'12'" totalsRowFunction="sum" dataDxfId="309" totalsRowDxfId="308"/>
    <tableColumn id="15" name="'15'" totalsRowFunction="sum" dataDxfId="307" totalsRowDxfId="306"/>
    <tableColumn id="16" name="'19'" totalsRowFunction="sum" dataDxfId="305" totalsRowDxfId="304"/>
    <tableColumn id="17" name="'21'" totalsRowFunction="sum" dataDxfId="303" totalsRowDxfId="302"/>
    <tableColumn id="18" name="'23'" totalsRowFunction="sum" dataDxfId="301" totalsRowDxfId="300"/>
    <tableColumn id="19" name="'30'" totalsRowFunction="sum" dataDxfId="299" totalsRowDxfId="298"/>
    <tableColumn id="20" name="'34'" totalsRowFunction="sum" dataDxfId="297" totalsRowDxfId="296"/>
    <tableColumn id="21" name="'42'" totalsRowFunction="sum" dataDxfId="295" totalsRowDxfId="294"/>
    <tableColumn id="22" name="'43'" totalsRowFunction="sum" dataDxfId="293" totalsRowDxfId="292"/>
    <tableColumn id="23" name="'46'" totalsRowFunction="sum" dataDxfId="291" totalsRowDxfId="290"/>
    <tableColumn id="24" name="'48'" totalsRowFunction="sum" dataDxfId="289" totalsRowDxfId="288"/>
    <tableColumn id="25" name="'58'" totalsRowFunction="sum" dataDxfId="287" totalsRowDxfId="286"/>
    <tableColumn id="26" name="'63'" totalsRowFunction="sum" dataDxfId="285" totalsRowDxfId="284"/>
    <tableColumn id="27" name="'69'" totalsRowFunction="sum" dataDxfId="283" totalsRowDxfId="282"/>
    <tableColumn id="28" name="'71'" totalsRowFunction="sum" dataDxfId="281" totalsRowDxfId="280"/>
    <tableColumn id="29" name="'81'" totalsRowFunction="sum" dataDxfId="279" totalsRowDxfId="278"/>
    <tableColumn id="30" name="'82'" totalsRowFunction="sum" dataDxfId="277" totalsRowDxfId="276"/>
    <tableColumn id="31" name="'87'" totalsRowFunction="sum" dataDxfId="275" totalsRowDxfId="274"/>
    <tableColumn id="32" name="'89'" totalsRowFunction="sum" dataDxfId="273" totalsRowDxfId="272"/>
    <tableColumn id="33" name="'FEDER'" totalsRowFunction="sum" dataDxfId="271" totalsRowDxfId="270"/>
    <tableColumn id="34" name="Avis" totalsRowFunction="count" dataDxfId="269" totalsRowDxfId="268">
      <calculatedColumnFormula>VLOOKUP(Tableau3[[#This Row],[NumSym]],Tableau_Lancer_la_requête_à_partir_de_Excel_Files3[[ID_Synergie]:[Avis Prog]],44)</calculatedColumnFormula>
    </tableColumn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5" name="Tableau_Lancer_la_requête_à_partir_de_Excel_Files316" displayName="Tableau_Lancer_la_requête_à_partir_de_Excel_Files316" ref="A6:AT8" tableType="queryTable" insertRow="1" totalsRowCount="1" headerRowDxfId="257" dataDxfId="256" totalsRowDxfId="255">
  <autoFilter ref="A6:AT7"/>
  <sortState ref="A7:AT7">
    <sortCondition ref="C6:C18"/>
  </sortState>
  <tableColumns count="46">
    <tableColumn id="1" uniqueName="1" name="Programme" totalsRowLabel="Total" queryTableFieldId="1" dataDxfId="254" totalsRowDxfId="253"/>
    <tableColumn id="50" uniqueName="50" name="ID_dossier GIP" queryTableFieldId="84" dataDxfId="252" totalsRowDxfId="251"/>
    <tableColumn id="43" uniqueName="43" name="ID_Synergie" totalsRowFunction="count" queryTableFieldId="48" dataDxfId="250" totalsRowDxfId="249"/>
    <tableColumn id="2" uniqueName="2" name="Nom_MO" queryTableFieldId="2" dataDxfId="248" totalsRowDxfId="247"/>
    <tableColumn id="3" uniqueName="3" name="Intitule_Operation" queryTableFieldId="3" dataDxfId="246" totalsRowDxfId="245"/>
    <tableColumn id="4" uniqueName="4" name="Coût total déposé" totalsRowFunction="sum" queryTableFieldId="4" dataDxfId="244" totalsRowDxfId="243"/>
    <tableColumn id="12" uniqueName="12" name="Coût total Eligible FEDER" queryTableFieldId="128" dataDxfId="242" totalsRowDxfId="241"/>
    <tableColumn id="13" uniqueName="13" name="Coût total" totalsRowFunction="sum" queryTableFieldId="131" dataDxfId="240" totalsRowDxfId="239">
      <calculatedColumnFormula>IF(Tableau_Lancer_la_requête_à_partir_de_Excel_Files316[[#This Row],[Coût total Eligible FEDER]]="",Tableau_Lancer_la_requête_à_partir_de_Excel_Files316[[#This Row],[Coût total déposé]],Tableau_Lancer_la_requête_à_partir_de_Excel_Files316[[#This Row],[Coût total Eligible FEDER]])</calculatedColumnFormula>
    </tableColumn>
    <tableColumn id="6" uniqueName="6" name="Aide Publique Obtenue" totalsRowFunction="sum" queryTableFieldId="92" dataDxfId="238" totalsRowDxfId="237">
      <calculatedColumnFormula>Tableau_Lancer_la_requête_à_partir_de_Excel_Files316[[#This Row],[Aide Massif Obtenu]]+Tableau_Lancer_la_requête_à_partir_de_Excel_Files316[[#This Row],[''Autre Public'']]</calculatedColumnFormula>
    </tableColumn>
    <tableColumn id="44" uniqueName="44" name="Taux Aide Publique" queryTableFieldId="44" dataDxfId="236" totalsRowDxfId="235">
      <calculatedColumnFormula>Tableau_Lancer_la_requête_à_partir_de_Excel_Files316[[#This Row],[Aide Publique Obtenue]]/Tableau_Lancer_la_requête_à_partir_de_Excel_Files316[[#This Row],[Coût total]]</calculatedColumnFormula>
    </tableColumn>
    <tableColumn id="40" uniqueName="40" name="Aide Massif Obtenu" totalsRowFunction="sum" queryTableFieldId="40" dataDxfId="234" totalsRowDxfId="233">
      <calculatedColumnFormula>Tableau_Lancer_la_requête_à_partir_de_Excel_Files316[[#This Row],[Etat]]+Tableau_Lancer_la_requête_à_partir_de_Excel_Files316[[#This Row],[Régions]]+Tableau_Lancer_la_requête_à_partir_de_Excel_Files316[[#This Row],[Départements]]+Tableau_Lancer_la_requête_à_partir_de_Excel_Files316[[#This Row],[''FEDER'']]</calculatedColumnFormula>
    </tableColumn>
    <tableColumn id="42" uniqueName="42" name="Taux Aide Massif" queryTableFieldId="42" dataDxfId="232" totalsRowDxfId="231">
      <calculatedColumnFormula>Tableau_Lancer_la_requête_à_partir_de_Excel_Files316[[#This Row],[Aide Massif Obtenu]]/Tableau_Lancer_la_requête_à_partir_de_Excel_Files316[[#This Row],[Coût total]]</calculatedColumnFormula>
    </tableColumn>
    <tableColumn id="52" uniqueName="52" name="Etat" totalsRowFunction="sum" queryTableFieldId="89" dataDxfId="230" totalsRowDxfId="229">
      <calculatedColumnFormula>Tableau_Lancer_la_requête_à_partir_de_Excel_Files316[[#This Row],[''FNADT'']]+Tableau_Lancer_la_requête_à_partir_de_Excel_Files316[[#This Row],[''Agriculture'']]</calculatedColumnFormula>
    </tableColumn>
    <tableColumn id="15" uniqueName="15" name="'FNADT'" queryTableFieldId="133" dataDxfId="228" totalsRowDxfId="227"/>
    <tableColumn id="16" uniqueName="16" name="'Agriculture'" queryTableFieldId="134" dataDxfId="226" totalsRowDxfId="225"/>
    <tableColumn id="54" uniqueName="54" name="Régions" totalsRowFunction="sum" queryTableFieldId="90" dataDxfId="224" totalsRowDxfId="223">
      <calculatedColumnFormula>Tableau_Lancer_la_requête_à_partir_de_Excel_Files316[[#This Row],[''ALPC'']]+Tableau_Lancer_la_requête_à_partir_de_Excel_Files316[[#This Row],[''AURA'']]+Tableau_Lancer_la_requête_à_partir_de_Excel_Files316[[#This Row],[''BFC'']]+Tableau_Lancer_la_requête_à_partir_de_Excel_Files316[[#This Row],[''LRMP'']]</calculatedColumnFormula>
    </tableColumn>
    <tableColumn id="20" uniqueName="20" name="'ALPC'" queryTableFieldId="138" dataDxfId="222" totalsRowDxfId="221"/>
    <tableColumn id="18" uniqueName="18" name="'AURA'" queryTableFieldId="136" dataDxfId="220" totalsRowDxfId="219"/>
    <tableColumn id="19" uniqueName="19" name="'BFC'" queryTableFieldId="137" dataDxfId="218" totalsRowDxfId="217"/>
    <tableColumn id="21" uniqueName="21" name="'LRMP'" queryTableFieldId="139" dataDxfId="216" totalsRowDxfId="215"/>
    <tableColumn id="55" uniqueName="55" name="Départements" totalsRowFunction="sum" queryTableFieldId="91" dataDxfId="214" totalsRowDxfId="213">
      <calculatedColumnFormula>Tableau_Lancer_la_requête_à_partir_de_Excel_Files316[[#This Row],[''03'']]+Tableau_Lancer_la_requête_à_partir_de_Excel_Files316[[#This Row],[''07'']]+Tableau_Lancer_la_requête_à_partir_de_Excel_Files316[[#This Row],[''11'']]+Tableau_Lancer_la_requête_à_partir_de_Excel_Files316[[#This Row],[''12'']]+Tableau_Lancer_la_requête_à_partir_de_Excel_Files316[[#This Row],[''15'']]+Tableau_Lancer_la_requête_à_partir_de_Excel_Files316[[#This Row],[''21'']]+Tableau_Lancer_la_requête_à_partir_de_Excel_Files316[[#This Row],[''19'']]+Tableau_Lancer_la_requête_à_partir_de_Excel_Files316[[#This Row],[''23'']]+Tableau_Lancer_la_requête_à_partir_de_Excel_Files316[[#This Row],[''30'']]+Tableau_Lancer_la_requête_à_partir_de_Excel_Files316[[#This Row],[''34'']]+Tableau_Lancer_la_requête_à_partir_de_Excel_Files316[[#This Row],[''42'']]+Tableau_Lancer_la_requête_à_partir_de_Excel_Files316[[#This Row],[''43'']]+Tableau_Lancer_la_requête_à_partir_de_Excel_Files316[[#This Row],[''46'']]+Tableau_Lancer_la_requête_à_partir_de_Excel_Files316[[#This Row],[''48'']]+Tableau_Lancer_la_requête_à_partir_de_Excel_Files316[[#This Row],[''58'']]+Tableau_Lancer_la_requête_à_partir_de_Excel_Files316[[#This Row],[''63'']]+Tableau_Lancer_la_requête_à_partir_de_Excel_Files316[[#This Row],[''69'']]+Tableau_Lancer_la_requête_à_partir_de_Excel_Files316[[#This Row],[''71'']]+Tableau_Lancer_la_requête_à_partir_de_Excel_Files316[[#This Row],[''81'']]+Tableau_Lancer_la_requête_à_partir_de_Excel_Files316[[#This Row],[''82'']]+Tableau_Lancer_la_requête_à_partir_de_Excel_Files316[[#This Row],[''87'']]+Tableau_Lancer_la_requête_à_partir_de_Excel_Files316[[#This Row],[''89'']]</calculatedColumnFormula>
    </tableColumn>
    <tableColumn id="23" uniqueName="23" name="'03'" queryTableFieldId="141" dataDxfId="212" totalsRowDxfId="211"/>
    <tableColumn id="24" uniqueName="24" name="'07'" queryTableFieldId="142" dataDxfId="210" totalsRowDxfId="209"/>
    <tableColumn id="25" uniqueName="25" name="'11'" queryTableFieldId="143" dataDxfId="208" totalsRowDxfId="207"/>
    <tableColumn id="26" uniqueName="26" name="'12'" queryTableFieldId="144" dataDxfId="206" totalsRowDxfId="205"/>
    <tableColumn id="27" uniqueName="27" name="'15'" queryTableFieldId="145" dataDxfId="204" totalsRowDxfId="203"/>
    <tableColumn id="28" uniqueName="28" name="'19'" queryTableFieldId="146" dataDxfId="202" totalsRowDxfId="201"/>
    <tableColumn id="29" uniqueName="29" name="'21'" queryTableFieldId="147" dataDxfId="200" totalsRowDxfId="199"/>
    <tableColumn id="30" uniqueName="30" name="'23'" queryTableFieldId="148" dataDxfId="198" totalsRowDxfId="197"/>
    <tableColumn id="31" uniqueName="31" name="'30'" queryTableFieldId="149" dataDxfId="196" totalsRowDxfId="195"/>
    <tableColumn id="32" uniqueName="32" name="'34'" queryTableFieldId="150" dataDxfId="194" totalsRowDxfId="193"/>
    <tableColumn id="33" uniqueName="33" name="'42'" queryTableFieldId="151" dataDxfId="192" totalsRowDxfId="191"/>
    <tableColumn id="34" uniqueName="34" name="'43'" queryTableFieldId="152" dataDxfId="190" totalsRowDxfId="189"/>
    <tableColumn id="35" uniqueName="35" name="'46'" queryTableFieldId="153" dataDxfId="188" totalsRowDxfId="187"/>
    <tableColumn id="36" uniqueName="36" name="'48'" queryTableFieldId="154" dataDxfId="186" totalsRowDxfId="185"/>
    <tableColumn id="37" uniqueName="37" name="'58'" queryTableFieldId="155" dataDxfId="184" totalsRowDxfId="183"/>
    <tableColumn id="38" uniqueName="38" name="'63'" queryTableFieldId="156" dataDxfId="182" totalsRowDxfId="181"/>
    <tableColumn id="39" uniqueName="39" name="'69'" queryTableFieldId="157" dataDxfId="180" totalsRowDxfId="179"/>
    <tableColumn id="41" uniqueName="41" name="'71'" queryTableFieldId="158" dataDxfId="178" totalsRowDxfId="177"/>
    <tableColumn id="45" uniqueName="45" name="'81'" queryTableFieldId="159" dataDxfId="176" totalsRowDxfId="175"/>
    <tableColumn id="47" uniqueName="47" name="'82'" queryTableFieldId="160" dataDxfId="174" totalsRowDxfId="173"/>
    <tableColumn id="48" uniqueName="48" name="'87'" queryTableFieldId="161" dataDxfId="172" totalsRowDxfId="171"/>
    <tableColumn id="51" uniqueName="51" name="'89'" queryTableFieldId="162" dataDxfId="170" totalsRowDxfId="169"/>
    <tableColumn id="53" uniqueName="53" name="'FEDER'" totalsRowFunction="sum" queryTableFieldId="163" dataDxfId="168" totalsRowDxfId="167"/>
    <tableColumn id="56" uniqueName="56" name="'Autre Public'" queryTableFieldId="164" dataDxfId="166" totalsRowDxfId="165"/>
    <tableColumn id="5" uniqueName="5" name="Avis Prog" queryTableFieldId="169" dataDxfId="164" totalsRowDxfId="163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6" name="Tableau317" displayName="Tableau317" ref="AX6:CE24" totalsRowCount="1" headerRowDxfId="162" dataDxfId="161" totalsRowDxfId="160">
  <autoFilter ref="AX6:CE23"/>
  <tableColumns count="34">
    <tableColumn id="1" name="NumSym" totalsRowLabel="Total" dataDxfId="159" totalsRowDxfId="158"/>
    <tableColumn id="2" name="Etat" totalsRowFunction="sum" dataDxfId="157" totalsRowDxfId="156">
      <calculatedColumnFormula>SUM(AZ7:BA7)</calculatedColumnFormula>
    </tableColumn>
    <tableColumn id="3" name="'FNADT'" totalsRowFunction="sum" dataDxfId="155" totalsRowDxfId="154"/>
    <tableColumn id="4" name="'Agriculture'" totalsRowFunction="sum" dataDxfId="153" totalsRowDxfId="152">
      <calculatedColumnFormula>SUM(BB7:BE7)</calculatedColumnFormula>
    </tableColumn>
    <tableColumn id="5" name="Régions" totalsRowFunction="sum" dataDxfId="151" totalsRowDxfId="150">
      <calculatedColumnFormula>SUM(BC7:BF7)</calculatedColumnFormula>
    </tableColumn>
    <tableColumn id="6" name="'ALPC'" totalsRowFunction="sum" dataDxfId="149" totalsRowDxfId="148"/>
    <tableColumn id="7" name="'AURA'" totalsRowFunction="sum" dataDxfId="147" totalsRowDxfId="146"/>
    <tableColumn id="8" name="'BFC'" totalsRowFunction="sum" dataDxfId="145" totalsRowDxfId="144"/>
    <tableColumn id="9" name="'LRMP'" totalsRowFunction="sum" dataDxfId="143" totalsRowDxfId="142">
      <calculatedColumnFormula>SUM(BG7:CB7)</calculatedColumnFormula>
    </tableColumn>
    <tableColumn id="10" name="Départements" totalsRowFunction="sum" dataDxfId="141" totalsRowDxfId="140">
      <calculatedColumnFormula>SUM(BH7:CC7)</calculatedColumnFormula>
    </tableColumn>
    <tableColumn id="11" name="'03'" totalsRowFunction="sum" dataDxfId="139" totalsRowDxfId="138"/>
    <tableColumn id="12" name="'07'" totalsRowFunction="sum" dataDxfId="137" totalsRowDxfId="136"/>
    <tableColumn id="13" name="'11'" totalsRowFunction="sum" dataDxfId="135" totalsRowDxfId="134"/>
    <tableColumn id="14" name="'12'" totalsRowFunction="sum" dataDxfId="133" totalsRowDxfId="132"/>
    <tableColumn id="15" name="'15'" totalsRowFunction="sum" dataDxfId="131" totalsRowDxfId="130"/>
    <tableColumn id="16" name="'19'" totalsRowFunction="sum" dataDxfId="129" totalsRowDxfId="128"/>
    <tableColumn id="17" name="'21'" totalsRowFunction="sum" dataDxfId="127" totalsRowDxfId="126"/>
    <tableColumn id="18" name="'23'" totalsRowFunction="sum" dataDxfId="125" totalsRowDxfId="124"/>
    <tableColumn id="19" name="'30'" totalsRowFunction="sum" dataDxfId="123" totalsRowDxfId="122"/>
    <tableColumn id="20" name="'34'" totalsRowFunction="sum" dataDxfId="121" totalsRowDxfId="120"/>
    <tableColumn id="21" name="'42'" totalsRowFunction="sum" dataDxfId="119" totalsRowDxfId="118"/>
    <tableColumn id="22" name="'43'" totalsRowFunction="sum" dataDxfId="117" totalsRowDxfId="116"/>
    <tableColumn id="23" name="'46'" totalsRowFunction="sum" dataDxfId="115" totalsRowDxfId="114"/>
    <tableColumn id="24" name="'48'" totalsRowFunction="sum" dataDxfId="113" totalsRowDxfId="112"/>
    <tableColumn id="25" name="'58'" totalsRowFunction="sum" dataDxfId="111" totalsRowDxfId="110"/>
    <tableColumn id="26" name="'63'" totalsRowFunction="sum" dataDxfId="109" totalsRowDxfId="108"/>
    <tableColumn id="27" name="'69'" totalsRowFunction="sum" dataDxfId="107" totalsRowDxfId="106"/>
    <tableColumn id="28" name="'71'" totalsRowFunction="sum" dataDxfId="105" totalsRowDxfId="104"/>
    <tableColumn id="29" name="'81'" totalsRowFunction="sum" dataDxfId="103" totalsRowDxfId="102"/>
    <tableColumn id="30" name="'82'" totalsRowFunction="sum" dataDxfId="101" totalsRowDxfId="100"/>
    <tableColumn id="31" name="'87'" totalsRowFunction="sum" dataDxfId="99" totalsRowDxfId="98"/>
    <tableColumn id="32" name="'89'" totalsRowFunction="sum" dataDxfId="97" totalsRowDxfId="96"/>
    <tableColumn id="33" name="'FEDER'" totalsRowFunction="sum" dataDxfId="95" totalsRowDxfId="94"/>
    <tableColumn id="34" name="Avis" totalsRowFunction="count" dataDxfId="93" totalsRowDxfId="92">
      <calculatedColumnFormula>VLOOKUP(Tableau317[[#This Row],[NumSym]],Tableau_Lancer_la_requête_à_partir_de_Excel_Files316[[ID_Synergie]:[Avis Prog]],44)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1" name="Tableau_Lancer_la_requête_à_partir_de_Excel_Files102567891112" displayName="Tableau_Lancer_la_requête_à_partir_de_Excel_Files102567891112" ref="A25:AR27" tableType="queryTable" insertRow="1" totalsRowCount="1" headerRowDxfId="1525" dataDxfId="1524" totalsRowDxfId="1523">
  <autoFilter ref="A25:AR26"/>
  <sortState ref="A26:AR26">
    <sortCondition ref="A6:A18"/>
  </sortState>
  <tableColumns count="44">
    <tableColumn id="1" uniqueName="1" name="ID_Synergie" totalsRowLabel="Total" queryTableFieldId="1" dataDxfId="1522" totalsRowDxfId="1521"/>
    <tableColumn id="2" uniqueName="2" name="Nom_MO" totalsRowFunction="count" queryTableFieldId="2" dataDxfId="1520" totalsRowDxfId="1519"/>
    <tableColumn id="3" uniqueName="3" name="Intitule_Operation" queryTableFieldId="3" dataDxfId="1518" totalsRowDxfId="1517"/>
    <tableColumn id="43" uniqueName="43" name="'Coût total éligible'" totalsRowFunction="sum" queryTableFieldId="46" dataDxfId="1516" totalsRowDxfId="1515"/>
    <tableColumn id="39" uniqueName="39" name="Aide _x000a_publique" totalsRowFunction="sum" queryTableFieldId="42" dataDxfId="1514" totalsRowDxfId="1513">
      <calculatedColumnFormula>Tableau_Lancer_la_requête_à_partir_de_Excel_Files102567891112[[#This Row],[Aide Massif]]+Tableau_Lancer_la_requête_à_partir_de_Excel_Files102567891112[[#This Row],[''Autre Public'']]</calculatedColumnFormula>
    </tableColumn>
    <tableColumn id="81" uniqueName="81" name="Tx Aide publique" queryTableFieldId="92" dataDxfId="1512" totalsRowDxfId="1511">
      <calculatedColumnFormula>Tableau_Lancer_la_requête_à_partir_de_Excel_Files102567891112[[#This Row],[Aide 
publique]]/Tableau_Lancer_la_requête_à_partir_de_Excel_Files102567891112[[#This Row],[''Coût total éligible'']]</calculatedColumnFormula>
    </tableColumn>
    <tableColumn id="40" uniqueName="40" name="Aide Massif" totalsRowFunction="sum" queryTableFieldId="43" dataDxfId="1510" totalsRowDxfId="1509">
      <calculatedColumnFormula>Tableau_Lancer_la_requête_à_partir_de_Excel_Files102567891112[[#This Row],[''FEDER'']]+Tableau_Lancer_la_requête_à_partir_de_Excel_Files102567891112[[#This Row],[Total Etat]]+Tableau_Lancer_la_requête_à_partir_de_Excel_Files102567891112[[#This Row],[Total Régions]]+Tableau_Lancer_la_requête_à_partir_de_Excel_Files102567891112[[#This Row],[Total Dpts]]</calculatedColumnFormula>
    </tableColumn>
    <tableColumn id="82" uniqueName="82" name="Tx_x000a_Aide Massif" queryTableFieldId="93" dataDxfId="1508" totalsRowDxfId="1507">
      <calculatedColumnFormula>Tableau_Lancer_la_requête_à_partir_de_Excel_Files102567891112[[#This Row],[Aide Massif]]/Tableau_Lancer_la_requête_à_partir_de_Excel_Files102567891112[[#This Row],[''Coût total éligible'']]</calculatedColumnFormula>
    </tableColumn>
    <tableColumn id="75" uniqueName="75" name="'FEDER'" totalsRowFunction="sum" queryTableFieldId="78" dataDxfId="1506" totalsRowDxfId="1505"/>
    <tableColumn id="7" uniqueName="7" name="Total Etat" totalsRowFunction="sum" queryTableFieldId="99" dataDxfId="1504" totalsRowDxfId="1503">
      <calculatedColumnFormula>Tableau_Lancer_la_requête_à_partir_de_Excel_Files102567891112[[#This Row],[''FNADT '']]+Tableau_Lancer_la_requête_à_partir_de_Excel_Files102567891112[[#This Row],[''Agriculture'']]</calculatedColumnFormula>
    </tableColumn>
    <tableColumn id="11" uniqueName="11" name="'FNADT '" queryTableFieldId="104" dataDxfId="1502" totalsRowDxfId="1501"/>
    <tableColumn id="46" uniqueName="46" name="'Agriculture'" totalsRowFunction="sum" queryTableFieldId="49" dataDxfId="1500" totalsRowDxfId="1499"/>
    <tableColumn id="8" uniqueName="8" name="Total Régions" totalsRowFunction="sum" queryTableFieldId="100" dataDxfId="1498" totalsRowDxfId="1497">
      <calculatedColumnFormula>Tableau_Lancer_la_requête_à_partir_de_Excel_Files102567891112[[#This Row],[''ALPC'']]+Tableau_Lancer_la_requête_à_partir_de_Excel_Files102567891112[[#This Row],[''AURA'']]+Tableau_Lancer_la_requête_à_partir_de_Excel_Files102567891112[[#This Row],[''BFC'']]+Tableau_Lancer_la_requête_à_partir_de_Excel_Files102567891112[[#This Row],[''LRMP'']]</calculatedColumnFormula>
    </tableColumn>
    <tableColumn id="48" uniqueName="48" name="'ALPC'" totalsRowFunction="sum" queryTableFieldId="51" dataDxfId="1496" totalsRowDxfId="1495"/>
    <tableColumn id="49" uniqueName="49" name="'AURA'" totalsRowFunction="sum" queryTableFieldId="52" dataDxfId="1494" totalsRowDxfId="1493"/>
    <tableColumn id="78" uniqueName="78" name="'BFC'" totalsRowFunction="sum" queryTableFieldId="81" dataDxfId="1492" totalsRowDxfId="1491"/>
    <tableColumn id="79" uniqueName="79" name="'LRMP'" totalsRowFunction="sum" queryTableFieldId="82" dataDxfId="1490" totalsRowDxfId="1489"/>
    <tableColumn id="9" uniqueName="9" name="Total Dpts" totalsRowFunction="sum" queryTableFieldId="101" dataDxfId="1488" totalsRowDxfId="1487">
      <calculatedColumnFormula>Tableau_Lancer_la_requête_à_partir_de_Excel_Files102567891112[[#This Row],[''03'']]+Tableau_Lancer_la_requête_à_partir_de_Excel_Files102567891112[[#This Row],[''07'']]+Tableau_Lancer_la_requête_à_partir_de_Excel_Files102567891112[[#This Row],[''11'']]+Tableau_Lancer_la_requête_à_partir_de_Excel_Files102567891112[[#This Row],[''12'']]+Tableau_Lancer_la_requête_à_partir_de_Excel_Files102567891112[[#This Row],[''15'']]+Tableau_Lancer_la_requête_à_partir_de_Excel_Files102567891112[[#This Row],[''19'']]+Tableau_Lancer_la_requête_à_partir_de_Excel_Files102567891112[[#This Row],[''21'']]+Tableau_Lancer_la_requête_à_partir_de_Excel_Files102567891112[[#This Row],[''23'']]+Tableau_Lancer_la_requête_à_partir_de_Excel_Files102567891112[[#This Row],[''30'']]+Tableau_Lancer_la_requête_à_partir_de_Excel_Files102567891112[[#This Row],[''34'']]+Tableau_Lancer_la_requête_à_partir_de_Excel_Files102567891112[[#This Row],[''42'']]+Tableau_Lancer_la_requête_à_partir_de_Excel_Files102567891112[[#This Row],[''43'']]+Tableau_Lancer_la_requête_à_partir_de_Excel_Files102567891112[[#This Row],[''46'']]+Tableau_Lancer_la_requête_à_partir_de_Excel_Files102567891112[[#This Row],[''48'']]+Tableau_Lancer_la_requête_à_partir_de_Excel_Files102567891112[[#This Row],[''58'']]+Tableau_Lancer_la_requête_à_partir_de_Excel_Files102567891112[[#This Row],[''63'']]+Tableau_Lancer_la_requête_à_partir_de_Excel_Files102567891112[[#This Row],[''69'']]+Tableau_Lancer_la_requête_à_partir_de_Excel_Files102567891112[[#This Row],[''71'']]+Tableau_Lancer_la_requête_à_partir_de_Excel_Files102567891112[[#This Row],[''81'']]+Tableau_Lancer_la_requête_à_partir_de_Excel_Files102567891112[[#This Row],[''82'']]+Tableau_Lancer_la_requête_à_partir_de_Excel_Files102567891112[[#This Row],[''87'']]+Tableau_Lancer_la_requête_à_partir_de_Excel_Files102567891112[[#This Row],[''89'']]</calculatedColumnFormula>
    </tableColumn>
    <tableColumn id="53" uniqueName="53" name="'03'" totalsRowFunction="sum" queryTableFieldId="56" dataDxfId="1486" totalsRowDxfId="1485"/>
    <tableColumn id="54" uniqueName="54" name="'07'" totalsRowFunction="sum" queryTableFieldId="57" dataDxfId="1484" totalsRowDxfId="1483"/>
    <tableColumn id="55" uniqueName="55" name="'11'" totalsRowFunction="sum" queryTableFieldId="58" dataDxfId="1482" totalsRowDxfId="1481"/>
    <tableColumn id="56" uniqueName="56" name="'12'" totalsRowFunction="sum" queryTableFieldId="59" dataDxfId="1480" totalsRowDxfId="1479"/>
    <tableColumn id="57" uniqueName="57" name="'15'" totalsRowFunction="sum" queryTableFieldId="60" dataDxfId="1478" totalsRowDxfId="1477"/>
    <tableColumn id="58" uniqueName="58" name="'19'" totalsRowFunction="sum" queryTableFieldId="61" dataDxfId="1476" totalsRowDxfId="1475"/>
    <tableColumn id="59" uniqueName="59" name="'21'" totalsRowFunction="sum" queryTableFieldId="62" dataDxfId="1474" totalsRowDxfId="1473"/>
    <tableColumn id="80" uniqueName="80" name="'23'" totalsRowFunction="sum" queryTableFieldId="85" dataDxfId="1472" totalsRowDxfId="1471"/>
    <tableColumn id="60" uniqueName="60" name="'30'" totalsRowFunction="sum" queryTableFieldId="63" dataDxfId="1470" totalsRowDxfId="1469"/>
    <tableColumn id="61" uniqueName="61" name="'34'" totalsRowFunction="sum" queryTableFieldId="64" dataDxfId="1468" totalsRowDxfId="1467"/>
    <tableColumn id="62" uniqueName="62" name="'42'" totalsRowFunction="sum" queryTableFieldId="65" dataDxfId="1466" totalsRowDxfId="1465"/>
    <tableColumn id="63" uniqueName="63" name="'43'" totalsRowFunction="sum" queryTableFieldId="66" dataDxfId="1464" totalsRowDxfId="1463"/>
    <tableColumn id="64" uniqueName="64" name="'46'" totalsRowFunction="sum" queryTableFieldId="67" dataDxfId="1462" totalsRowDxfId="1461"/>
    <tableColumn id="65" uniqueName="65" name="'48'" totalsRowFunction="sum" queryTableFieldId="68" dataDxfId="1460" totalsRowDxfId="1459"/>
    <tableColumn id="66" uniqueName="66" name="'58'" totalsRowFunction="sum" queryTableFieldId="69" dataDxfId="1458" totalsRowDxfId="1457"/>
    <tableColumn id="67" uniqueName="67" name="'63'" totalsRowFunction="sum" queryTableFieldId="70" dataDxfId="1456" totalsRowDxfId="1455"/>
    <tableColumn id="68" uniqueName="68" name="'69'" totalsRowFunction="sum" queryTableFieldId="71" dataDxfId="1454" totalsRowDxfId="1453"/>
    <tableColumn id="69" uniqueName="69" name="'71'" totalsRowFunction="sum" queryTableFieldId="72" dataDxfId="1452" totalsRowDxfId="1451"/>
    <tableColumn id="70" uniqueName="70" name="'81'" totalsRowFunction="sum" queryTableFieldId="73" dataDxfId="1450" totalsRowDxfId="1449"/>
    <tableColumn id="71" uniqueName="71" name="'82'" totalsRowFunction="sum" queryTableFieldId="74" dataDxfId="1448" totalsRowDxfId="1447"/>
    <tableColumn id="72" uniqueName="72" name="'87'" totalsRowFunction="sum" queryTableFieldId="75" dataDxfId="1446" totalsRowDxfId="1445"/>
    <tableColumn id="73" uniqueName="73" name="'89'" totalsRowFunction="sum" queryTableFieldId="76" dataDxfId="1444" totalsRowDxfId="1443"/>
    <tableColumn id="76" uniqueName="76" name="'Autre Public'" totalsRowFunction="sum" queryTableFieldId="79" dataDxfId="1442" totalsRowDxfId="1441"/>
    <tableColumn id="35" uniqueName="35" name="Avis Cofimac" queryTableFieldId="35" dataDxfId="1440" totalsRowDxfId="1439"/>
    <tableColumn id="5" uniqueName="5" name="Date début operation" queryTableFieldId="107" dataDxfId="1438" totalsRowDxfId="1437"/>
    <tableColumn id="4" uniqueName="4" name="Avis Prog" queryTableFieldId="95" dataDxfId="1436" totalsRowDxfId="1435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12" name="Tableau_Lancer_la_requête_à_partir_de_Excel_Files102567891113" displayName="Tableau_Lancer_la_requête_à_partir_de_Excel_Files102567891113" ref="A13:AR15" tableType="queryTable" insertRow="1" totalsRowCount="1" headerRowDxfId="1434" dataDxfId="1433" totalsRowDxfId="1432">
  <autoFilter ref="A13:AR14"/>
  <sortState ref="A14:AR14">
    <sortCondition ref="A6:A18"/>
  </sortState>
  <tableColumns count="44">
    <tableColumn id="1" uniqueName="1" name="ID_Synergie" totalsRowLabel="Total" queryTableFieldId="1" dataDxfId="1431" totalsRowDxfId="1430"/>
    <tableColumn id="2" uniqueName="2" name="Nom_MO" totalsRowFunction="count" queryTableFieldId="2" dataDxfId="1429" totalsRowDxfId="1428"/>
    <tableColumn id="3" uniqueName="3" name="Intitule_Operation" queryTableFieldId="3" dataDxfId="1427" totalsRowDxfId="1426"/>
    <tableColumn id="43" uniqueName="43" name="'Coût total éligible'" totalsRowFunction="sum" queryTableFieldId="46" dataDxfId="1425" totalsRowDxfId="1424"/>
    <tableColumn id="39" uniqueName="39" name="Aide _x000a_publique" totalsRowFunction="sum" queryTableFieldId="42" dataDxfId="1423" totalsRowDxfId="1422">
      <calculatedColumnFormula>Tableau_Lancer_la_requête_à_partir_de_Excel_Files102567891113[[#This Row],[Aide Massif]]+Tableau_Lancer_la_requête_à_partir_de_Excel_Files102567891113[[#This Row],[''Autre Public'']]</calculatedColumnFormula>
    </tableColumn>
    <tableColumn id="81" uniqueName="81" name="Tx Aide publique" queryTableFieldId="92" dataDxfId="1421" totalsRowDxfId="1420">
      <calculatedColumnFormula>Tableau_Lancer_la_requête_à_partir_de_Excel_Files102567891113[[#This Row],[Aide 
publique]]/Tableau_Lancer_la_requête_à_partir_de_Excel_Files102567891113[[#This Row],[''Coût total éligible'']]</calculatedColumnFormula>
    </tableColumn>
    <tableColumn id="40" uniqueName="40" name="Aide Massif" totalsRowFunction="sum" queryTableFieldId="43" dataDxfId="1419" totalsRowDxfId="1418">
      <calculatedColumnFormula>Tableau_Lancer_la_requête_à_partir_de_Excel_Files102567891113[[#This Row],[''FEDER'']]+Tableau_Lancer_la_requête_à_partir_de_Excel_Files102567891113[[#This Row],[Total Etat]]+Tableau_Lancer_la_requête_à_partir_de_Excel_Files102567891113[[#This Row],[Total Régions]]+Tableau_Lancer_la_requête_à_partir_de_Excel_Files102567891113[[#This Row],[Total Dpts]]</calculatedColumnFormula>
    </tableColumn>
    <tableColumn id="82" uniqueName="82" name="Tx_x000a_Aide Massif" queryTableFieldId="93" dataDxfId="1417" totalsRowDxfId="1416">
      <calculatedColumnFormula>Tableau_Lancer_la_requête_à_partir_de_Excel_Files102567891113[[#This Row],[Aide Massif]]/Tableau_Lancer_la_requête_à_partir_de_Excel_Files102567891113[[#This Row],[''Coût total éligible'']]</calculatedColumnFormula>
    </tableColumn>
    <tableColumn id="75" uniqueName="75" name="'FEDER'" totalsRowFunction="sum" queryTableFieldId="78" dataDxfId="1415" totalsRowDxfId="1414"/>
    <tableColumn id="7" uniqueName="7" name="Total Etat" totalsRowFunction="sum" queryTableFieldId="99" dataDxfId="1413" totalsRowDxfId="1412">
      <calculatedColumnFormula>Tableau_Lancer_la_requête_à_partir_de_Excel_Files102567891113[[#This Row],[''FNADT '']]+Tableau_Lancer_la_requête_à_partir_de_Excel_Files102567891113[[#This Row],[''Agriculture'']]</calculatedColumnFormula>
    </tableColumn>
    <tableColumn id="11" uniqueName="11" name="'FNADT '" queryTableFieldId="104" dataDxfId="1411" totalsRowDxfId="1410"/>
    <tableColumn id="46" uniqueName="46" name="'Agriculture'" totalsRowFunction="sum" queryTableFieldId="49" dataDxfId="1409" totalsRowDxfId="1408"/>
    <tableColumn id="8" uniqueName="8" name="Total Régions" totalsRowFunction="sum" queryTableFieldId="100" dataDxfId="1407" totalsRowDxfId="1406">
      <calculatedColumnFormula>Tableau_Lancer_la_requête_à_partir_de_Excel_Files102567891113[[#This Row],[''ALPC'']]+Tableau_Lancer_la_requête_à_partir_de_Excel_Files102567891113[[#This Row],[''AURA'']]+Tableau_Lancer_la_requête_à_partir_de_Excel_Files102567891113[[#This Row],[''BFC'']]+Tableau_Lancer_la_requête_à_partir_de_Excel_Files102567891113[[#This Row],[''LRMP'']]</calculatedColumnFormula>
    </tableColumn>
    <tableColumn id="48" uniqueName="48" name="'ALPC'" totalsRowFunction="sum" queryTableFieldId="51" dataDxfId="1405" totalsRowDxfId="1404"/>
    <tableColumn id="49" uniqueName="49" name="'AURA'" totalsRowFunction="sum" queryTableFieldId="52" dataDxfId="1403" totalsRowDxfId="1402"/>
    <tableColumn id="78" uniqueName="78" name="'BFC'" totalsRowFunction="sum" queryTableFieldId="81" dataDxfId="1401" totalsRowDxfId="1400"/>
    <tableColumn id="79" uniqueName="79" name="'LRMP'" totalsRowFunction="sum" queryTableFieldId="82" dataDxfId="1399" totalsRowDxfId="1398"/>
    <tableColumn id="9" uniqueName="9" name="Total Dpts" totalsRowFunction="sum" queryTableFieldId="101" dataDxfId="1397" totalsRowDxfId="1396">
      <calculatedColumnFormula>Tableau_Lancer_la_requête_à_partir_de_Excel_Files102567891113[[#This Row],[''03'']]+Tableau_Lancer_la_requête_à_partir_de_Excel_Files102567891113[[#This Row],[''07'']]+Tableau_Lancer_la_requête_à_partir_de_Excel_Files102567891113[[#This Row],[''11'']]+Tableau_Lancer_la_requête_à_partir_de_Excel_Files102567891113[[#This Row],[''12'']]+Tableau_Lancer_la_requête_à_partir_de_Excel_Files102567891113[[#This Row],[''15'']]+Tableau_Lancer_la_requête_à_partir_de_Excel_Files102567891113[[#This Row],[''19'']]+Tableau_Lancer_la_requête_à_partir_de_Excel_Files102567891113[[#This Row],[''21'']]+Tableau_Lancer_la_requête_à_partir_de_Excel_Files102567891113[[#This Row],[''23'']]+Tableau_Lancer_la_requête_à_partir_de_Excel_Files102567891113[[#This Row],[''30'']]+Tableau_Lancer_la_requête_à_partir_de_Excel_Files102567891113[[#This Row],[''34'']]+Tableau_Lancer_la_requête_à_partir_de_Excel_Files102567891113[[#This Row],[''42'']]+Tableau_Lancer_la_requête_à_partir_de_Excel_Files102567891113[[#This Row],[''43'']]+Tableau_Lancer_la_requête_à_partir_de_Excel_Files102567891113[[#This Row],[''46'']]+Tableau_Lancer_la_requête_à_partir_de_Excel_Files102567891113[[#This Row],[''48'']]+Tableau_Lancer_la_requête_à_partir_de_Excel_Files102567891113[[#This Row],[''58'']]+Tableau_Lancer_la_requête_à_partir_de_Excel_Files102567891113[[#This Row],[''63'']]+Tableau_Lancer_la_requête_à_partir_de_Excel_Files102567891113[[#This Row],[''69'']]+Tableau_Lancer_la_requête_à_partir_de_Excel_Files102567891113[[#This Row],[''71'']]+Tableau_Lancer_la_requête_à_partir_de_Excel_Files102567891113[[#This Row],[''81'']]+Tableau_Lancer_la_requête_à_partir_de_Excel_Files102567891113[[#This Row],[''82'']]+Tableau_Lancer_la_requête_à_partir_de_Excel_Files102567891113[[#This Row],[''87'']]+Tableau_Lancer_la_requête_à_partir_de_Excel_Files102567891113[[#This Row],[''89'']]</calculatedColumnFormula>
    </tableColumn>
    <tableColumn id="53" uniqueName="53" name="'03'" totalsRowFunction="sum" queryTableFieldId="56" dataDxfId="1395" totalsRowDxfId="1394"/>
    <tableColumn id="54" uniqueName="54" name="'07'" totalsRowFunction="sum" queryTableFieldId="57" dataDxfId="1393" totalsRowDxfId="1392"/>
    <tableColumn id="55" uniqueName="55" name="'11'" totalsRowFunction="sum" queryTableFieldId="58" dataDxfId="1391" totalsRowDxfId="1390"/>
    <tableColumn id="56" uniqueName="56" name="'12'" totalsRowFunction="sum" queryTableFieldId="59" dataDxfId="1389" totalsRowDxfId="1388"/>
    <tableColumn id="57" uniqueName="57" name="'15'" totalsRowFunction="sum" queryTableFieldId="60" dataDxfId="1387" totalsRowDxfId="1386"/>
    <tableColumn id="58" uniqueName="58" name="'19'" totalsRowFunction="sum" queryTableFieldId="61" dataDxfId="1385" totalsRowDxfId="1384"/>
    <tableColumn id="59" uniqueName="59" name="'21'" totalsRowFunction="sum" queryTableFieldId="62" dataDxfId="1383" totalsRowDxfId="1382"/>
    <tableColumn id="80" uniqueName="80" name="'23'" totalsRowFunction="sum" queryTableFieldId="85" dataDxfId="1381" totalsRowDxfId="1380"/>
    <tableColumn id="60" uniqueName="60" name="'30'" totalsRowFunction="sum" queryTableFieldId="63" dataDxfId="1379" totalsRowDxfId="1378"/>
    <tableColumn id="61" uniqueName="61" name="'34'" totalsRowFunction="sum" queryTableFieldId="64" dataDxfId="1377" totalsRowDxfId="1376"/>
    <tableColumn id="62" uniqueName="62" name="'42'" totalsRowFunction="sum" queryTableFieldId="65" dataDxfId="1375" totalsRowDxfId="1374"/>
    <tableColumn id="63" uniqueName="63" name="'43'" totalsRowFunction="sum" queryTableFieldId="66" dataDxfId="1373" totalsRowDxfId="1372"/>
    <tableColumn id="64" uniqueName="64" name="'46'" totalsRowFunction="sum" queryTableFieldId="67" dataDxfId="1371" totalsRowDxfId="1370"/>
    <tableColumn id="65" uniqueName="65" name="'48'" totalsRowFunction="sum" queryTableFieldId="68" dataDxfId="1369" totalsRowDxfId="1368"/>
    <tableColumn id="66" uniqueName="66" name="'58'" totalsRowFunction="sum" queryTableFieldId="69" dataDxfId="1367" totalsRowDxfId="1366"/>
    <tableColumn id="67" uniqueName="67" name="'63'" totalsRowFunction="sum" queryTableFieldId="70" dataDxfId="1365" totalsRowDxfId="1364"/>
    <tableColumn id="68" uniqueName="68" name="'69'" totalsRowFunction="sum" queryTableFieldId="71" dataDxfId="1363" totalsRowDxfId="1362"/>
    <tableColumn id="69" uniqueName="69" name="'71'" totalsRowFunction="sum" queryTableFieldId="72" dataDxfId="1361" totalsRowDxfId="1360"/>
    <tableColumn id="70" uniqueName="70" name="'81'" totalsRowFunction="sum" queryTableFieldId="73" dataDxfId="1359" totalsRowDxfId="1358"/>
    <tableColumn id="71" uniqueName="71" name="'82'" totalsRowFunction="sum" queryTableFieldId="74" dataDxfId="1357" totalsRowDxfId="1356"/>
    <tableColumn id="72" uniqueName="72" name="'87'" totalsRowFunction="sum" queryTableFieldId="75" dataDxfId="1355" totalsRowDxfId="1354"/>
    <tableColumn id="73" uniqueName="73" name="'89'" totalsRowFunction="sum" queryTableFieldId="76" dataDxfId="1353" totalsRowDxfId="1352"/>
    <tableColumn id="76" uniqueName="76" name="'Autre Public'" totalsRowFunction="sum" queryTableFieldId="79" dataDxfId="1351" totalsRowDxfId="1350"/>
    <tableColumn id="35" uniqueName="35" name="Avis Cofimac" queryTableFieldId="35" dataDxfId="1349" totalsRowDxfId="1348"/>
    <tableColumn id="5" uniqueName="5" name="Date début operation" queryTableFieldId="107" dataDxfId="1347" totalsRowDxfId="1346"/>
    <tableColumn id="4" uniqueName="4" name="Avis Prog" queryTableFieldId="95" dataDxfId="1345" totalsRowDxfId="1344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13" name="Tableau_Lancer_la_requête_à_partir_de_Excel_Files10256789111214" displayName="Tableau_Lancer_la_requête_à_partir_de_Excel_Files10256789111214" ref="A19:AR21" tableType="queryTable" insertRow="1" totalsRowCount="1" headerRowDxfId="1343" dataDxfId="1342" totalsRowDxfId="1341">
  <autoFilter ref="A19:AR20"/>
  <sortState ref="A20:AR20">
    <sortCondition ref="A6:A18"/>
  </sortState>
  <tableColumns count="44">
    <tableColumn id="1" uniqueName="1" name="ID_Synergie" totalsRowLabel="Total" queryTableFieldId="1" dataDxfId="1340" totalsRowDxfId="1339"/>
    <tableColumn id="2" uniqueName="2" name="Nom_MO" totalsRowFunction="count" queryTableFieldId="2" dataDxfId="1338" totalsRowDxfId="1337"/>
    <tableColumn id="3" uniqueName="3" name="Intitule_Operation" queryTableFieldId="3" dataDxfId="1336" totalsRowDxfId="1335"/>
    <tableColumn id="43" uniqueName="43" name="'Coût total éligible'" totalsRowFunction="sum" queryTableFieldId="46" dataDxfId="1334" totalsRowDxfId="1333"/>
    <tableColumn id="39" uniqueName="39" name="Aide _x000a_publique" totalsRowFunction="sum" queryTableFieldId="42" dataDxfId="1332" totalsRowDxfId="1331">
      <calculatedColumnFormula>Tableau_Lancer_la_requête_à_partir_de_Excel_Files10256789111214[[#This Row],[Aide Massif]]+Tableau_Lancer_la_requête_à_partir_de_Excel_Files10256789111214[[#This Row],[''Autre Public'']]</calculatedColumnFormula>
    </tableColumn>
    <tableColumn id="81" uniqueName="81" name="Tx Aide publique" queryTableFieldId="92" dataDxfId="1330" totalsRowDxfId="1329">
      <calculatedColumnFormula>Tableau_Lancer_la_requête_à_partir_de_Excel_Files10256789111214[[#This Row],[Aide 
publique]]/Tableau_Lancer_la_requête_à_partir_de_Excel_Files10256789111214[[#This Row],[''Coût total éligible'']]</calculatedColumnFormula>
    </tableColumn>
    <tableColumn id="40" uniqueName="40" name="Aide Massif" totalsRowFunction="sum" queryTableFieldId="43" dataDxfId="1328" totalsRowDxfId="1327">
      <calculatedColumnFormula>Tableau_Lancer_la_requête_à_partir_de_Excel_Files10256789111214[[#This Row],[''FEDER'']]+Tableau_Lancer_la_requête_à_partir_de_Excel_Files10256789111214[[#This Row],[Total Etat]]+Tableau_Lancer_la_requête_à_partir_de_Excel_Files10256789111214[[#This Row],[Total Régions]]+Tableau_Lancer_la_requête_à_partir_de_Excel_Files10256789111214[[#This Row],[Total Dpts]]</calculatedColumnFormula>
    </tableColumn>
    <tableColumn id="82" uniqueName="82" name="Tx_x000a_Aide Massif" queryTableFieldId="93" dataDxfId="1326" totalsRowDxfId="1325">
      <calculatedColumnFormula>Tableau_Lancer_la_requête_à_partir_de_Excel_Files10256789111214[[#This Row],[Aide Massif]]/Tableau_Lancer_la_requête_à_partir_de_Excel_Files10256789111214[[#This Row],[''Coût total éligible'']]</calculatedColumnFormula>
    </tableColumn>
    <tableColumn id="75" uniqueName="75" name="'FEDER'" totalsRowFunction="sum" queryTableFieldId="78" dataDxfId="1324" totalsRowDxfId="1323"/>
    <tableColumn id="7" uniqueName="7" name="Total Etat" totalsRowFunction="sum" queryTableFieldId="99" dataDxfId="1322" totalsRowDxfId="1321">
      <calculatedColumnFormula>Tableau_Lancer_la_requête_à_partir_de_Excel_Files10256789111214[[#This Row],[''FNADT '']]+Tableau_Lancer_la_requête_à_partir_de_Excel_Files10256789111214[[#This Row],[''Agriculture'']]</calculatedColumnFormula>
    </tableColumn>
    <tableColumn id="11" uniqueName="11" name="'FNADT '" queryTableFieldId="104" dataDxfId="1320" totalsRowDxfId="1319"/>
    <tableColumn id="46" uniqueName="46" name="'Agriculture'" totalsRowFunction="sum" queryTableFieldId="49" dataDxfId="1318" totalsRowDxfId="1317"/>
    <tableColumn id="8" uniqueName="8" name="Total Régions" totalsRowFunction="sum" queryTableFieldId="100" dataDxfId="1316" totalsRowDxfId="1315">
      <calculatedColumnFormula>Tableau_Lancer_la_requête_à_partir_de_Excel_Files10256789111214[[#This Row],[''ALPC'']]+Tableau_Lancer_la_requête_à_partir_de_Excel_Files10256789111214[[#This Row],[''AURA'']]+Tableau_Lancer_la_requête_à_partir_de_Excel_Files10256789111214[[#This Row],[''BFC'']]+Tableau_Lancer_la_requête_à_partir_de_Excel_Files10256789111214[[#This Row],[''LRMP'']]</calculatedColumnFormula>
    </tableColumn>
    <tableColumn id="48" uniqueName="48" name="'ALPC'" totalsRowFunction="sum" queryTableFieldId="51" dataDxfId="1314" totalsRowDxfId="1313"/>
    <tableColumn id="49" uniqueName="49" name="'AURA'" totalsRowFunction="sum" queryTableFieldId="52" dataDxfId="1312" totalsRowDxfId="1311"/>
    <tableColumn id="78" uniqueName="78" name="'BFC'" totalsRowFunction="sum" queryTableFieldId="81" dataDxfId="1310" totalsRowDxfId="1309"/>
    <tableColumn id="79" uniqueName="79" name="'LRMP'" totalsRowFunction="sum" queryTableFieldId="82" dataDxfId="1308" totalsRowDxfId="1307"/>
    <tableColumn id="9" uniqueName="9" name="Total Dpts" totalsRowFunction="sum" queryTableFieldId="101" dataDxfId="1306" totalsRowDxfId="1305">
      <calculatedColumnFormula>Tableau_Lancer_la_requête_à_partir_de_Excel_Files10256789111214[[#This Row],[''03'']]+Tableau_Lancer_la_requête_à_partir_de_Excel_Files10256789111214[[#This Row],[''07'']]+Tableau_Lancer_la_requête_à_partir_de_Excel_Files10256789111214[[#This Row],[''11'']]+Tableau_Lancer_la_requête_à_partir_de_Excel_Files10256789111214[[#This Row],[''12'']]+Tableau_Lancer_la_requête_à_partir_de_Excel_Files10256789111214[[#This Row],[''15'']]+Tableau_Lancer_la_requête_à_partir_de_Excel_Files10256789111214[[#This Row],[''19'']]+Tableau_Lancer_la_requête_à_partir_de_Excel_Files10256789111214[[#This Row],[''21'']]+Tableau_Lancer_la_requête_à_partir_de_Excel_Files10256789111214[[#This Row],[''23'']]+Tableau_Lancer_la_requête_à_partir_de_Excel_Files10256789111214[[#This Row],[''30'']]+Tableau_Lancer_la_requête_à_partir_de_Excel_Files10256789111214[[#This Row],[''34'']]+Tableau_Lancer_la_requête_à_partir_de_Excel_Files10256789111214[[#This Row],[''42'']]+Tableau_Lancer_la_requête_à_partir_de_Excel_Files10256789111214[[#This Row],[''43'']]+Tableau_Lancer_la_requête_à_partir_de_Excel_Files10256789111214[[#This Row],[''46'']]+Tableau_Lancer_la_requête_à_partir_de_Excel_Files10256789111214[[#This Row],[''48'']]+Tableau_Lancer_la_requête_à_partir_de_Excel_Files10256789111214[[#This Row],[''58'']]+Tableau_Lancer_la_requête_à_partir_de_Excel_Files10256789111214[[#This Row],[''63'']]+Tableau_Lancer_la_requête_à_partir_de_Excel_Files10256789111214[[#This Row],[''69'']]+Tableau_Lancer_la_requête_à_partir_de_Excel_Files10256789111214[[#This Row],[''71'']]+Tableau_Lancer_la_requête_à_partir_de_Excel_Files10256789111214[[#This Row],[''81'']]+Tableau_Lancer_la_requête_à_partir_de_Excel_Files10256789111214[[#This Row],[''82'']]+Tableau_Lancer_la_requête_à_partir_de_Excel_Files10256789111214[[#This Row],[''87'']]+Tableau_Lancer_la_requête_à_partir_de_Excel_Files10256789111214[[#This Row],[''89'']]</calculatedColumnFormula>
    </tableColumn>
    <tableColumn id="53" uniqueName="53" name="'03'" totalsRowFunction="sum" queryTableFieldId="56" dataDxfId="1304" totalsRowDxfId="1303"/>
    <tableColumn id="54" uniqueName="54" name="'07'" totalsRowFunction="sum" queryTableFieldId="57" dataDxfId="1302" totalsRowDxfId="1301"/>
    <tableColumn id="55" uniqueName="55" name="'11'" totalsRowFunction="sum" queryTableFieldId="58" dataDxfId="1300" totalsRowDxfId="1299"/>
    <tableColumn id="56" uniqueName="56" name="'12'" totalsRowFunction="sum" queryTableFieldId="59" dataDxfId="1298" totalsRowDxfId="1297"/>
    <tableColumn id="57" uniqueName="57" name="'15'" totalsRowFunction="sum" queryTableFieldId="60" dataDxfId="1296" totalsRowDxfId="1295"/>
    <tableColumn id="58" uniqueName="58" name="'19'" totalsRowFunction="sum" queryTableFieldId="61" dataDxfId="1294" totalsRowDxfId="1293"/>
    <tableColumn id="59" uniqueName="59" name="'21'" totalsRowFunction="sum" queryTableFieldId="62" dataDxfId="1292" totalsRowDxfId="1291"/>
    <tableColumn id="80" uniqueName="80" name="'23'" totalsRowFunction="sum" queryTableFieldId="85" dataDxfId="1290" totalsRowDxfId="1289"/>
    <tableColumn id="60" uniqueName="60" name="'30'" totalsRowFunction="sum" queryTableFieldId="63" dataDxfId="1288" totalsRowDxfId="1287"/>
    <tableColumn id="61" uniqueName="61" name="'34'" totalsRowFunction="sum" queryTableFieldId="64" dataDxfId="1286" totalsRowDxfId="1285"/>
    <tableColumn id="62" uniqueName="62" name="'42'" totalsRowFunction="sum" queryTableFieldId="65" dataDxfId="1284" totalsRowDxfId="1283"/>
    <tableColumn id="63" uniqueName="63" name="'43'" totalsRowFunction="sum" queryTableFieldId="66" dataDxfId="1282" totalsRowDxfId="1281"/>
    <tableColumn id="64" uniqueName="64" name="'46'" totalsRowFunction="sum" queryTableFieldId="67" dataDxfId="1280" totalsRowDxfId="1279"/>
    <tableColumn id="65" uniqueName="65" name="'48'" totalsRowFunction="sum" queryTableFieldId="68" dataDxfId="1278" totalsRowDxfId="1277"/>
    <tableColumn id="66" uniqueName="66" name="'58'" totalsRowFunction="sum" queryTableFieldId="69" dataDxfId="1276" totalsRowDxfId="1275"/>
    <tableColumn id="67" uniqueName="67" name="'63'" totalsRowFunction="sum" queryTableFieldId="70" dataDxfId="1274" totalsRowDxfId="1273"/>
    <tableColumn id="68" uniqueName="68" name="'69'" totalsRowFunction="sum" queryTableFieldId="71" dataDxfId="1272" totalsRowDxfId="1271"/>
    <tableColumn id="69" uniqueName="69" name="'71'" totalsRowFunction="sum" queryTableFieldId="72" dataDxfId="1270" totalsRowDxfId="1269"/>
    <tableColumn id="70" uniqueName="70" name="'81'" totalsRowFunction="sum" queryTableFieldId="73" dataDxfId="1268" totalsRowDxfId="1267"/>
    <tableColumn id="71" uniqueName="71" name="'82'" totalsRowFunction="sum" queryTableFieldId="74" dataDxfId="1266" totalsRowDxfId="1265"/>
    <tableColumn id="72" uniqueName="72" name="'87'" totalsRowFunction="sum" queryTableFieldId="75" dataDxfId="1264" totalsRowDxfId="1263"/>
    <tableColumn id="73" uniqueName="73" name="'89'" totalsRowFunction="sum" queryTableFieldId="76" dataDxfId="1262" totalsRowDxfId="1261"/>
    <tableColumn id="76" uniqueName="76" name="'Autre Public'" totalsRowFunction="sum" queryTableFieldId="79" dataDxfId="1260" totalsRowDxfId="1259"/>
    <tableColumn id="35" uniqueName="35" name="Avis Cofimac" queryTableFieldId="35" dataDxfId="1258" totalsRowDxfId="1257"/>
    <tableColumn id="5" uniqueName="5" name="Date début operation" queryTableFieldId="107" dataDxfId="1256" totalsRowDxfId="1255"/>
    <tableColumn id="4" uniqueName="4" name="Avis Prog" queryTableFieldId="95" dataDxfId="1254" totalsRowDxfId="1253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8" name="Tableau_Lancer_la_requête_à_partir_de_Excel_Files10256789" displayName="Tableau_Lancer_la_requête_à_partir_de_Excel_Files10256789" ref="A6:AS15" tableType="queryTable" totalsRowCount="1" headerRowDxfId="1247" dataDxfId="1246" totalsRowDxfId="1245">
  <autoFilter ref="A6:AS14"/>
  <sortState ref="C7:AV14">
    <sortCondition ref="C6:C18"/>
  </sortState>
  <tableColumns count="45">
    <tableColumn id="6" uniqueName="6" name="Programme" queryTableFieldId="108" dataDxfId="1244" totalsRowDxfId="1243"/>
    <tableColumn id="10" uniqueName="10" name="Axe" queryTableFieldId="109" dataDxfId="1242" totalsRowDxfId="1241"/>
    <tableColumn id="1" uniqueName="1" name="ID_Synergie" totalsRowLabel="Total" queryTableFieldId="1" dataDxfId="1240" totalsRowDxfId="1239"/>
    <tableColumn id="2" uniqueName="2" name="Nom_MO" totalsRowFunction="count" queryTableFieldId="2" dataDxfId="1238" totalsRowDxfId="1237"/>
    <tableColumn id="3" uniqueName="3" name="Intitule_Operation" queryTableFieldId="3" dataDxfId="1236" totalsRowDxfId="1235"/>
    <tableColumn id="43" uniqueName="43" name="'Coût total éligible'" totalsRowFunction="sum" queryTableFieldId="46" dataDxfId="1234" totalsRowDxfId="1233"/>
    <tableColumn id="39" uniqueName="39" name="Aide _x000a_publique" totalsRowFunction="sum" queryTableFieldId="42" dataDxfId="1232" totalsRowDxfId="1231">
      <calculatedColumnFormula>Tableau_Lancer_la_requête_à_partir_de_Excel_Files10256789[[#This Row],[Aide Massif]]+Tableau_Lancer_la_requête_à_partir_de_Excel_Files10256789[[#This Row],[''Autre Public'']]</calculatedColumnFormula>
    </tableColumn>
    <tableColumn id="81" uniqueName="81" name="Tx Aide publique" queryTableFieldId="92" dataDxfId="1230" totalsRowDxfId="1229">
      <calculatedColumnFormula>Tableau_Lancer_la_requête_à_partir_de_Excel_Files10256789[[#This Row],[Aide 
publique]]/Tableau_Lancer_la_requête_à_partir_de_Excel_Files10256789[[#This Row],[''Coût total éligible'']]</calculatedColumnFormula>
    </tableColumn>
    <tableColumn id="40" uniqueName="40" name="Aide Massif" totalsRowFunction="sum" queryTableFieldId="43" dataDxfId="1228" totalsRowDxfId="1227">
      <calculatedColumnFormula>Tableau_Lancer_la_requête_à_partir_de_Excel_Files10256789[[#This Row],[''FEDER'']]+Tableau_Lancer_la_requête_à_partir_de_Excel_Files10256789[[#This Row],[Total Etat]]+Tableau_Lancer_la_requête_à_partir_de_Excel_Files10256789[[#This Row],[Total Régions]]+Tableau_Lancer_la_requête_à_partir_de_Excel_Files10256789[[#This Row],[Total Dpts]]</calculatedColumnFormula>
    </tableColumn>
    <tableColumn id="82" uniqueName="82" name="Tx_x000a_Aide Massif" queryTableFieldId="93" dataDxfId="1226" totalsRowDxfId="1225">
      <calculatedColumnFormula>Tableau_Lancer_la_requête_à_partir_de_Excel_Files10256789[[#This Row],[Aide Massif]]/Tableau_Lancer_la_requête_à_partir_de_Excel_Files10256789[[#This Row],[''Coût total éligible'']]</calculatedColumnFormula>
    </tableColumn>
    <tableColumn id="75" uniqueName="75" name="'FEDER'" totalsRowFunction="sum" queryTableFieldId="78" dataDxfId="1224" totalsRowDxfId="1223"/>
    <tableColumn id="7" uniqueName="7" name="Total Etat" totalsRowFunction="sum" queryTableFieldId="99" dataDxfId="1222" totalsRowDxfId="1221">
      <calculatedColumnFormula>Tableau_Lancer_la_requête_à_partir_de_Excel_Files10256789[[#This Row],[''FNADT '']]+Tableau_Lancer_la_requête_à_partir_de_Excel_Files10256789[[#This Row],[''Agriculture'']]</calculatedColumnFormula>
    </tableColumn>
    <tableColumn id="11" uniqueName="11" name="'FNADT '" queryTableFieldId="104" dataDxfId="1220" totalsRowDxfId="1219"/>
    <tableColumn id="46" uniqueName="46" name="'Agriculture'" totalsRowFunction="sum" queryTableFieldId="49" dataDxfId="1218" totalsRowDxfId="1217"/>
    <tableColumn id="8" uniqueName="8" name="Total Régions" totalsRowFunction="sum" queryTableFieldId="100" dataDxfId="1216" totalsRowDxfId="1215">
      <calculatedColumnFormula>Tableau_Lancer_la_requête_à_partir_de_Excel_Files10256789[[#This Row],[''ALPC'']]+Tableau_Lancer_la_requête_à_partir_de_Excel_Files10256789[[#This Row],[''AURA'']]+Tableau_Lancer_la_requête_à_partir_de_Excel_Files10256789[[#This Row],[''BFC'']]+Tableau_Lancer_la_requête_à_partir_de_Excel_Files10256789[[#This Row],[''LRMP'']]</calculatedColumnFormula>
    </tableColumn>
    <tableColumn id="48" uniqueName="48" name="'ALPC'" totalsRowFunction="sum" queryTableFieldId="51" dataDxfId="1214" totalsRowDxfId="1213"/>
    <tableColumn id="49" uniqueName="49" name="'AURA'" totalsRowFunction="sum" queryTableFieldId="52" dataDxfId="1212" totalsRowDxfId="1211"/>
    <tableColumn id="78" uniqueName="78" name="'BFC'" totalsRowFunction="sum" queryTableFieldId="81" dataDxfId="1210" totalsRowDxfId="1209"/>
    <tableColumn id="79" uniqueName="79" name="'LRMP'" totalsRowFunction="sum" queryTableFieldId="82" dataDxfId="1208" totalsRowDxfId="1207"/>
    <tableColumn id="9" uniqueName="9" name="Total Dpts" totalsRowFunction="sum" queryTableFieldId="101" dataDxfId="1206" totalsRowDxfId="1205">
      <calculatedColumnFormula>Tableau_Lancer_la_requête_à_partir_de_Excel_Files10256789[[#This Row],[''03'']]+Tableau_Lancer_la_requête_à_partir_de_Excel_Files10256789[[#This Row],[''07'']]+Tableau_Lancer_la_requête_à_partir_de_Excel_Files10256789[[#This Row],[''11'']]+Tableau_Lancer_la_requête_à_partir_de_Excel_Files10256789[[#This Row],[''12'']]+Tableau_Lancer_la_requête_à_partir_de_Excel_Files10256789[[#This Row],[''15'']]+Tableau_Lancer_la_requête_à_partir_de_Excel_Files10256789[[#This Row],[''19'']]+Tableau_Lancer_la_requête_à_partir_de_Excel_Files10256789[[#This Row],[''21'']]+Tableau_Lancer_la_requête_à_partir_de_Excel_Files10256789[[#This Row],[''23'']]+Tableau_Lancer_la_requête_à_partir_de_Excel_Files10256789[[#This Row],[''30'']]+Tableau_Lancer_la_requête_à_partir_de_Excel_Files10256789[[#This Row],[''34'']]+Tableau_Lancer_la_requête_à_partir_de_Excel_Files10256789[[#This Row],[''42'']]+Tableau_Lancer_la_requête_à_partir_de_Excel_Files10256789[[#This Row],[''43'']]+Tableau_Lancer_la_requête_à_partir_de_Excel_Files10256789[[#This Row],[''46'']]+Tableau_Lancer_la_requête_à_partir_de_Excel_Files10256789[[#This Row],[''48'']]+Tableau_Lancer_la_requête_à_partir_de_Excel_Files10256789[[#This Row],[''58'']]+Tableau_Lancer_la_requête_à_partir_de_Excel_Files10256789[[#This Row],[''63'']]+Tableau_Lancer_la_requête_à_partir_de_Excel_Files10256789[[#This Row],[''69'']]+Tableau_Lancer_la_requête_à_partir_de_Excel_Files10256789[[#This Row],[''71'']]+Tableau_Lancer_la_requête_à_partir_de_Excel_Files10256789[[#This Row],[''81'']]+Tableau_Lancer_la_requête_à_partir_de_Excel_Files10256789[[#This Row],[''82'']]+Tableau_Lancer_la_requête_à_partir_de_Excel_Files10256789[[#This Row],[''87'']]+Tableau_Lancer_la_requête_à_partir_de_Excel_Files10256789[[#This Row],[''89'']]</calculatedColumnFormula>
    </tableColumn>
    <tableColumn id="53" uniqueName="53" name="'03'" totalsRowFunction="sum" queryTableFieldId="56" dataDxfId="1204" totalsRowDxfId="1203"/>
    <tableColumn id="54" uniqueName="54" name="'07'" totalsRowFunction="sum" queryTableFieldId="57" dataDxfId="1202" totalsRowDxfId="1201"/>
    <tableColumn id="55" uniqueName="55" name="'11'" totalsRowFunction="sum" queryTableFieldId="58" dataDxfId="1200" totalsRowDxfId="1199"/>
    <tableColumn id="56" uniqueName="56" name="'12'" totalsRowFunction="sum" queryTableFieldId="59" dataDxfId="1198" totalsRowDxfId="1197"/>
    <tableColumn id="57" uniqueName="57" name="'15'" totalsRowFunction="sum" queryTableFieldId="60" dataDxfId="1196" totalsRowDxfId="1195"/>
    <tableColumn id="58" uniqueName="58" name="'19'" totalsRowFunction="sum" queryTableFieldId="61" dataDxfId="1194" totalsRowDxfId="1193"/>
    <tableColumn id="59" uniqueName="59" name="'21'" totalsRowFunction="sum" queryTableFieldId="62" dataDxfId="1192" totalsRowDxfId="1191"/>
    <tableColumn id="80" uniqueName="80" name="'23'" totalsRowFunction="sum" queryTableFieldId="85" dataDxfId="1190" totalsRowDxfId="1189"/>
    <tableColumn id="60" uniqueName="60" name="'30'" totalsRowFunction="sum" queryTableFieldId="63" dataDxfId="1188" totalsRowDxfId="1187"/>
    <tableColumn id="61" uniqueName="61" name="'34'" totalsRowFunction="sum" queryTableFieldId="64" dataDxfId="1186" totalsRowDxfId="1185"/>
    <tableColumn id="62" uniqueName="62" name="'42'" totalsRowFunction="sum" queryTableFieldId="65" dataDxfId="1184" totalsRowDxfId="1183"/>
    <tableColumn id="63" uniqueName="63" name="'43'" totalsRowFunction="sum" queryTableFieldId="66" dataDxfId="1182" totalsRowDxfId="1181"/>
    <tableColumn id="64" uniqueName="64" name="'46'" totalsRowFunction="sum" queryTableFieldId="67" dataDxfId="1180" totalsRowDxfId="1179"/>
    <tableColumn id="65" uniqueName="65" name="'48'" totalsRowFunction="sum" queryTableFieldId="68" dataDxfId="1178" totalsRowDxfId="1177"/>
    <tableColumn id="66" uniqueName="66" name="'58'" totalsRowFunction="sum" queryTableFieldId="69" dataDxfId="1176" totalsRowDxfId="1175"/>
    <tableColumn id="67" uniqueName="67" name="'63'" totalsRowFunction="sum" queryTableFieldId="70" dataDxfId="1174" totalsRowDxfId="1173"/>
    <tableColumn id="68" uniqueName="68" name="'69'" totalsRowFunction="sum" queryTableFieldId="71" dataDxfId="1172" totalsRowDxfId="1171"/>
    <tableColumn id="69" uniqueName="69" name="'71'" totalsRowFunction="sum" queryTableFieldId="72" dataDxfId="1170" totalsRowDxfId="1169"/>
    <tableColumn id="70" uniqueName="70" name="'81'" totalsRowFunction="sum" queryTableFieldId="73" dataDxfId="1168" totalsRowDxfId="1167"/>
    <tableColumn id="71" uniqueName="71" name="'82'" totalsRowFunction="sum" queryTableFieldId="74" dataDxfId="1166" totalsRowDxfId="1165"/>
    <tableColumn id="72" uniqueName="72" name="'87'" totalsRowFunction="sum" queryTableFieldId="75" dataDxfId="1164" totalsRowDxfId="1163"/>
    <tableColumn id="73" uniqueName="73" name="'89'" totalsRowFunction="sum" queryTableFieldId="76" dataDxfId="1162" totalsRowDxfId="1161"/>
    <tableColumn id="76" uniqueName="76" name="'Autre Public'" totalsRowFunction="sum" queryTableFieldId="79" dataDxfId="1160" totalsRowDxfId="1159"/>
    <tableColumn id="35" uniqueName="35" name="Avis Cofimac" queryTableFieldId="35" dataDxfId="1158" totalsRowDxfId="1157"/>
    <tableColumn id="4" uniqueName="4" name="Avis Prog" queryTableFieldId="95" dataDxfId="1156" totalsRowDxfId="1155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" name="Tableau_Lancer_la_requête_à_partir_de_Excel_Files102" displayName="Tableau_Lancer_la_requête_à_partir_de_Excel_Files102" ref="A6:AT19" tableType="queryTable" totalsRowCount="1" headerRowDxfId="1149" dataDxfId="1148" totalsRowDxfId="1147">
  <autoFilter ref="A6:AT18"/>
  <sortState ref="C7:AV18">
    <sortCondition ref="E6:E18"/>
  </sortState>
  <tableColumns count="46">
    <tableColumn id="6" uniqueName="6" name="Programme" queryTableFieldId="106" dataDxfId="1146" totalsRowDxfId="45"/>
    <tableColumn id="11" uniqueName="11" name="Axe" queryTableFieldId="107" dataDxfId="1145" totalsRowDxfId="44"/>
    <tableColumn id="1" uniqueName="1" name="ID_Synergie" totalsRowLabel="Total" queryTableFieldId="1" dataDxfId="1144" totalsRowDxfId="43"/>
    <tableColumn id="2" uniqueName="2" name="Nom_MO" totalsRowFunction="count" queryTableFieldId="2" dataDxfId="1143" totalsRowDxfId="42"/>
    <tableColumn id="3" uniqueName="3" name="Intitule_Operation" queryTableFieldId="3" dataDxfId="1142" totalsRowDxfId="41"/>
    <tableColumn id="43" uniqueName="43" name="'Coût total éligible'" totalsRowFunction="sum" queryTableFieldId="46" dataDxfId="1141" totalsRowDxfId="40"/>
    <tableColumn id="39" uniqueName="39" name="Aide _x000a_publique" totalsRowFunction="sum" queryTableFieldId="42" dataDxfId="1140" totalsRowDxfId="39">
      <calculatedColumnFormula>Tableau_Lancer_la_requête_à_partir_de_Excel_Files102[[#This Row],[Aide Massif]]+Tableau_Lancer_la_requête_à_partir_de_Excel_Files102[[#This Row],[''Autre Public'']]</calculatedColumnFormula>
    </tableColumn>
    <tableColumn id="81" uniqueName="81" name="Tx Aide publique" queryTableFieldId="92" dataDxfId="1139" totalsRowDxfId="38">
      <calculatedColumnFormula>Tableau_Lancer_la_requête_à_partir_de_Excel_Files102[[#This Row],[Aide 
publique]]/Tableau_Lancer_la_requête_à_partir_de_Excel_Files102[[#This Row],[''Coût total éligible'']]</calculatedColumnFormula>
    </tableColumn>
    <tableColumn id="40" uniqueName="40" name="Aide Massif" totalsRowFunction="sum" queryTableFieldId="43" dataDxfId="1138" totalsRowDxfId="37">
      <calculatedColumnFormula>Tableau_Lancer_la_requête_à_partir_de_Excel_Files102[[#This Row],[''FEDER'']]+Tableau_Lancer_la_requête_à_partir_de_Excel_Files102[[#This Row],[Total Etat]]+Tableau_Lancer_la_requête_à_partir_de_Excel_Files102[[#This Row],[Total Régions]]+Tableau_Lancer_la_requête_à_partir_de_Excel_Files102[[#This Row],[Total Dpts]]</calculatedColumnFormula>
    </tableColumn>
    <tableColumn id="82" uniqueName="82" name="Tx_x000a_Aide Massif" queryTableFieldId="93" dataDxfId="1137" totalsRowDxfId="36">
      <calculatedColumnFormula>Tableau_Lancer_la_requête_à_partir_de_Excel_Files102[[#This Row],[Aide Massif]]/Tableau_Lancer_la_requête_à_partir_de_Excel_Files102[[#This Row],[''Coût total éligible'']]</calculatedColumnFormula>
    </tableColumn>
    <tableColumn id="75" uniqueName="75" name="'FEDER'" totalsRowFunction="sum" queryTableFieldId="78" dataDxfId="1136" totalsRowDxfId="35"/>
    <tableColumn id="7" uniqueName="7" name="Total Etat" totalsRowFunction="sum" queryTableFieldId="99" dataDxfId="1135" totalsRowDxfId="34">
      <calculatedColumnFormula>Tableau_Lancer_la_requête_à_partir_de_Excel_Files102[[#This Row],[''FNADT '']]+Tableau_Lancer_la_requête_à_partir_de_Excel_Files102[[#This Row],[''Agriculture'']]</calculatedColumnFormula>
    </tableColumn>
    <tableColumn id="10" uniqueName="10" name="'FNADT '" queryTableFieldId="102" dataDxfId="1134" totalsRowDxfId="33"/>
    <tableColumn id="46" uniqueName="46" name="'Agriculture'" totalsRowFunction="sum" queryTableFieldId="49" dataDxfId="1133" totalsRowDxfId="32"/>
    <tableColumn id="8" uniqueName="8" name="Total Régions" totalsRowFunction="sum" queryTableFieldId="100" dataDxfId="1132" totalsRowDxfId="31">
      <calculatedColumnFormula>Tableau_Lancer_la_requête_à_partir_de_Excel_Files102[[#This Row],[''ALPC'']]+Tableau_Lancer_la_requête_à_partir_de_Excel_Files102[[#This Row],[''AURA'']]+Tableau_Lancer_la_requête_à_partir_de_Excel_Files102[[#This Row],[''BFC'']]+Tableau_Lancer_la_requête_à_partir_de_Excel_Files102[[#This Row],[''LRMP'']]</calculatedColumnFormula>
    </tableColumn>
    <tableColumn id="48" uniqueName="48" name="'ALPC'" totalsRowFunction="sum" queryTableFieldId="51" dataDxfId="1131" totalsRowDxfId="30"/>
    <tableColumn id="49" uniqueName="49" name="'AURA'" totalsRowFunction="sum" queryTableFieldId="52" dataDxfId="1130" totalsRowDxfId="29"/>
    <tableColumn id="78" uniqueName="78" name="'BFC'" totalsRowFunction="sum" queryTableFieldId="81" dataDxfId="1129" totalsRowDxfId="28"/>
    <tableColumn id="79" uniqueName="79" name="'LRMP'" totalsRowFunction="sum" queryTableFieldId="82" dataDxfId="1128" totalsRowDxfId="27"/>
    <tableColumn id="9" uniqueName="9" name="Total Dpts" totalsRowFunction="sum" queryTableFieldId="101" dataDxfId="1127" totalsRowDxfId="26">
      <calculatedColumnFormula>Tableau_Lancer_la_requête_à_partir_de_Excel_Files102[[#This Row],[''03'']]+Tableau_Lancer_la_requête_à_partir_de_Excel_Files102[[#This Row],[''07'']]+Tableau_Lancer_la_requête_à_partir_de_Excel_Files102[[#This Row],[''11'']]+Tableau_Lancer_la_requête_à_partir_de_Excel_Files102[[#This Row],[''12'']]+Tableau_Lancer_la_requête_à_partir_de_Excel_Files102[[#This Row],[''15'']]+Tableau_Lancer_la_requête_à_partir_de_Excel_Files102[[#This Row],[''19'']]+Tableau_Lancer_la_requête_à_partir_de_Excel_Files102[[#This Row],[''21'']]+Tableau_Lancer_la_requête_à_partir_de_Excel_Files102[[#This Row],[''23'']]+Tableau_Lancer_la_requête_à_partir_de_Excel_Files102[[#This Row],[''30'']]+Tableau_Lancer_la_requête_à_partir_de_Excel_Files102[[#This Row],[''34'']]+Tableau_Lancer_la_requête_à_partir_de_Excel_Files102[[#This Row],[''42'']]+Tableau_Lancer_la_requête_à_partir_de_Excel_Files102[[#This Row],[''43'']]+Tableau_Lancer_la_requête_à_partir_de_Excel_Files102[[#This Row],[''46'']]+Tableau_Lancer_la_requête_à_partir_de_Excel_Files102[[#This Row],[''48'']]+Tableau_Lancer_la_requête_à_partir_de_Excel_Files102[[#This Row],[''58'']]+Tableau_Lancer_la_requête_à_partir_de_Excel_Files102[[#This Row],[''63'']]+Tableau_Lancer_la_requête_à_partir_de_Excel_Files102[[#This Row],[''69'']]+Tableau_Lancer_la_requête_à_partir_de_Excel_Files102[[#This Row],[''71'']]+Tableau_Lancer_la_requête_à_partir_de_Excel_Files102[[#This Row],[''81'']]+Tableau_Lancer_la_requête_à_partir_de_Excel_Files102[[#This Row],[''82'']]+Tableau_Lancer_la_requête_à_partir_de_Excel_Files102[[#This Row],[''87'']]+Tableau_Lancer_la_requête_à_partir_de_Excel_Files102[[#This Row],[''89'']]</calculatedColumnFormula>
    </tableColumn>
    <tableColumn id="53" uniqueName="53" name="'03'" totalsRowFunction="sum" queryTableFieldId="56" dataDxfId="1126" totalsRowDxfId="25"/>
    <tableColumn id="54" uniqueName="54" name="'07'" totalsRowFunction="sum" queryTableFieldId="57" dataDxfId="1125" totalsRowDxfId="24"/>
    <tableColumn id="55" uniqueName="55" name="'11'" totalsRowFunction="sum" queryTableFieldId="58" dataDxfId="1124" totalsRowDxfId="23"/>
    <tableColumn id="56" uniqueName="56" name="'12'" totalsRowFunction="sum" queryTableFieldId="59" dataDxfId="1123" totalsRowDxfId="22"/>
    <tableColumn id="57" uniqueName="57" name="'15'" totalsRowFunction="sum" queryTableFieldId="60" dataDxfId="1122" totalsRowDxfId="21"/>
    <tableColumn id="58" uniqueName="58" name="'19'" totalsRowFunction="sum" queryTableFieldId="61" dataDxfId="1121" totalsRowDxfId="20"/>
    <tableColumn id="59" uniqueName="59" name="'21'" totalsRowFunction="sum" queryTableFieldId="62" dataDxfId="1120" totalsRowDxfId="19"/>
    <tableColumn id="80" uniqueName="80" name="'23'" totalsRowFunction="sum" queryTableFieldId="85" dataDxfId="1119" totalsRowDxfId="18"/>
    <tableColumn id="60" uniqueName="60" name="'30'" totalsRowFunction="sum" queryTableFieldId="63" dataDxfId="1118" totalsRowDxfId="17"/>
    <tableColumn id="61" uniqueName="61" name="'34'" totalsRowFunction="sum" queryTableFieldId="64" dataDxfId="1117" totalsRowDxfId="16"/>
    <tableColumn id="62" uniqueName="62" name="'42'" totalsRowFunction="sum" queryTableFieldId="65" dataDxfId="1116" totalsRowDxfId="15"/>
    <tableColumn id="63" uniqueName="63" name="'43'" totalsRowFunction="sum" queryTableFieldId="66" dataDxfId="1115" totalsRowDxfId="14"/>
    <tableColumn id="64" uniqueName="64" name="'46'" totalsRowFunction="sum" queryTableFieldId="67" dataDxfId="1114" totalsRowDxfId="13"/>
    <tableColumn id="65" uniqueName="65" name="'48'" totalsRowFunction="sum" queryTableFieldId="68" dataDxfId="1113" totalsRowDxfId="12"/>
    <tableColumn id="66" uniqueName="66" name="'58'" totalsRowFunction="sum" queryTableFieldId="69" dataDxfId="1112" totalsRowDxfId="11"/>
    <tableColumn id="67" uniqueName="67" name="'63'" totalsRowFunction="sum" queryTableFieldId="70" dataDxfId="1111" totalsRowDxfId="10"/>
    <tableColumn id="68" uniqueName="68" name="'69'" totalsRowFunction="sum" queryTableFieldId="71" dataDxfId="1110" totalsRowDxfId="9"/>
    <tableColumn id="69" uniqueName="69" name="'71'" totalsRowFunction="sum" queryTableFieldId="72" dataDxfId="1109" totalsRowDxfId="8"/>
    <tableColumn id="70" uniqueName="70" name="'81'" totalsRowFunction="sum" queryTableFieldId="73" dataDxfId="1108" totalsRowDxfId="7"/>
    <tableColumn id="71" uniqueName="71" name="'82'" totalsRowFunction="sum" queryTableFieldId="74" dataDxfId="1107" totalsRowDxfId="6"/>
    <tableColumn id="72" uniqueName="72" name="'87'" totalsRowFunction="sum" queryTableFieldId="75" dataDxfId="1106" totalsRowDxfId="5"/>
    <tableColumn id="73" uniqueName="73" name="'89'" totalsRowFunction="sum" queryTableFieldId="76" dataDxfId="1105" totalsRowDxfId="4"/>
    <tableColumn id="76" uniqueName="76" name="'Autre Public'" totalsRowFunction="sum" queryTableFieldId="79" dataDxfId="1104" totalsRowDxfId="3"/>
    <tableColumn id="35" uniqueName="35" name="Avis Cofimac" queryTableFieldId="35" dataDxfId="1103" totalsRowDxfId="2"/>
    <tableColumn id="4" uniqueName="4" name="Avis Prog" queryTableFieldId="104" dataDxfId="1102" totalsRowDxfId="1"/>
    <tableColumn id="5" uniqueName="5" name="Date début operation" queryTableFieldId="105" dataDxfId="1101" totalsRowDxfId="0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4" name="Tableau_Lancer_la_requête_à_partir_de_Excel_Files1025" displayName="Tableau_Lancer_la_requête_à_partir_de_Excel_Files1025" ref="A6:AQ8" tableType="queryTable" insertRow="1" totalsRowCount="1" headerRowDxfId="1088" dataDxfId="1087" totalsRowDxfId="1086">
  <autoFilter ref="A6:AQ7"/>
  <sortState ref="A7:AQ7">
    <sortCondition ref="A6:A18"/>
  </sortState>
  <tableColumns count="43">
    <tableColumn id="1" uniqueName="1" name="ID_Synergie" totalsRowLabel="Total" queryTableFieldId="1" dataDxfId="1085" totalsRowDxfId="1084"/>
    <tableColumn id="2" uniqueName="2" name="Nom_MO" totalsRowFunction="count" queryTableFieldId="2" dataDxfId="1083" totalsRowDxfId="1082"/>
    <tableColumn id="3" uniqueName="3" name="Intitule_Operation" queryTableFieldId="3" dataDxfId="1081" totalsRowDxfId="1080"/>
    <tableColumn id="43" uniqueName="43" name="'Coût total éligible'" totalsRowFunction="sum" queryTableFieldId="46" dataDxfId="1079" totalsRowDxfId="1078"/>
    <tableColumn id="39" uniqueName="39" name="Aide _x000a_publique" totalsRowFunction="sum" queryTableFieldId="42" dataDxfId="1077" totalsRowDxfId="1076">
      <calculatedColumnFormula>Tableau_Lancer_la_requête_à_partir_de_Excel_Files1025[[#This Row],[Aide Massif]]+Tableau_Lancer_la_requête_à_partir_de_Excel_Files1025[[#This Row],[''Autre Public'']]</calculatedColumnFormula>
    </tableColumn>
    <tableColumn id="81" uniqueName="81" name="Tx Aide publique" queryTableFieldId="92" dataDxfId="1075" totalsRowDxfId="1074">
      <calculatedColumnFormula>Tableau_Lancer_la_requête_à_partir_de_Excel_Files1025[[#This Row],[Aide 
publique]]/Tableau_Lancer_la_requête_à_partir_de_Excel_Files1025[[#This Row],[''Coût total éligible'']]</calculatedColumnFormula>
    </tableColumn>
    <tableColumn id="40" uniqueName="40" name="Aide Massif" totalsRowFunction="sum" queryTableFieldId="43" dataDxfId="1073" totalsRowDxfId="1072">
      <calculatedColumnFormula>Tableau_Lancer_la_requête_à_partir_de_Excel_Files1025[[#This Row],[''FEDER'']]+Tableau_Lancer_la_requête_à_partir_de_Excel_Files1025[[#This Row],[Total Etat]]+Tableau_Lancer_la_requête_à_partir_de_Excel_Files1025[[#This Row],[Total Régions]]+Tableau_Lancer_la_requête_à_partir_de_Excel_Files1025[[#This Row],[Total Dpts]]</calculatedColumnFormula>
    </tableColumn>
    <tableColumn id="82" uniqueName="82" name="Tx_x000a_Aide Massif" queryTableFieldId="93" dataDxfId="1071" totalsRowDxfId="1070">
      <calculatedColumnFormula>Tableau_Lancer_la_requête_à_partir_de_Excel_Files1025[[#This Row],[Aide Massif]]/Tableau_Lancer_la_requête_à_partir_de_Excel_Files1025[[#This Row],[''Coût total éligible'']]</calculatedColumnFormula>
    </tableColumn>
    <tableColumn id="75" uniqueName="75" name="'FEDER'" totalsRowFunction="sum" queryTableFieldId="78" dataDxfId="1069" totalsRowDxfId="1068"/>
    <tableColumn id="7" uniqueName="7" name="Total Etat" totalsRowFunction="sum" queryTableFieldId="99" dataDxfId="1067" totalsRowDxfId="1066">
      <calculatedColumnFormula>Tableau_Lancer_la_requête_à_partir_de_Excel_Files1025[[#This Row],[''FNADT '']]+Tableau_Lancer_la_requête_à_partir_de_Excel_Files1025[[#This Row],[''Agriculture'']]</calculatedColumnFormula>
    </tableColumn>
    <tableColumn id="11" uniqueName="11" name="'FNADT '" queryTableFieldId="104" dataDxfId="1065" totalsRowDxfId="1064"/>
    <tableColumn id="46" uniqueName="46" name="'Agriculture'" totalsRowFunction="sum" queryTableFieldId="49" dataDxfId="1063" totalsRowDxfId="1062"/>
    <tableColumn id="8" uniqueName="8" name="Total Régions" totalsRowFunction="sum" queryTableFieldId="100" dataDxfId="1061" totalsRowDxfId="1060">
      <calculatedColumnFormula>Tableau_Lancer_la_requête_à_partir_de_Excel_Files1025[[#This Row],[''ALPC'']]+Tableau_Lancer_la_requête_à_partir_de_Excel_Files1025[[#This Row],[''AURA'']]+Tableau_Lancer_la_requête_à_partir_de_Excel_Files1025[[#This Row],[''BFC'']]+Tableau_Lancer_la_requête_à_partir_de_Excel_Files1025[[#This Row],[''LRMP'']]</calculatedColumnFormula>
    </tableColumn>
    <tableColumn id="48" uniqueName="48" name="'ALPC'" totalsRowFunction="sum" queryTableFieldId="51" dataDxfId="1059" totalsRowDxfId="1058"/>
    <tableColumn id="49" uniqueName="49" name="'AURA'" totalsRowFunction="sum" queryTableFieldId="52" dataDxfId="1057" totalsRowDxfId="1056"/>
    <tableColumn id="78" uniqueName="78" name="'BFC'" totalsRowFunction="sum" queryTableFieldId="81" dataDxfId="1055" totalsRowDxfId="1054"/>
    <tableColumn id="79" uniqueName="79" name="'LRMP'" totalsRowFunction="sum" queryTableFieldId="82" dataDxfId="1053" totalsRowDxfId="1052"/>
    <tableColumn id="9" uniqueName="9" name="Total Dpts" totalsRowFunction="sum" queryTableFieldId="101" dataDxfId="1051" totalsRowDxfId="1050">
      <calculatedColumnFormula>Tableau_Lancer_la_requête_à_partir_de_Excel_Files1025[[#This Row],[''03'']]+Tableau_Lancer_la_requête_à_partir_de_Excel_Files1025[[#This Row],[''07'']]+Tableau_Lancer_la_requête_à_partir_de_Excel_Files1025[[#This Row],[''11'']]+Tableau_Lancer_la_requête_à_partir_de_Excel_Files1025[[#This Row],[''12'']]+Tableau_Lancer_la_requête_à_partir_de_Excel_Files1025[[#This Row],[''15'']]+Tableau_Lancer_la_requête_à_partir_de_Excel_Files1025[[#This Row],[''19'']]+Tableau_Lancer_la_requête_à_partir_de_Excel_Files1025[[#This Row],[''21'']]+Tableau_Lancer_la_requête_à_partir_de_Excel_Files1025[[#This Row],[''23'']]+Tableau_Lancer_la_requête_à_partir_de_Excel_Files1025[[#This Row],[''30'']]+Tableau_Lancer_la_requête_à_partir_de_Excel_Files1025[[#This Row],[''34'']]+Tableau_Lancer_la_requête_à_partir_de_Excel_Files1025[[#This Row],[''42'']]+Tableau_Lancer_la_requête_à_partir_de_Excel_Files1025[[#This Row],[''43'']]+Tableau_Lancer_la_requête_à_partir_de_Excel_Files1025[[#This Row],[''46'']]+Tableau_Lancer_la_requête_à_partir_de_Excel_Files1025[[#This Row],[''48'']]+Tableau_Lancer_la_requête_à_partir_de_Excel_Files1025[[#This Row],[''58'']]+Tableau_Lancer_la_requête_à_partir_de_Excel_Files1025[[#This Row],[''63'']]+Tableau_Lancer_la_requête_à_partir_de_Excel_Files1025[[#This Row],[''69'']]+Tableau_Lancer_la_requête_à_partir_de_Excel_Files1025[[#This Row],[''71'']]+Tableau_Lancer_la_requête_à_partir_de_Excel_Files1025[[#This Row],[''81'']]+Tableau_Lancer_la_requête_à_partir_de_Excel_Files1025[[#This Row],[''82'']]+Tableau_Lancer_la_requête_à_partir_de_Excel_Files1025[[#This Row],[''87'']]+Tableau_Lancer_la_requête_à_partir_de_Excel_Files1025[[#This Row],[''89'']]</calculatedColumnFormula>
    </tableColumn>
    <tableColumn id="53" uniqueName="53" name="'03'" totalsRowFunction="sum" queryTableFieldId="56" dataDxfId="1049" totalsRowDxfId="1048"/>
    <tableColumn id="54" uniqueName="54" name="'07'" totalsRowFunction="sum" queryTableFieldId="57" dataDxfId="1047" totalsRowDxfId="1046"/>
    <tableColumn id="55" uniqueName="55" name="'11'" totalsRowFunction="sum" queryTableFieldId="58" dataDxfId="1045" totalsRowDxfId="1044"/>
    <tableColumn id="56" uniqueName="56" name="'12'" totalsRowFunction="sum" queryTableFieldId="59" dataDxfId="1043" totalsRowDxfId="1042"/>
    <tableColumn id="57" uniqueName="57" name="'15'" totalsRowFunction="sum" queryTableFieldId="60" dataDxfId="1041" totalsRowDxfId="1040"/>
    <tableColumn id="58" uniqueName="58" name="'19'" totalsRowFunction="sum" queryTableFieldId="61" dataDxfId="1039" totalsRowDxfId="1038"/>
    <tableColumn id="59" uniqueName="59" name="'21'" totalsRowFunction="sum" queryTableFieldId="62" dataDxfId="1037" totalsRowDxfId="1036"/>
    <tableColumn id="80" uniqueName="80" name="'23'" totalsRowFunction="sum" queryTableFieldId="85" dataDxfId="1035" totalsRowDxfId="1034"/>
    <tableColumn id="60" uniqueName="60" name="'30'" totalsRowFunction="sum" queryTableFieldId="63" dataDxfId="1033" totalsRowDxfId="1032"/>
    <tableColumn id="61" uniqueName="61" name="'34'" totalsRowFunction="sum" queryTableFieldId="64" dataDxfId="1031" totalsRowDxfId="1030"/>
    <tableColumn id="62" uniqueName="62" name="'42'" totalsRowFunction="sum" queryTableFieldId="65" dataDxfId="1029" totalsRowDxfId="1028"/>
    <tableColumn id="63" uniqueName="63" name="'43'" totalsRowFunction="sum" queryTableFieldId="66" dataDxfId="1027" totalsRowDxfId="1026"/>
    <tableColumn id="64" uniqueName="64" name="'46'" totalsRowFunction="sum" queryTableFieldId="67" dataDxfId="1025" totalsRowDxfId="1024"/>
    <tableColumn id="65" uniqueName="65" name="'48'" totalsRowFunction="sum" queryTableFieldId="68" dataDxfId="1023" totalsRowDxfId="1022"/>
    <tableColumn id="66" uniqueName="66" name="'58'" totalsRowFunction="sum" queryTableFieldId="69" dataDxfId="1021" totalsRowDxfId="1020"/>
    <tableColumn id="67" uniqueName="67" name="'63'" totalsRowFunction="sum" queryTableFieldId="70" dataDxfId="1019" totalsRowDxfId="1018"/>
    <tableColumn id="68" uniqueName="68" name="'69'" totalsRowFunction="sum" queryTableFieldId="71" dataDxfId="1017" totalsRowDxfId="1016"/>
    <tableColumn id="69" uniqueName="69" name="'71'" totalsRowFunction="sum" queryTableFieldId="72" dataDxfId="1015" totalsRowDxfId="1014"/>
    <tableColumn id="70" uniqueName="70" name="'81'" totalsRowFunction="sum" queryTableFieldId="73" dataDxfId="1013" totalsRowDxfId="1012"/>
    <tableColumn id="71" uniqueName="71" name="'82'" totalsRowFunction="sum" queryTableFieldId="74" dataDxfId="1011" totalsRowDxfId="1010"/>
    <tableColumn id="72" uniqueName="72" name="'87'" totalsRowFunction="sum" queryTableFieldId="75" dataDxfId="1009" totalsRowDxfId="1008"/>
    <tableColumn id="73" uniqueName="73" name="'89'" totalsRowFunction="sum" queryTableFieldId="76" dataDxfId="1007" totalsRowDxfId="1006"/>
    <tableColumn id="76" uniqueName="76" name="'Autre Public'" totalsRowFunction="sum" queryTableFieldId="79" dataDxfId="1005" totalsRowDxfId="1004"/>
    <tableColumn id="35" uniqueName="35" name="Avis Cofimac" queryTableFieldId="35" dataDxfId="1003" totalsRowDxfId="1002"/>
    <tableColumn id="4" uniqueName="4" name="Avis Prog" queryTableFieldId="95" dataDxfId="1001" totalsRowDxfId="1000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5" name="Tableau_Lancer_la_requête_à_partir_de_Excel_Files10256" displayName="Tableau_Lancer_la_requête_à_partir_de_Excel_Files10256" ref="A6:AS22" tableType="queryTable" totalsRowCount="1" headerRowDxfId="994" dataDxfId="993" totalsRowDxfId="992">
  <autoFilter ref="A6:AS21"/>
  <sortState ref="C7:AT21">
    <sortCondition ref="C6:C18"/>
  </sortState>
  <tableColumns count="45">
    <tableColumn id="10" uniqueName="10" name="Programme" queryTableFieldId="109" dataDxfId="991" totalsRowDxfId="990"/>
    <tableColumn id="6" uniqueName="6" name="Axe" queryTableFieldId="108" dataDxfId="989" totalsRowDxfId="988"/>
    <tableColumn id="1" uniqueName="1" name="ID_Synergie" totalsRowLabel="Total" queryTableFieldId="1" dataDxfId="987" totalsRowDxfId="986"/>
    <tableColumn id="2" uniqueName="2" name="Nom_MO" totalsRowFunction="count" queryTableFieldId="2" dataDxfId="985" totalsRowDxfId="984"/>
    <tableColumn id="3" uniqueName="3" name="Intitule_Operation" queryTableFieldId="3" dataDxfId="983" totalsRowDxfId="982"/>
    <tableColumn id="43" uniqueName="43" name="'Coût total éligible'" totalsRowFunction="sum" queryTableFieldId="46" dataDxfId="981" totalsRowDxfId="980"/>
    <tableColumn id="39" uniqueName="39" name="Aide _x000a_publique" totalsRowFunction="sum" queryTableFieldId="42" dataDxfId="979" totalsRowDxfId="978">
      <calculatedColumnFormula>Tableau_Lancer_la_requête_à_partir_de_Excel_Files10256[[#This Row],[Aide Massif]]+Tableau_Lancer_la_requête_à_partir_de_Excel_Files10256[[#This Row],[''Autre Public'']]</calculatedColumnFormula>
    </tableColumn>
    <tableColumn id="81" uniqueName="81" name="Tx Aide publique" queryTableFieldId="92" dataDxfId="977" totalsRowDxfId="976">
      <calculatedColumnFormula>Tableau_Lancer_la_requête_à_partir_de_Excel_Files10256[[#This Row],[Aide 
publique]]/Tableau_Lancer_la_requête_à_partir_de_Excel_Files10256[[#This Row],[''Coût total éligible'']]</calculatedColumnFormula>
    </tableColumn>
    <tableColumn id="40" uniqueName="40" name="Aide Massif" totalsRowFunction="sum" queryTableFieldId="43" dataDxfId="975" totalsRowDxfId="974">
      <calculatedColumnFormula>Tableau_Lancer_la_requête_à_partir_de_Excel_Files10256[[#This Row],[''FEDER'']]+Tableau_Lancer_la_requête_à_partir_de_Excel_Files10256[[#This Row],[Total Etat]]+Tableau_Lancer_la_requête_à_partir_de_Excel_Files10256[[#This Row],[Total Régions]]+Tableau_Lancer_la_requête_à_partir_de_Excel_Files10256[[#This Row],[Total Dpts]]</calculatedColumnFormula>
    </tableColumn>
    <tableColumn id="82" uniqueName="82" name="Tx_x000a_Aide Massif" queryTableFieldId="93" dataDxfId="973" totalsRowDxfId="972">
      <calculatedColumnFormula>Tableau_Lancer_la_requête_à_partir_de_Excel_Files10256[[#This Row],[Aide Massif]]/Tableau_Lancer_la_requête_à_partir_de_Excel_Files10256[[#This Row],[''Coût total éligible'']]</calculatedColumnFormula>
    </tableColumn>
    <tableColumn id="75" uniqueName="75" name="'FEDER'" totalsRowFunction="sum" queryTableFieldId="78" dataDxfId="971" totalsRowDxfId="970"/>
    <tableColumn id="7" uniqueName="7" name="Total Etat" totalsRowFunction="sum" queryTableFieldId="99" dataDxfId="969" totalsRowDxfId="968">
      <calculatedColumnFormula>Tableau_Lancer_la_requête_à_partir_de_Excel_Files10256[[#This Row],[''FNADT '']]+Tableau_Lancer_la_requête_à_partir_de_Excel_Files10256[[#This Row],[''Agriculture'']]</calculatedColumnFormula>
    </tableColumn>
    <tableColumn id="11" uniqueName="11" name="'FNADT '" queryTableFieldId="104" dataDxfId="967" totalsRowDxfId="966"/>
    <tableColumn id="46" uniqueName="46" name="'Agriculture'" totalsRowFunction="sum" queryTableFieldId="49" dataDxfId="965" totalsRowDxfId="964"/>
    <tableColumn id="8" uniqueName="8" name="Total Régions" totalsRowFunction="sum" queryTableFieldId="100" dataDxfId="963" totalsRowDxfId="962">
      <calculatedColumnFormula>Tableau_Lancer_la_requête_à_partir_de_Excel_Files10256[[#This Row],[''ALPC'']]+Tableau_Lancer_la_requête_à_partir_de_Excel_Files10256[[#This Row],[''AURA'']]+Tableau_Lancer_la_requête_à_partir_de_Excel_Files10256[[#This Row],[''BFC'']]+Tableau_Lancer_la_requête_à_partir_de_Excel_Files10256[[#This Row],[''LRMP'']]</calculatedColumnFormula>
    </tableColumn>
    <tableColumn id="48" uniqueName="48" name="'ALPC'" totalsRowFunction="sum" queryTableFieldId="51" dataDxfId="961" totalsRowDxfId="960"/>
    <tableColumn id="49" uniqueName="49" name="'AURA'" totalsRowFunction="sum" queryTableFieldId="52" dataDxfId="959" totalsRowDxfId="958"/>
    <tableColumn id="78" uniqueName="78" name="'BFC'" totalsRowFunction="sum" queryTableFieldId="81" dataDxfId="957" totalsRowDxfId="956"/>
    <tableColumn id="79" uniqueName="79" name="'LRMP'" totalsRowFunction="sum" queryTableFieldId="82" dataDxfId="955" totalsRowDxfId="954"/>
    <tableColumn id="9" uniqueName="9" name="Total Dpts" totalsRowFunction="sum" queryTableFieldId="101" dataDxfId="953" totalsRowDxfId="952">
      <calculatedColumnFormula>Tableau_Lancer_la_requête_à_partir_de_Excel_Files10256[[#This Row],[''03'']]+Tableau_Lancer_la_requête_à_partir_de_Excel_Files10256[[#This Row],[''07'']]+Tableau_Lancer_la_requête_à_partir_de_Excel_Files10256[[#This Row],[''11'']]+Tableau_Lancer_la_requête_à_partir_de_Excel_Files10256[[#This Row],[''12'']]+Tableau_Lancer_la_requête_à_partir_de_Excel_Files10256[[#This Row],[''15'']]+Tableau_Lancer_la_requête_à_partir_de_Excel_Files10256[[#This Row],[''19'']]+Tableau_Lancer_la_requête_à_partir_de_Excel_Files10256[[#This Row],[''21'']]+Tableau_Lancer_la_requête_à_partir_de_Excel_Files10256[[#This Row],[''23'']]+Tableau_Lancer_la_requête_à_partir_de_Excel_Files10256[[#This Row],[''30'']]+Tableau_Lancer_la_requête_à_partir_de_Excel_Files10256[[#This Row],[''34'']]+Tableau_Lancer_la_requête_à_partir_de_Excel_Files10256[[#This Row],[''42'']]+Tableau_Lancer_la_requête_à_partir_de_Excel_Files10256[[#This Row],[''43'']]+Tableau_Lancer_la_requête_à_partir_de_Excel_Files10256[[#This Row],[''46'']]+Tableau_Lancer_la_requête_à_partir_de_Excel_Files10256[[#This Row],[''48'']]+Tableau_Lancer_la_requête_à_partir_de_Excel_Files10256[[#This Row],[''58'']]+Tableau_Lancer_la_requête_à_partir_de_Excel_Files10256[[#This Row],[''63'']]+Tableau_Lancer_la_requête_à_partir_de_Excel_Files10256[[#This Row],[''69'']]+Tableau_Lancer_la_requête_à_partir_de_Excel_Files10256[[#This Row],[''71'']]+Tableau_Lancer_la_requête_à_partir_de_Excel_Files10256[[#This Row],[''81'']]+Tableau_Lancer_la_requête_à_partir_de_Excel_Files10256[[#This Row],[''82'']]+Tableau_Lancer_la_requête_à_partir_de_Excel_Files10256[[#This Row],[''87'']]+Tableau_Lancer_la_requête_à_partir_de_Excel_Files10256[[#This Row],[''89'']]</calculatedColumnFormula>
    </tableColumn>
    <tableColumn id="53" uniqueName="53" name="'03'" totalsRowFunction="sum" queryTableFieldId="56" dataDxfId="951" totalsRowDxfId="950"/>
    <tableColumn id="54" uniqueName="54" name="'07'" totalsRowFunction="sum" queryTableFieldId="57" dataDxfId="949" totalsRowDxfId="948"/>
    <tableColumn id="55" uniqueName="55" name="'11'" totalsRowFunction="sum" queryTableFieldId="58" dataDxfId="947" totalsRowDxfId="946"/>
    <tableColumn id="56" uniqueName="56" name="'12'" totalsRowFunction="sum" queryTableFieldId="59" dataDxfId="945" totalsRowDxfId="944"/>
    <tableColumn id="57" uniqueName="57" name="'15'" totalsRowFunction="sum" queryTableFieldId="60" dataDxfId="943" totalsRowDxfId="942"/>
    <tableColumn id="58" uniqueName="58" name="'19'" totalsRowFunction="sum" queryTableFieldId="61" dataDxfId="941" totalsRowDxfId="940"/>
    <tableColumn id="59" uniqueName="59" name="'21'" totalsRowFunction="sum" queryTableFieldId="62" dataDxfId="939" totalsRowDxfId="938"/>
    <tableColumn id="80" uniqueName="80" name="'23'" totalsRowFunction="sum" queryTableFieldId="85" dataDxfId="937" totalsRowDxfId="936"/>
    <tableColumn id="60" uniqueName="60" name="'30'" totalsRowFunction="sum" queryTableFieldId="63" dataDxfId="935" totalsRowDxfId="934"/>
    <tableColumn id="61" uniqueName="61" name="'34'" totalsRowFunction="sum" queryTableFieldId="64" dataDxfId="933" totalsRowDxfId="932"/>
    <tableColumn id="62" uniqueName="62" name="'42'" totalsRowFunction="sum" queryTableFieldId="65" dataDxfId="931" totalsRowDxfId="930"/>
    <tableColumn id="63" uniqueName="63" name="'43'" totalsRowFunction="sum" queryTableFieldId="66" dataDxfId="929" totalsRowDxfId="928"/>
    <tableColumn id="64" uniqueName="64" name="'46'" totalsRowFunction="sum" queryTableFieldId="67" dataDxfId="927" totalsRowDxfId="926"/>
    <tableColumn id="65" uniqueName="65" name="'48'" totalsRowFunction="sum" queryTableFieldId="68" dataDxfId="925" totalsRowDxfId="924"/>
    <tableColumn id="66" uniqueName="66" name="'58'" totalsRowFunction="sum" queryTableFieldId="69" dataDxfId="923" totalsRowDxfId="922"/>
    <tableColumn id="67" uniqueName="67" name="'63'" totalsRowFunction="sum" queryTableFieldId="70" dataDxfId="921" totalsRowDxfId="920"/>
    <tableColumn id="68" uniqueName="68" name="'69'" totalsRowFunction="sum" queryTableFieldId="71" dataDxfId="919" totalsRowDxfId="918"/>
    <tableColumn id="69" uniqueName="69" name="'71'" totalsRowFunction="sum" queryTableFieldId="72" dataDxfId="917" totalsRowDxfId="916"/>
    <tableColumn id="70" uniqueName="70" name="'81'" totalsRowFunction="sum" queryTableFieldId="73" dataDxfId="915" totalsRowDxfId="914"/>
    <tableColumn id="71" uniqueName="71" name="'82'" totalsRowFunction="sum" queryTableFieldId="74" dataDxfId="913" totalsRowDxfId="912"/>
    <tableColumn id="72" uniqueName="72" name="'87'" totalsRowFunction="sum" queryTableFieldId="75" dataDxfId="911" totalsRowDxfId="910"/>
    <tableColumn id="73" uniqueName="73" name="'89'" totalsRowFunction="sum" queryTableFieldId="76" dataDxfId="909" totalsRowDxfId="908"/>
    <tableColumn id="76" uniqueName="76" name="'Autre Public'" totalsRowFunction="sum" queryTableFieldId="79" dataDxfId="907" totalsRowDxfId="906"/>
    <tableColumn id="35" uniqueName="35" name="Avis Cofimac" queryTableFieldId="35" dataDxfId="905" totalsRowDxfId="904"/>
    <tableColumn id="4" uniqueName="4" name="Avis Prog" queryTableFieldId="95" dataDxfId="903" totalsRowDxfId="90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14" name="Tableau_Lancer_la_requête_à_partir_de_Excel_Files1025615" displayName="Tableau_Lancer_la_requête_à_partir_de_Excel_Files1025615" ref="A6:AT12" tableType="queryTable" totalsRowCount="1" headerRowDxfId="896" dataDxfId="895" totalsRowDxfId="894">
  <autoFilter ref="A6:AT11"/>
  <sortState ref="C7:AV11">
    <sortCondition ref="C6:C18"/>
  </sortState>
  <tableColumns count="46">
    <tableColumn id="6" uniqueName="6" name="Programme" queryTableFieldId="108" dataDxfId="893" totalsRowDxfId="91"/>
    <tableColumn id="10" uniqueName="10" name="Axe" queryTableFieldId="109" dataDxfId="892" totalsRowDxfId="90"/>
    <tableColumn id="1" uniqueName="1" name="ID_Synergie" totalsRowLabel="Total" queryTableFieldId="1" dataDxfId="891" totalsRowDxfId="89"/>
    <tableColumn id="2" uniqueName="2" name="Nom_MO" totalsRowFunction="count" queryTableFieldId="2" dataDxfId="890" totalsRowDxfId="88"/>
    <tableColumn id="3" uniqueName="3" name="Intitule_Operation" queryTableFieldId="3" dataDxfId="889" totalsRowDxfId="87"/>
    <tableColumn id="43" uniqueName="43" name="'Coût total éligible'" totalsRowFunction="sum" queryTableFieldId="46" dataDxfId="888" totalsRowDxfId="86"/>
    <tableColumn id="39" uniqueName="39" name="Aide _x000a_publique" totalsRowFunction="sum" queryTableFieldId="42" dataDxfId="887" totalsRowDxfId="85">
      <calculatedColumnFormula>Tableau_Lancer_la_requête_à_partir_de_Excel_Files1025615[[#This Row],[Aide Massif]]+Tableau_Lancer_la_requête_à_partir_de_Excel_Files1025615[[#This Row],[''Autre Public'']]</calculatedColumnFormula>
    </tableColumn>
    <tableColumn id="81" uniqueName="81" name="Tx Aide publique" queryTableFieldId="92" dataDxfId="886" totalsRowDxfId="84">
      <calculatedColumnFormula>Tableau_Lancer_la_requête_à_partir_de_Excel_Files1025615[[#This Row],[Aide 
publique]]/Tableau_Lancer_la_requête_à_partir_de_Excel_Files1025615[[#This Row],[''Coût total éligible'']]</calculatedColumnFormula>
    </tableColumn>
    <tableColumn id="40" uniqueName="40" name="Aide Massif" totalsRowFunction="sum" queryTableFieldId="43" dataDxfId="885" totalsRowDxfId="83">
      <calculatedColumnFormula>Tableau_Lancer_la_requête_à_partir_de_Excel_Files1025615[[#This Row],[''FEDER'']]+Tableau_Lancer_la_requête_à_partir_de_Excel_Files1025615[[#This Row],[Total Etat]]+Tableau_Lancer_la_requête_à_partir_de_Excel_Files1025615[[#This Row],[Total Régions]]+Tableau_Lancer_la_requête_à_partir_de_Excel_Files1025615[[#This Row],[Total Dpts]]</calculatedColumnFormula>
    </tableColumn>
    <tableColumn id="82" uniqueName="82" name="Tx_x000a_Aide Massif" queryTableFieldId="93" dataDxfId="884" totalsRowDxfId="82">
      <calculatedColumnFormula>Tableau_Lancer_la_requête_à_partir_de_Excel_Files1025615[[#This Row],[Aide Massif]]/Tableau_Lancer_la_requête_à_partir_de_Excel_Files1025615[[#This Row],[''Coût total éligible'']]</calculatedColumnFormula>
    </tableColumn>
    <tableColumn id="75" uniqueName="75" name="'FEDER'" totalsRowFunction="sum" queryTableFieldId="78" dataDxfId="883" totalsRowDxfId="81"/>
    <tableColumn id="7" uniqueName="7" name="Total Etat" totalsRowFunction="sum" queryTableFieldId="99" dataDxfId="882" totalsRowDxfId="80">
      <calculatedColumnFormula>Tableau_Lancer_la_requête_à_partir_de_Excel_Files1025615[[#This Row],[''FNADT '']]+Tableau_Lancer_la_requête_à_partir_de_Excel_Files1025615[[#This Row],[''Agriculture'']]</calculatedColumnFormula>
    </tableColumn>
    <tableColumn id="11" uniqueName="11" name="'FNADT '" queryTableFieldId="104" dataDxfId="881" totalsRowDxfId="79"/>
    <tableColumn id="46" uniqueName="46" name="'Agriculture'" totalsRowFunction="sum" queryTableFieldId="49" dataDxfId="880" totalsRowDxfId="78"/>
    <tableColumn id="8" uniqueName="8" name="Total Régions" totalsRowFunction="sum" queryTableFieldId="100" dataDxfId="879" totalsRowDxfId="77">
      <calculatedColumnFormula>Tableau_Lancer_la_requête_à_partir_de_Excel_Files1025615[[#This Row],[''ALPC'']]+Tableau_Lancer_la_requête_à_partir_de_Excel_Files1025615[[#This Row],[''AURA'']]+Tableau_Lancer_la_requête_à_partir_de_Excel_Files1025615[[#This Row],[''BFC'']]+Tableau_Lancer_la_requête_à_partir_de_Excel_Files1025615[[#This Row],[''LRMP'']]</calculatedColumnFormula>
    </tableColumn>
    <tableColumn id="48" uniqueName="48" name="'ALPC'" totalsRowFunction="sum" queryTableFieldId="51" dataDxfId="878" totalsRowDxfId="76"/>
    <tableColumn id="49" uniqueName="49" name="'AURA'" totalsRowFunction="sum" queryTableFieldId="52" dataDxfId="877" totalsRowDxfId="75"/>
    <tableColumn id="78" uniqueName="78" name="'BFC'" totalsRowFunction="sum" queryTableFieldId="81" dataDxfId="876" totalsRowDxfId="74"/>
    <tableColumn id="79" uniqueName="79" name="'LRMP'" totalsRowFunction="sum" queryTableFieldId="82" dataDxfId="875" totalsRowDxfId="73"/>
    <tableColumn id="9" uniqueName="9" name="Total Dpts" totalsRowFunction="sum" queryTableFieldId="101" dataDxfId="874" totalsRowDxfId="72">
      <calculatedColumnFormula>Tableau_Lancer_la_requête_à_partir_de_Excel_Files1025615[[#This Row],[''03'']]+Tableau_Lancer_la_requête_à_partir_de_Excel_Files1025615[[#This Row],[''07'']]+Tableau_Lancer_la_requête_à_partir_de_Excel_Files1025615[[#This Row],[''11'']]+Tableau_Lancer_la_requête_à_partir_de_Excel_Files1025615[[#This Row],[''12'']]+Tableau_Lancer_la_requête_à_partir_de_Excel_Files1025615[[#This Row],[''15'']]+Tableau_Lancer_la_requête_à_partir_de_Excel_Files1025615[[#This Row],[''19'']]+Tableau_Lancer_la_requête_à_partir_de_Excel_Files1025615[[#This Row],[''21'']]+Tableau_Lancer_la_requête_à_partir_de_Excel_Files1025615[[#This Row],[''23'']]+Tableau_Lancer_la_requête_à_partir_de_Excel_Files1025615[[#This Row],[''30'']]+Tableau_Lancer_la_requête_à_partir_de_Excel_Files1025615[[#This Row],[''34'']]+Tableau_Lancer_la_requête_à_partir_de_Excel_Files1025615[[#This Row],[''42'']]+Tableau_Lancer_la_requête_à_partir_de_Excel_Files1025615[[#This Row],[''43'']]+Tableau_Lancer_la_requête_à_partir_de_Excel_Files1025615[[#This Row],[''46'']]+Tableau_Lancer_la_requête_à_partir_de_Excel_Files1025615[[#This Row],[''48'']]+Tableau_Lancer_la_requête_à_partir_de_Excel_Files1025615[[#This Row],[''58'']]+Tableau_Lancer_la_requête_à_partir_de_Excel_Files1025615[[#This Row],[''63'']]+Tableau_Lancer_la_requête_à_partir_de_Excel_Files1025615[[#This Row],[''69'']]+Tableau_Lancer_la_requête_à_partir_de_Excel_Files1025615[[#This Row],[''71'']]+Tableau_Lancer_la_requête_à_partir_de_Excel_Files1025615[[#This Row],[''81'']]+Tableau_Lancer_la_requête_à_partir_de_Excel_Files1025615[[#This Row],[''82'']]+Tableau_Lancer_la_requête_à_partir_de_Excel_Files1025615[[#This Row],[''87'']]+Tableau_Lancer_la_requête_à_partir_de_Excel_Files1025615[[#This Row],[''89'']]</calculatedColumnFormula>
    </tableColumn>
    <tableColumn id="53" uniqueName="53" name="'03'" totalsRowFunction="sum" queryTableFieldId="56" dataDxfId="873" totalsRowDxfId="71"/>
    <tableColumn id="54" uniqueName="54" name="'07'" totalsRowFunction="sum" queryTableFieldId="57" dataDxfId="872" totalsRowDxfId="70"/>
    <tableColumn id="55" uniqueName="55" name="'11'" totalsRowFunction="sum" queryTableFieldId="58" dataDxfId="871" totalsRowDxfId="69"/>
    <tableColumn id="56" uniqueName="56" name="'12'" totalsRowFunction="sum" queryTableFieldId="59" dataDxfId="870" totalsRowDxfId="68"/>
    <tableColumn id="57" uniqueName="57" name="'15'" totalsRowFunction="sum" queryTableFieldId="60" dataDxfId="869" totalsRowDxfId="67"/>
    <tableColumn id="58" uniqueName="58" name="'19'" totalsRowFunction="sum" queryTableFieldId="61" dataDxfId="868" totalsRowDxfId="66"/>
    <tableColumn id="59" uniqueName="59" name="'21'" totalsRowFunction="sum" queryTableFieldId="62" dataDxfId="867" totalsRowDxfId="65"/>
    <tableColumn id="80" uniqueName="80" name="'23'" totalsRowFunction="sum" queryTableFieldId="85" dataDxfId="866" totalsRowDxfId="64"/>
    <tableColumn id="60" uniqueName="60" name="'30'" totalsRowFunction="sum" queryTableFieldId="63" dataDxfId="865" totalsRowDxfId="63"/>
    <tableColumn id="61" uniqueName="61" name="'34'" totalsRowFunction="sum" queryTableFieldId="64" dataDxfId="864" totalsRowDxfId="62"/>
    <tableColumn id="62" uniqueName="62" name="'42'" totalsRowFunction="sum" queryTableFieldId="65" dataDxfId="863" totalsRowDxfId="61"/>
    <tableColumn id="63" uniqueName="63" name="'43'" totalsRowFunction="sum" queryTableFieldId="66" dataDxfId="862" totalsRowDxfId="60"/>
    <tableColumn id="64" uniqueName="64" name="'46'" totalsRowFunction="sum" queryTableFieldId="67" dataDxfId="861" totalsRowDxfId="59"/>
    <tableColumn id="65" uniqueName="65" name="'48'" totalsRowFunction="sum" queryTableFieldId="68" dataDxfId="860" totalsRowDxfId="58"/>
    <tableColumn id="66" uniqueName="66" name="'58'" totalsRowFunction="sum" queryTableFieldId="69" dataDxfId="859" totalsRowDxfId="57"/>
    <tableColumn id="67" uniqueName="67" name="'63'" totalsRowFunction="sum" queryTableFieldId="70" dataDxfId="858" totalsRowDxfId="56"/>
    <tableColumn id="68" uniqueName="68" name="'69'" totalsRowFunction="sum" queryTableFieldId="71" dataDxfId="857" totalsRowDxfId="55"/>
    <tableColumn id="69" uniqueName="69" name="'71'" totalsRowFunction="sum" queryTableFieldId="72" dataDxfId="856" totalsRowDxfId="54"/>
    <tableColumn id="70" uniqueName="70" name="'81'" totalsRowFunction="sum" queryTableFieldId="73" dataDxfId="855" totalsRowDxfId="53"/>
    <tableColumn id="71" uniqueName="71" name="'82'" totalsRowFunction="sum" queryTableFieldId="74" dataDxfId="854" totalsRowDxfId="52"/>
    <tableColumn id="72" uniqueName="72" name="'87'" totalsRowFunction="sum" queryTableFieldId="75" dataDxfId="853" totalsRowDxfId="51"/>
    <tableColumn id="73" uniqueName="73" name="'89'" totalsRowFunction="sum" queryTableFieldId="76" dataDxfId="852" totalsRowDxfId="50"/>
    <tableColumn id="76" uniqueName="76" name="'Autre Public'" totalsRowFunction="sum" queryTableFieldId="79" dataDxfId="851" totalsRowDxfId="49"/>
    <tableColumn id="35" uniqueName="35" name="Avis Cofimac" queryTableFieldId="35" dataDxfId="850" totalsRowDxfId="48"/>
    <tableColumn id="4" uniqueName="4" name="Avis Prog" queryTableFieldId="95" dataDxfId="849" totalsRowDxfId="47"/>
    <tableColumn id="5" uniqueName="5" name="Date début operation" queryTableFieldId="107" dataDxfId="848" totalsRowDxfId="46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table" Target="../tables/table1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table" Target="../tables/table17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100"/>
  <sheetViews>
    <sheetView view="pageBreakPreview" zoomScale="80" zoomScaleNormal="60" zoomScaleSheetLayoutView="80" workbookViewId="0">
      <selection activeCell="C1" sqref="C1"/>
    </sheetView>
  </sheetViews>
  <sheetFormatPr baseColWidth="10" defaultRowHeight="15" outlineLevelCol="1" x14ac:dyDescent="0.25"/>
  <cols>
    <col min="1" max="1" width="13.85546875" style="3" customWidth="1"/>
    <col min="2" max="2" width="35" style="4" customWidth="1"/>
    <col min="3" max="3" width="48" style="5" customWidth="1"/>
    <col min="4" max="4" width="14.85546875" style="3" bestFit="1" customWidth="1"/>
    <col min="5" max="5" width="14" style="3" customWidth="1"/>
    <col min="6" max="6" width="12" style="6" customWidth="1"/>
    <col min="7" max="7" width="16" style="3" bestFit="1" customWidth="1"/>
    <col min="8" max="8" width="11.28515625" style="6" customWidth="1"/>
    <col min="9" max="9" width="13.85546875" style="3" bestFit="1" customWidth="1"/>
    <col min="10" max="10" width="15" style="3" bestFit="1" customWidth="1"/>
    <col min="11" max="11" width="5.7109375" style="3" hidden="1" customWidth="1" outlineLevel="1"/>
    <col min="12" max="12" width="5.42578125" style="3" hidden="1" customWidth="1" outlineLevel="1"/>
    <col min="13" max="13" width="13.7109375" style="3" bestFit="1" customWidth="1" collapsed="1"/>
    <col min="14" max="14" width="11.140625" style="3" hidden="1" customWidth="1" outlineLevel="1"/>
    <col min="15" max="15" width="11.85546875" style="3" hidden="1" customWidth="1" outlineLevel="1"/>
    <col min="16" max="16" width="10" style="3" hidden="1" customWidth="1" outlineLevel="1"/>
    <col min="17" max="17" width="11.7109375" style="3" hidden="1" customWidth="1" outlineLevel="1"/>
    <col min="18" max="18" width="16.140625" style="3" bestFit="1" customWidth="1" collapsed="1"/>
    <col min="19" max="40" width="8.7109375" style="3" hidden="1" customWidth="1" outlineLevel="1"/>
    <col min="41" max="41" width="12.28515625" style="3" customWidth="1" collapsed="1"/>
    <col min="42" max="43" width="11.5703125" style="3" customWidth="1"/>
    <col min="44" max="44" width="15.42578125" style="4" bestFit="1" customWidth="1"/>
    <col min="45" max="45" width="3.42578125" style="3" customWidth="1"/>
    <col min="46" max="46" width="69" style="4" customWidth="1"/>
    <col min="47" max="47" width="15.42578125" style="3" bestFit="1" customWidth="1"/>
    <col min="48" max="48" width="17.28515625" style="3" bestFit="1" customWidth="1"/>
    <col min="49" max="49" width="9.42578125" style="3" customWidth="1"/>
    <col min="50" max="64" width="9.7109375" style="3" customWidth="1"/>
    <col min="65" max="65" width="15.140625" style="3" customWidth="1"/>
    <col min="66" max="66" width="14.5703125" style="3" customWidth="1"/>
    <col min="67" max="67" width="18.5703125" style="3" customWidth="1"/>
    <col min="68" max="68" width="12.5703125" style="3" customWidth="1"/>
    <col min="69" max="69" width="20.42578125" style="3" customWidth="1"/>
    <col min="70" max="70" width="12.7109375" style="3" customWidth="1"/>
    <col min="71" max="71" width="9.28515625" style="3" customWidth="1"/>
    <col min="72" max="72" width="14.28515625" style="3" customWidth="1"/>
    <col min="73" max="73" width="11.42578125" style="3" customWidth="1"/>
    <col min="74" max="74" width="9" style="3" customWidth="1"/>
    <col min="75" max="75" width="9.5703125" style="3" customWidth="1"/>
    <col min="76" max="76" width="11" style="3" customWidth="1"/>
    <col min="77" max="77" width="12.7109375" style="3" customWidth="1"/>
    <col min="78" max="80" width="9.7109375" style="3" customWidth="1"/>
    <col min="81" max="81" width="15.140625" style="3" customWidth="1"/>
    <col min="82" max="82" width="17.28515625" style="3" customWidth="1"/>
    <col min="83" max="83" width="49.28515625" style="4" customWidth="1"/>
    <col min="84" max="84" width="17.28515625" style="3" customWidth="1"/>
    <col min="85" max="16384" width="11.42578125" style="3"/>
  </cols>
  <sheetData>
    <row r="1" spans="1:46" ht="18.75" x14ac:dyDescent="0.3">
      <c r="B1" s="21" t="s">
        <v>73</v>
      </c>
      <c r="C1" s="22">
        <f>Feuil1!A2</f>
        <v>42832</v>
      </c>
    </row>
    <row r="6" spans="1:46" x14ac:dyDescent="0.25">
      <c r="A6" s="1" t="s">
        <v>90</v>
      </c>
      <c r="B6" s="2"/>
    </row>
    <row r="7" spans="1:46" s="7" customFormat="1" ht="45" x14ac:dyDescent="0.25">
      <c r="A7" s="7" t="s">
        <v>7</v>
      </c>
      <c r="B7" s="7" t="s">
        <v>1</v>
      </c>
      <c r="C7" s="7" t="s">
        <v>2</v>
      </c>
      <c r="D7" s="7" t="s">
        <v>50</v>
      </c>
      <c r="E7" s="7" t="s">
        <v>52</v>
      </c>
      <c r="F7" s="7" t="s">
        <v>51</v>
      </c>
      <c r="G7" s="7" t="s">
        <v>48</v>
      </c>
      <c r="H7" s="7" t="s">
        <v>53</v>
      </c>
      <c r="I7" s="7" t="s">
        <v>42</v>
      </c>
      <c r="J7" s="7" t="s">
        <v>63</v>
      </c>
      <c r="K7" s="7" t="s">
        <v>67</v>
      </c>
      <c r="L7" s="7" t="s">
        <v>15</v>
      </c>
      <c r="M7" s="7" t="s">
        <v>64</v>
      </c>
      <c r="N7" s="7" t="s">
        <v>18</v>
      </c>
      <c r="O7" s="7" t="s">
        <v>16</v>
      </c>
      <c r="P7" s="7" t="s">
        <v>17</v>
      </c>
      <c r="Q7" s="7" t="s">
        <v>19</v>
      </c>
      <c r="R7" s="7" t="s">
        <v>65</v>
      </c>
      <c r="S7" s="7" t="s">
        <v>20</v>
      </c>
      <c r="T7" s="7" t="s">
        <v>21</v>
      </c>
      <c r="U7" s="7" t="s">
        <v>22</v>
      </c>
      <c r="V7" s="7" t="s">
        <v>23</v>
      </c>
      <c r="W7" s="7" t="s">
        <v>24</v>
      </c>
      <c r="X7" s="7" t="s">
        <v>25</v>
      </c>
      <c r="Y7" s="7" t="s">
        <v>26</v>
      </c>
      <c r="Z7" s="7" t="s">
        <v>27</v>
      </c>
      <c r="AA7" s="7" t="s">
        <v>28</v>
      </c>
      <c r="AB7" s="7" t="s">
        <v>29</v>
      </c>
      <c r="AC7" s="7" t="s">
        <v>30</v>
      </c>
      <c r="AD7" s="7" t="s">
        <v>31</v>
      </c>
      <c r="AE7" s="7" t="s">
        <v>32</v>
      </c>
      <c r="AF7" s="7" t="s">
        <v>33</v>
      </c>
      <c r="AG7" s="7" t="s">
        <v>34</v>
      </c>
      <c r="AH7" s="7" t="s">
        <v>35</v>
      </c>
      <c r="AI7" s="7" t="s">
        <v>36</v>
      </c>
      <c r="AJ7" s="7" t="s">
        <v>37</v>
      </c>
      <c r="AK7" s="7" t="s">
        <v>38</v>
      </c>
      <c r="AL7" s="7" t="s">
        <v>39</v>
      </c>
      <c r="AM7" s="7" t="s">
        <v>40</v>
      </c>
      <c r="AN7" s="7" t="s">
        <v>41</v>
      </c>
      <c r="AO7" s="7" t="s">
        <v>43</v>
      </c>
      <c r="AP7" s="7" t="s">
        <v>47</v>
      </c>
      <c r="AQ7" s="7" t="s">
        <v>88</v>
      </c>
      <c r="AR7" s="17" t="s">
        <v>54</v>
      </c>
      <c r="AT7" s="30" t="s">
        <v>62</v>
      </c>
    </row>
    <row r="8" spans="1:46" s="10" customFormat="1" x14ac:dyDescent="0.25">
      <c r="A8" s="13"/>
      <c r="B8" s="12"/>
      <c r="C8" s="12"/>
      <c r="D8" s="15"/>
      <c r="E8" s="15"/>
      <c r="F8" s="16"/>
      <c r="G8" s="15"/>
      <c r="H8" s="16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1"/>
      <c r="AQ8" s="57"/>
      <c r="AR8" s="12"/>
      <c r="AT8" s="58"/>
    </row>
    <row r="9" spans="1:46" s="10" customFormat="1" ht="62.25" customHeight="1" x14ac:dyDescent="0.25">
      <c r="A9" s="105" t="s">
        <v>8</v>
      </c>
      <c r="B9" s="106">
        <f>SUBTOTAL(103,Tableau_Lancer_la_requête_à_partir_de_Excel_Files1025678911[Nom_MO])</f>
        <v>0</v>
      </c>
      <c r="C9" s="106"/>
      <c r="D9" s="107">
        <f>SUBTOTAL(109,Tableau_Lancer_la_requête_à_partir_de_Excel_Files1025678911[''Coût total éligible''])</f>
        <v>0</v>
      </c>
      <c r="E9" s="107">
        <f>SUBTOTAL(109,Tableau_Lancer_la_requête_à_partir_de_Excel_Files1025678911[Aide 
publique])</f>
        <v>0</v>
      </c>
      <c r="F9" s="108"/>
      <c r="G9" s="107">
        <f>SUBTOTAL(109,Tableau_Lancer_la_requête_à_partir_de_Excel_Files1025678911[Aide Massif])</f>
        <v>0</v>
      </c>
      <c r="H9" s="108"/>
      <c r="I9" s="107">
        <f>SUBTOTAL(109,Tableau_Lancer_la_requête_à_partir_de_Excel_Files1025678911[''FEDER''])</f>
        <v>0</v>
      </c>
      <c r="J9" s="107">
        <f>SUBTOTAL(109,Tableau_Lancer_la_requête_à_partir_de_Excel_Files1025678911[Total Etat])</f>
        <v>0</v>
      </c>
      <c r="K9" s="105"/>
      <c r="L9" s="107">
        <f>SUBTOTAL(109,Tableau_Lancer_la_requête_à_partir_de_Excel_Files1025678911[''Agriculture''])</f>
        <v>0</v>
      </c>
      <c r="M9" s="107">
        <f>SUBTOTAL(109,Tableau_Lancer_la_requête_à_partir_de_Excel_Files1025678911[Total Régions])</f>
        <v>0</v>
      </c>
      <c r="N9" s="107">
        <f>SUBTOTAL(109,Tableau_Lancer_la_requête_à_partir_de_Excel_Files1025678911[''ALPC''])</f>
        <v>0</v>
      </c>
      <c r="O9" s="107">
        <f>SUBTOTAL(109,Tableau_Lancer_la_requête_à_partir_de_Excel_Files1025678911[''AURA''])</f>
        <v>0</v>
      </c>
      <c r="P9" s="107">
        <f>SUBTOTAL(109,Tableau_Lancer_la_requête_à_partir_de_Excel_Files1025678911[''BFC''])</f>
        <v>0</v>
      </c>
      <c r="Q9" s="107">
        <f>SUBTOTAL(109,Tableau_Lancer_la_requête_à_partir_de_Excel_Files1025678911[''LRMP''])</f>
        <v>0</v>
      </c>
      <c r="R9" s="107">
        <f>SUBTOTAL(109,Tableau_Lancer_la_requête_à_partir_de_Excel_Files1025678911[Total Dpts])</f>
        <v>0</v>
      </c>
      <c r="S9" s="107">
        <f>SUBTOTAL(109,Tableau_Lancer_la_requête_à_partir_de_Excel_Files1025678911[''03''])</f>
        <v>0</v>
      </c>
      <c r="T9" s="107">
        <f>SUBTOTAL(109,Tableau_Lancer_la_requête_à_partir_de_Excel_Files1025678911[''07''])</f>
        <v>0</v>
      </c>
      <c r="U9" s="107">
        <f>SUBTOTAL(109,Tableau_Lancer_la_requête_à_partir_de_Excel_Files1025678911[''11''])</f>
        <v>0</v>
      </c>
      <c r="V9" s="107">
        <f>SUBTOTAL(109,Tableau_Lancer_la_requête_à_partir_de_Excel_Files1025678911[''12''])</f>
        <v>0</v>
      </c>
      <c r="W9" s="107">
        <f>SUBTOTAL(109,Tableau_Lancer_la_requête_à_partir_de_Excel_Files1025678911[''15''])</f>
        <v>0</v>
      </c>
      <c r="X9" s="107">
        <f>SUBTOTAL(109,Tableau_Lancer_la_requête_à_partir_de_Excel_Files1025678911[''19''])</f>
        <v>0</v>
      </c>
      <c r="Y9" s="107">
        <f>SUBTOTAL(109,Tableau_Lancer_la_requête_à_partir_de_Excel_Files1025678911[''21''])</f>
        <v>0</v>
      </c>
      <c r="Z9" s="107">
        <f>SUBTOTAL(109,Tableau_Lancer_la_requête_à_partir_de_Excel_Files1025678911[''23''])</f>
        <v>0</v>
      </c>
      <c r="AA9" s="107">
        <f>SUBTOTAL(109,Tableau_Lancer_la_requête_à_partir_de_Excel_Files1025678911[''30''])</f>
        <v>0</v>
      </c>
      <c r="AB9" s="107">
        <f>SUBTOTAL(109,Tableau_Lancer_la_requête_à_partir_de_Excel_Files1025678911[''34''])</f>
        <v>0</v>
      </c>
      <c r="AC9" s="107">
        <f>SUBTOTAL(109,Tableau_Lancer_la_requête_à_partir_de_Excel_Files1025678911[''42''])</f>
        <v>0</v>
      </c>
      <c r="AD9" s="107">
        <f>SUBTOTAL(109,Tableau_Lancer_la_requête_à_partir_de_Excel_Files1025678911[''43''])</f>
        <v>0</v>
      </c>
      <c r="AE9" s="107">
        <f>SUBTOTAL(109,Tableau_Lancer_la_requête_à_partir_de_Excel_Files1025678911[''46''])</f>
        <v>0</v>
      </c>
      <c r="AF9" s="107">
        <f>SUBTOTAL(109,Tableau_Lancer_la_requête_à_partir_de_Excel_Files1025678911[''48''])</f>
        <v>0</v>
      </c>
      <c r="AG9" s="107">
        <f>SUBTOTAL(109,Tableau_Lancer_la_requête_à_partir_de_Excel_Files1025678911[''58''])</f>
        <v>0</v>
      </c>
      <c r="AH9" s="107">
        <f>SUBTOTAL(109,Tableau_Lancer_la_requête_à_partir_de_Excel_Files1025678911[''63''])</f>
        <v>0</v>
      </c>
      <c r="AI9" s="107">
        <f>SUBTOTAL(109,Tableau_Lancer_la_requête_à_partir_de_Excel_Files1025678911[''69''])</f>
        <v>0</v>
      </c>
      <c r="AJ9" s="107">
        <f>SUBTOTAL(109,Tableau_Lancer_la_requête_à_partir_de_Excel_Files1025678911[''71''])</f>
        <v>0</v>
      </c>
      <c r="AK9" s="107">
        <f>SUBTOTAL(109,Tableau_Lancer_la_requête_à_partir_de_Excel_Files1025678911[''81''])</f>
        <v>0</v>
      </c>
      <c r="AL9" s="107">
        <f>SUBTOTAL(109,Tableau_Lancer_la_requête_à_partir_de_Excel_Files1025678911[''82''])</f>
        <v>0</v>
      </c>
      <c r="AM9" s="107">
        <f>SUBTOTAL(109,Tableau_Lancer_la_requête_à_partir_de_Excel_Files1025678911[''87''])</f>
        <v>0</v>
      </c>
      <c r="AN9" s="107">
        <f>SUBTOTAL(109,Tableau_Lancer_la_requête_à_partir_de_Excel_Files1025678911[''89''])</f>
        <v>0</v>
      </c>
      <c r="AO9" s="107">
        <f>SUBTOTAL(109,Tableau_Lancer_la_requête_à_partir_de_Excel_Files1025678911[''Autre Public''])</f>
        <v>0</v>
      </c>
      <c r="AP9" s="105"/>
      <c r="AQ9" s="105"/>
      <c r="AR9" s="110"/>
      <c r="AT9" s="60"/>
    </row>
    <row r="10" spans="1:46" s="10" customFormat="1" ht="15.75" thickBot="1" x14ac:dyDescent="0.3">
      <c r="B10" s="5"/>
      <c r="C10" s="5"/>
      <c r="D10" s="52"/>
      <c r="E10" s="52"/>
      <c r="F10" s="53"/>
      <c r="G10" s="52"/>
      <c r="H10" s="53"/>
      <c r="I10" s="52"/>
      <c r="J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R10" s="4"/>
      <c r="AT10" s="58"/>
    </row>
    <row r="11" spans="1:46" s="10" customFormat="1" ht="15.75" thickTop="1" x14ac:dyDescent="0.25">
      <c r="B11" s="5"/>
      <c r="C11" s="5"/>
      <c r="D11" s="52"/>
      <c r="E11" s="52"/>
      <c r="F11" s="53"/>
      <c r="G11" s="52"/>
      <c r="H11" s="53"/>
      <c r="I11" s="52"/>
      <c r="J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R11" s="4"/>
      <c r="AT11" s="61"/>
    </row>
    <row r="12" spans="1:46" s="10" customFormat="1" x14ac:dyDescent="0.25">
      <c r="A12" s="1" t="s">
        <v>92</v>
      </c>
      <c r="B12" s="2"/>
      <c r="C12" s="5"/>
      <c r="D12" s="3"/>
      <c r="E12" s="3"/>
      <c r="F12" s="6"/>
      <c r="G12" s="3"/>
      <c r="H12" s="6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4"/>
      <c r="AT12" s="3"/>
    </row>
    <row r="13" spans="1:46" s="10" customFormat="1" ht="45" x14ac:dyDescent="0.25">
      <c r="A13" s="7" t="s">
        <v>7</v>
      </c>
      <c r="B13" s="7" t="s">
        <v>1</v>
      </c>
      <c r="C13" s="7" t="s">
        <v>2</v>
      </c>
      <c r="D13" s="7" t="s">
        <v>50</v>
      </c>
      <c r="E13" s="7" t="s">
        <v>52</v>
      </c>
      <c r="F13" s="7" t="s">
        <v>51</v>
      </c>
      <c r="G13" s="7" t="s">
        <v>48</v>
      </c>
      <c r="H13" s="7" t="s">
        <v>53</v>
      </c>
      <c r="I13" s="7" t="s">
        <v>42</v>
      </c>
      <c r="J13" s="7" t="s">
        <v>63</v>
      </c>
      <c r="K13" s="7" t="s">
        <v>67</v>
      </c>
      <c r="L13" s="7" t="s">
        <v>15</v>
      </c>
      <c r="M13" s="7" t="s">
        <v>64</v>
      </c>
      <c r="N13" s="7" t="s">
        <v>18</v>
      </c>
      <c r="O13" s="7" t="s">
        <v>16</v>
      </c>
      <c r="P13" s="7" t="s">
        <v>17</v>
      </c>
      <c r="Q13" s="7" t="s">
        <v>19</v>
      </c>
      <c r="R13" s="7" t="s">
        <v>65</v>
      </c>
      <c r="S13" s="7" t="s">
        <v>20</v>
      </c>
      <c r="T13" s="7" t="s">
        <v>21</v>
      </c>
      <c r="U13" s="7" t="s">
        <v>22</v>
      </c>
      <c r="V13" s="7" t="s">
        <v>23</v>
      </c>
      <c r="W13" s="7" t="s">
        <v>24</v>
      </c>
      <c r="X13" s="7" t="s">
        <v>25</v>
      </c>
      <c r="Y13" s="7" t="s">
        <v>26</v>
      </c>
      <c r="Z13" s="7" t="s">
        <v>27</v>
      </c>
      <c r="AA13" s="7" t="s">
        <v>28</v>
      </c>
      <c r="AB13" s="7" t="s">
        <v>29</v>
      </c>
      <c r="AC13" s="7" t="s">
        <v>30</v>
      </c>
      <c r="AD13" s="7" t="s">
        <v>31</v>
      </c>
      <c r="AE13" s="7" t="s">
        <v>32</v>
      </c>
      <c r="AF13" s="7" t="s">
        <v>33</v>
      </c>
      <c r="AG13" s="7" t="s">
        <v>34</v>
      </c>
      <c r="AH13" s="7" t="s">
        <v>35</v>
      </c>
      <c r="AI13" s="7" t="s">
        <v>36</v>
      </c>
      <c r="AJ13" s="7" t="s">
        <v>37</v>
      </c>
      <c r="AK13" s="7" t="s">
        <v>38</v>
      </c>
      <c r="AL13" s="7" t="s">
        <v>39</v>
      </c>
      <c r="AM13" s="7" t="s">
        <v>40</v>
      </c>
      <c r="AN13" s="7" t="s">
        <v>41</v>
      </c>
      <c r="AO13" s="7" t="s">
        <v>43</v>
      </c>
      <c r="AP13" s="7" t="s">
        <v>47</v>
      </c>
      <c r="AQ13" s="7" t="s">
        <v>88</v>
      </c>
      <c r="AR13" s="17" t="s">
        <v>54</v>
      </c>
      <c r="AT13" s="3"/>
    </row>
    <row r="14" spans="1:46" x14ac:dyDescent="0.25">
      <c r="A14" s="13"/>
      <c r="B14" s="12"/>
      <c r="C14" s="12"/>
      <c r="D14" s="15"/>
      <c r="E14" s="15"/>
      <c r="F14" s="16"/>
      <c r="G14" s="15"/>
      <c r="H14" s="16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1"/>
      <c r="AQ14" s="57"/>
      <c r="AR14" s="12"/>
      <c r="AT14" s="3"/>
    </row>
    <row r="15" spans="1:46" s="7" customFormat="1" x14ac:dyDescent="0.25">
      <c r="A15" s="105" t="s">
        <v>8</v>
      </c>
      <c r="B15" s="106">
        <f>SUBTOTAL(103,Tableau_Lancer_la_requête_à_partir_de_Excel_Files102567891113[Nom_MO])</f>
        <v>0</v>
      </c>
      <c r="C15" s="106"/>
      <c r="D15" s="107">
        <f>SUBTOTAL(109,Tableau_Lancer_la_requête_à_partir_de_Excel_Files102567891113[''Coût total éligible''])</f>
        <v>0</v>
      </c>
      <c r="E15" s="107">
        <f>SUBTOTAL(109,Tableau_Lancer_la_requête_à_partir_de_Excel_Files102567891113[Aide 
publique])</f>
        <v>0</v>
      </c>
      <c r="F15" s="108"/>
      <c r="G15" s="107">
        <f>SUBTOTAL(109,Tableau_Lancer_la_requête_à_partir_de_Excel_Files102567891113[Aide Massif])</f>
        <v>0</v>
      </c>
      <c r="H15" s="108"/>
      <c r="I15" s="107">
        <f>SUBTOTAL(109,Tableau_Lancer_la_requête_à_partir_de_Excel_Files102567891113[''FEDER''])</f>
        <v>0</v>
      </c>
      <c r="J15" s="107">
        <f>SUBTOTAL(109,Tableau_Lancer_la_requête_à_partir_de_Excel_Files102567891113[Total Etat])</f>
        <v>0</v>
      </c>
      <c r="K15" s="105"/>
      <c r="L15" s="107">
        <f>SUBTOTAL(109,Tableau_Lancer_la_requête_à_partir_de_Excel_Files102567891113[''Agriculture''])</f>
        <v>0</v>
      </c>
      <c r="M15" s="107">
        <f>SUBTOTAL(109,Tableau_Lancer_la_requête_à_partir_de_Excel_Files102567891113[Total Régions])</f>
        <v>0</v>
      </c>
      <c r="N15" s="107">
        <f>SUBTOTAL(109,Tableau_Lancer_la_requête_à_partir_de_Excel_Files102567891113[''ALPC''])</f>
        <v>0</v>
      </c>
      <c r="O15" s="107">
        <f>SUBTOTAL(109,Tableau_Lancer_la_requête_à_partir_de_Excel_Files102567891113[''AURA''])</f>
        <v>0</v>
      </c>
      <c r="P15" s="107">
        <f>SUBTOTAL(109,Tableau_Lancer_la_requête_à_partir_de_Excel_Files102567891113[''BFC''])</f>
        <v>0</v>
      </c>
      <c r="Q15" s="107">
        <f>SUBTOTAL(109,Tableau_Lancer_la_requête_à_partir_de_Excel_Files102567891113[''LRMP''])</f>
        <v>0</v>
      </c>
      <c r="R15" s="107">
        <f>SUBTOTAL(109,Tableau_Lancer_la_requête_à_partir_de_Excel_Files102567891113[Total Dpts])</f>
        <v>0</v>
      </c>
      <c r="S15" s="107">
        <f>SUBTOTAL(109,Tableau_Lancer_la_requête_à_partir_de_Excel_Files102567891113[''03''])</f>
        <v>0</v>
      </c>
      <c r="T15" s="107">
        <f>SUBTOTAL(109,Tableau_Lancer_la_requête_à_partir_de_Excel_Files102567891113[''07''])</f>
        <v>0</v>
      </c>
      <c r="U15" s="107">
        <f>SUBTOTAL(109,Tableau_Lancer_la_requête_à_partir_de_Excel_Files102567891113[''11''])</f>
        <v>0</v>
      </c>
      <c r="V15" s="107">
        <f>SUBTOTAL(109,Tableau_Lancer_la_requête_à_partir_de_Excel_Files102567891113[''12''])</f>
        <v>0</v>
      </c>
      <c r="W15" s="107">
        <f>SUBTOTAL(109,Tableau_Lancer_la_requête_à_partir_de_Excel_Files102567891113[''15''])</f>
        <v>0</v>
      </c>
      <c r="X15" s="107">
        <f>SUBTOTAL(109,Tableau_Lancer_la_requête_à_partir_de_Excel_Files102567891113[''19''])</f>
        <v>0</v>
      </c>
      <c r="Y15" s="107">
        <f>SUBTOTAL(109,Tableau_Lancer_la_requête_à_partir_de_Excel_Files102567891113[''21''])</f>
        <v>0</v>
      </c>
      <c r="Z15" s="107">
        <f>SUBTOTAL(109,Tableau_Lancer_la_requête_à_partir_de_Excel_Files102567891113[''23''])</f>
        <v>0</v>
      </c>
      <c r="AA15" s="107">
        <f>SUBTOTAL(109,Tableau_Lancer_la_requête_à_partir_de_Excel_Files102567891113[''30''])</f>
        <v>0</v>
      </c>
      <c r="AB15" s="107">
        <f>SUBTOTAL(109,Tableau_Lancer_la_requête_à_partir_de_Excel_Files102567891113[''34''])</f>
        <v>0</v>
      </c>
      <c r="AC15" s="107">
        <f>SUBTOTAL(109,Tableau_Lancer_la_requête_à_partir_de_Excel_Files102567891113[''42''])</f>
        <v>0</v>
      </c>
      <c r="AD15" s="107">
        <f>SUBTOTAL(109,Tableau_Lancer_la_requête_à_partir_de_Excel_Files102567891113[''43''])</f>
        <v>0</v>
      </c>
      <c r="AE15" s="107">
        <f>SUBTOTAL(109,Tableau_Lancer_la_requête_à_partir_de_Excel_Files102567891113[''46''])</f>
        <v>0</v>
      </c>
      <c r="AF15" s="107">
        <f>SUBTOTAL(109,Tableau_Lancer_la_requête_à_partir_de_Excel_Files102567891113[''48''])</f>
        <v>0</v>
      </c>
      <c r="AG15" s="107">
        <f>SUBTOTAL(109,Tableau_Lancer_la_requête_à_partir_de_Excel_Files102567891113[''58''])</f>
        <v>0</v>
      </c>
      <c r="AH15" s="107">
        <f>SUBTOTAL(109,Tableau_Lancer_la_requête_à_partir_de_Excel_Files102567891113[''63''])</f>
        <v>0</v>
      </c>
      <c r="AI15" s="107">
        <f>SUBTOTAL(109,Tableau_Lancer_la_requête_à_partir_de_Excel_Files102567891113[''69''])</f>
        <v>0</v>
      </c>
      <c r="AJ15" s="107">
        <f>SUBTOTAL(109,Tableau_Lancer_la_requête_à_partir_de_Excel_Files102567891113[''71''])</f>
        <v>0</v>
      </c>
      <c r="AK15" s="107">
        <f>SUBTOTAL(109,Tableau_Lancer_la_requête_à_partir_de_Excel_Files102567891113[''81''])</f>
        <v>0</v>
      </c>
      <c r="AL15" s="107">
        <f>SUBTOTAL(109,Tableau_Lancer_la_requête_à_partir_de_Excel_Files102567891113[''82''])</f>
        <v>0</v>
      </c>
      <c r="AM15" s="107">
        <f>SUBTOTAL(109,Tableau_Lancer_la_requête_à_partir_de_Excel_Files102567891113[''87''])</f>
        <v>0</v>
      </c>
      <c r="AN15" s="107">
        <f>SUBTOTAL(109,Tableau_Lancer_la_requête_à_partir_de_Excel_Files102567891113[''89''])</f>
        <v>0</v>
      </c>
      <c r="AO15" s="107">
        <f>SUBTOTAL(109,Tableau_Lancer_la_requête_à_partir_de_Excel_Files102567891113[''Autre Public''])</f>
        <v>0</v>
      </c>
      <c r="AP15" s="105"/>
      <c r="AQ15" s="105"/>
      <c r="AR15" s="110"/>
      <c r="AT15" s="30" t="s">
        <v>62</v>
      </c>
    </row>
    <row r="16" spans="1:46" s="10" customFormat="1" x14ac:dyDescent="0.25">
      <c r="B16" s="5"/>
      <c r="C16" s="5"/>
      <c r="D16" s="52"/>
      <c r="E16" s="52"/>
      <c r="F16" s="53"/>
      <c r="G16" s="52"/>
      <c r="H16" s="53"/>
      <c r="I16" s="52"/>
      <c r="J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R16" s="4"/>
      <c r="AT16" s="58"/>
    </row>
    <row r="17" spans="1:83" s="10" customFormat="1" x14ac:dyDescent="0.25">
      <c r="B17" s="5"/>
      <c r="C17" s="5"/>
      <c r="D17" s="52"/>
      <c r="E17" s="52"/>
      <c r="F17" s="53"/>
      <c r="G17" s="52"/>
      <c r="H17" s="53"/>
      <c r="I17" s="52"/>
      <c r="J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R17" s="4"/>
      <c r="AT17" s="60"/>
    </row>
    <row r="18" spans="1:83" s="10" customFormat="1" x14ac:dyDescent="0.25">
      <c r="A18" s="1" t="s">
        <v>85</v>
      </c>
      <c r="B18" s="4"/>
      <c r="C18" s="5"/>
      <c r="D18" s="3"/>
      <c r="E18" s="3"/>
      <c r="F18" s="6"/>
      <c r="G18" s="3"/>
      <c r="H18" s="6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4"/>
      <c r="AT18" s="58"/>
    </row>
    <row r="19" spans="1:83" s="10" customFormat="1" ht="45" x14ac:dyDescent="0.25">
      <c r="A19" s="7" t="s">
        <v>7</v>
      </c>
      <c r="B19" s="7" t="s">
        <v>1</v>
      </c>
      <c r="C19" s="7" t="s">
        <v>2</v>
      </c>
      <c r="D19" s="7" t="s">
        <v>50</v>
      </c>
      <c r="E19" s="7" t="s">
        <v>52</v>
      </c>
      <c r="F19" s="7" t="s">
        <v>51</v>
      </c>
      <c r="G19" s="7" t="s">
        <v>48</v>
      </c>
      <c r="H19" s="7" t="s">
        <v>53</v>
      </c>
      <c r="I19" s="7" t="s">
        <v>42</v>
      </c>
      <c r="J19" s="7" t="s">
        <v>63</v>
      </c>
      <c r="K19" s="7" t="s">
        <v>67</v>
      </c>
      <c r="L19" s="7" t="s">
        <v>15</v>
      </c>
      <c r="M19" s="7" t="s">
        <v>64</v>
      </c>
      <c r="N19" s="7" t="s">
        <v>18</v>
      </c>
      <c r="O19" s="7" t="s">
        <v>16</v>
      </c>
      <c r="P19" s="7" t="s">
        <v>17</v>
      </c>
      <c r="Q19" s="7" t="s">
        <v>19</v>
      </c>
      <c r="R19" s="7" t="s">
        <v>65</v>
      </c>
      <c r="S19" s="7" t="s">
        <v>20</v>
      </c>
      <c r="T19" s="7" t="s">
        <v>21</v>
      </c>
      <c r="U19" s="7" t="s">
        <v>22</v>
      </c>
      <c r="V19" s="7" t="s">
        <v>23</v>
      </c>
      <c r="W19" s="7" t="s">
        <v>24</v>
      </c>
      <c r="X19" s="7" t="s">
        <v>25</v>
      </c>
      <c r="Y19" s="7" t="s">
        <v>26</v>
      </c>
      <c r="Z19" s="7" t="s">
        <v>27</v>
      </c>
      <c r="AA19" s="7" t="s">
        <v>28</v>
      </c>
      <c r="AB19" s="7" t="s">
        <v>29</v>
      </c>
      <c r="AC19" s="7" t="s">
        <v>30</v>
      </c>
      <c r="AD19" s="7" t="s">
        <v>31</v>
      </c>
      <c r="AE19" s="7" t="s">
        <v>32</v>
      </c>
      <c r="AF19" s="7" t="s">
        <v>33</v>
      </c>
      <c r="AG19" s="7" t="s">
        <v>34</v>
      </c>
      <c r="AH19" s="7" t="s">
        <v>35</v>
      </c>
      <c r="AI19" s="7" t="s">
        <v>36</v>
      </c>
      <c r="AJ19" s="7" t="s">
        <v>37</v>
      </c>
      <c r="AK19" s="7" t="s">
        <v>38</v>
      </c>
      <c r="AL19" s="7" t="s">
        <v>39</v>
      </c>
      <c r="AM19" s="7" t="s">
        <v>40</v>
      </c>
      <c r="AN19" s="7" t="s">
        <v>41</v>
      </c>
      <c r="AO19" s="7" t="s">
        <v>43</v>
      </c>
      <c r="AP19" s="7" t="s">
        <v>47</v>
      </c>
      <c r="AQ19" s="7" t="s">
        <v>88</v>
      </c>
      <c r="AR19" s="17" t="s">
        <v>54</v>
      </c>
      <c r="AT19" s="60"/>
    </row>
    <row r="20" spans="1:83" s="10" customFormat="1" x14ac:dyDescent="0.25">
      <c r="A20" s="13"/>
      <c r="B20" s="12"/>
      <c r="C20" s="12"/>
      <c r="D20" s="15"/>
      <c r="E20" s="15"/>
      <c r="F20" s="16"/>
      <c r="G20" s="15"/>
      <c r="H20" s="16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1"/>
      <c r="AQ20" s="57"/>
      <c r="AR20" s="12"/>
      <c r="AT20" s="58"/>
    </row>
    <row r="21" spans="1:83" x14ac:dyDescent="0.25">
      <c r="A21" s="105" t="s">
        <v>8</v>
      </c>
      <c r="B21" s="106">
        <f>SUBTOTAL(103,Tableau_Lancer_la_requête_à_partir_de_Excel_Files10256789111214[Nom_MO])</f>
        <v>0</v>
      </c>
      <c r="C21" s="106"/>
      <c r="D21" s="107">
        <f>SUBTOTAL(109,Tableau_Lancer_la_requête_à_partir_de_Excel_Files10256789111214[''Coût total éligible''])</f>
        <v>0</v>
      </c>
      <c r="E21" s="107">
        <f>SUBTOTAL(109,Tableau_Lancer_la_requête_à_partir_de_Excel_Files10256789111214[Aide 
publique])</f>
        <v>0</v>
      </c>
      <c r="F21" s="108"/>
      <c r="G21" s="107">
        <f>SUBTOTAL(109,Tableau_Lancer_la_requête_à_partir_de_Excel_Files10256789111214[Aide Massif])</f>
        <v>0</v>
      </c>
      <c r="H21" s="108"/>
      <c r="I21" s="107">
        <f>SUBTOTAL(109,Tableau_Lancer_la_requête_à_partir_de_Excel_Files10256789111214[''FEDER''])</f>
        <v>0</v>
      </c>
      <c r="J21" s="107">
        <f>SUBTOTAL(109,Tableau_Lancer_la_requête_à_partir_de_Excel_Files10256789111214[Total Etat])</f>
        <v>0</v>
      </c>
      <c r="K21" s="105"/>
      <c r="L21" s="107">
        <f>SUBTOTAL(109,Tableau_Lancer_la_requête_à_partir_de_Excel_Files10256789111214[''Agriculture''])</f>
        <v>0</v>
      </c>
      <c r="M21" s="107">
        <f>SUBTOTAL(109,Tableau_Lancer_la_requête_à_partir_de_Excel_Files10256789111214[Total Régions])</f>
        <v>0</v>
      </c>
      <c r="N21" s="107">
        <f>SUBTOTAL(109,Tableau_Lancer_la_requête_à_partir_de_Excel_Files10256789111214[''ALPC''])</f>
        <v>0</v>
      </c>
      <c r="O21" s="107">
        <f>SUBTOTAL(109,Tableau_Lancer_la_requête_à_partir_de_Excel_Files10256789111214[''AURA''])</f>
        <v>0</v>
      </c>
      <c r="P21" s="107">
        <f>SUBTOTAL(109,Tableau_Lancer_la_requête_à_partir_de_Excel_Files10256789111214[''BFC''])</f>
        <v>0</v>
      </c>
      <c r="Q21" s="107">
        <f>SUBTOTAL(109,Tableau_Lancer_la_requête_à_partir_de_Excel_Files10256789111214[''LRMP''])</f>
        <v>0</v>
      </c>
      <c r="R21" s="107">
        <f>SUBTOTAL(109,Tableau_Lancer_la_requête_à_partir_de_Excel_Files10256789111214[Total Dpts])</f>
        <v>0</v>
      </c>
      <c r="S21" s="107">
        <f>SUBTOTAL(109,Tableau_Lancer_la_requête_à_partir_de_Excel_Files10256789111214[''03''])</f>
        <v>0</v>
      </c>
      <c r="T21" s="107">
        <f>SUBTOTAL(109,Tableau_Lancer_la_requête_à_partir_de_Excel_Files10256789111214[''07''])</f>
        <v>0</v>
      </c>
      <c r="U21" s="107">
        <f>SUBTOTAL(109,Tableau_Lancer_la_requête_à_partir_de_Excel_Files10256789111214[''11''])</f>
        <v>0</v>
      </c>
      <c r="V21" s="107">
        <f>SUBTOTAL(109,Tableau_Lancer_la_requête_à_partir_de_Excel_Files10256789111214[''12''])</f>
        <v>0</v>
      </c>
      <c r="W21" s="107">
        <f>SUBTOTAL(109,Tableau_Lancer_la_requête_à_partir_de_Excel_Files10256789111214[''15''])</f>
        <v>0</v>
      </c>
      <c r="X21" s="107">
        <f>SUBTOTAL(109,Tableau_Lancer_la_requête_à_partir_de_Excel_Files10256789111214[''19''])</f>
        <v>0</v>
      </c>
      <c r="Y21" s="107">
        <f>SUBTOTAL(109,Tableau_Lancer_la_requête_à_partir_de_Excel_Files10256789111214[''21''])</f>
        <v>0</v>
      </c>
      <c r="Z21" s="107">
        <f>SUBTOTAL(109,Tableau_Lancer_la_requête_à_partir_de_Excel_Files10256789111214[''23''])</f>
        <v>0</v>
      </c>
      <c r="AA21" s="107">
        <f>SUBTOTAL(109,Tableau_Lancer_la_requête_à_partir_de_Excel_Files10256789111214[''30''])</f>
        <v>0</v>
      </c>
      <c r="AB21" s="107">
        <f>SUBTOTAL(109,Tableau_Lancer_la_requête_à_partir_de_Excel_Files10256789111214[''34''])</f>
        <v>0</v>
      </c>
      <c r="AC21" s="107">
        <f>SUBTOTAL(109,Tableau_Lancer_la_requête_à_partir_de_Excel_Files10256789111214[''42''])</f>
        <v>0</v>
      </c>
      <c r="AD21" s="107">
        <f>SUBTOTAL(109,Tableau_Lancer_la_requête_à_partir_de_Excel_Files10256789111214[''43''])</f>
        <v>0</v>
      </c>
      <c r="AE21" s="107">
        <f>SUBTOTAL(109,Tableau_Lancer_la_requête_à_partir_de_Excel_Files10256789111214[''46''])</f>
        <v>0</v>
      </c>
      <c r="AF21" s="107">
        <f>SUBTOTAL(109,Tableau_Lancer_la_requête_à_partir_de_Excel_Files10256789111214[''48''])</f>
        <v>0</v>
      </c>
      <c r="AG21" s="107">
        <f>SUBTOTAL(109,Tableau_Lancer_la_requête_à_partir_de_Excel_Files10256789111214[''58''])</f>
        <v>0</v>
      </c>
      <c r="AH21" s="107">
        <f>SUBTOTAL(109,Tableau_Lancer_la_requête_à_partir_de_Excel_Files10256789111214[''63''])</f>
        <v>0</v>
      </c>
      <c r="AI21" s="107">
        <f>SUBTOTAL(109,Tableau_Lancer_la_requête_à_partir_de_Excel_Files10256789111214[''69''])</f>
        <v>0</v>
      </c>
      <c r="AJ21" s="107">
        <f>SUBTOTAL(109,Tableau_Lancer_la_requête_à_partir_de_Excel_Files10256789111214[''71''])</f>
        <v>0</v>
      </c>
      <c r="AK21" s="107">
        <f>SUBTOTAL(109,Tableau_Lancer_la_requête_à_partir_de_Excel_Files10256789111214[''81''])</f>
        <v>0</v>
      </c>
      <c r="AL21" s="107">
        <f>SUBTOTAL(109,Tableau_Lancer_la_requête_à_partir_de_Excel_Files10256789111214[''82''])</f>
        <v>0</v>
      </c>
      <c r="AM21" s="107">
        <f>SUBTOTAL(109,Tableau_Lancer_la_requête_à_partir_de_Excel_Files10256789111214[''87''])</f>
        <v>0</v>
      </c>
      <c r="AN21" s="107">
        <f>SUBTOTAL(109,Tableau_Lancer_la_requête_à_partir_de_Excel_Files10256789111214[''89''])</f>
        <v>0</v>
      </c>
      <c r="AO21" s="107">
        <f>SUBTOTAL(109,Tableau_Lancer_la_requête_à_partir_de_Excel_Files10256789111214[''Autre Public''])</f>
        <v>0</v>
      </c>
      <c r="AP21" s="105"/>
      <c r="AQ21" s="105"/>
      <c r="AR21" s="110"/>
      <c r="AT21" s="60"/>
      <c r="CB21" s="4"/>
      <c r="CE21" s="3"/>
    </row>
    <row r="22" spans="1:83" s="7" customFormat="1" x14ac:dyDescent="0.25">
      <c r="A22" s="10"/>
      <c r="B22" s="5"/>
      <c r="C22" s="5"/>
      <c r="D22" s="52"/>
      <c r="E22" s="52"/>
      <c r="F22" s="53"/>
      <c r="G22" s="52"/>
      <c r="H22" s="53"/>
      <c r="I22" s="52"/>
      <c r="J22" s="52"/>
      <c r="K22" s="10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10"/>
      <c r="AQ22" s="10"/>
      <c r="AR22" s="4"/>
      <c r="AT22" s="58"/>
    </row>
    <row r="23" spans="1:83" s="10" customFormat="1" x14ac:dyDescent="0.25">
      <c r="B23" s="5"/>
      <c r="C23" s="5"/>
      <c r="D23" s="52"/>
      <c r="E23" s="52"/>
      <c r="F23" s="53"/>
      <c r="G23" s="52"/>
      <c r="H23" s="53"/>
      <c r="I23" s="52"/>
      <c r="J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R23" s="4"/>
      <c r="AT23" s="60"/>
    </row>
    <row r="24" spans="1:83" s="10" customFormat="1" x14ac:dyDescent="0.25">
      <c r="A24" s="1" t="s">
        <v>91</v>
      </c>
      <c r="B24" s="4"/>
      <c r="C24" s="5"/>
      <c r="D24" s="3"/>
      <c r="E24" s="3"/>
      <c r="F24" s="6"/>
      <c r="G24" s="3"/>
      <c r="H24" s="6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4"/>
      <c r="AT24" s="58"/>
    </row>
    <row r="25" spans="1:83" s="10" customFormat="1" ht="45" x14ac:dyDescent="0.25">
      <c r="A25" s="7" t="s">
        <v>7</v>
      </c>
      <c r="B25" s="7" t="s">
        <v>1</v>
      </c>
      <c r="C25" s="7" t="s">
        <v>2</v>
      </c>
      <c r="D25" s="7" t="s">
        <v>50</v>
      </c>
      <c r="E25" s="7" t="s">
        <v>52</v>
      </c>
      <c r="F25" s="7" t="s">
        <v>51</v>
      </c>
      <c r="G25" s="7" t="s">
        <v>48</v>
      </c>
      <c r="H25" s="7" t="s">
        <v>53</v>
      </c>
      <c r="I25" s="7" t="s">
        <v>42</v>
      </c>
      <c r="J25" s="7" t="s">
        <v>63</v>
      </c>
      <c r="K25" s="7" t="s">
        <v>67</v>
      </c>
      <c r="L25" s="7" t="s">
        <v>15</v>
      </c>
      <c r="M25" s="7" t="s">
        <v>64</v>
      </c>
      <c r="N25" s="7" t="s">
        <v>18</v>
      </c>
      <c r="O25" s="7" t="s">
        <v>16</v>
      </c>
      <c r="P25" s="7" t="s">
        <v>17</v>
      </c>
      <c r="Q25" s="7" t="s">
        <v>19</v>
      </c>
      <c r="R25" s="7" t="s">
        <v>65</v>
      </c>
      <c r="S25" s="7" t="s">
        <v>20</v>
      </c>
      <c r="T25" s="7" t="s">
        <v>21</v>
      </c>
      <c r="U25" s="7" t="s">
        <v>22</v>
      </c>
      <c r="V25" s="7" t="s">
        <v>23</v>
      </c>
      <c r="W25" s="7" t="s">
        <v>24</v>
      </c>
      <c r="X25" s="7" t="s">
        <v>25</v>
      </c>
      <c r="Y25" s="7" t="s">
        <v>26</v>
      </c>
      <c r="Z25" s="7" t="s">
        <v>27</v>
      </c>
      <c r="AA25" s="7" t="s">
        <v>28</v>
      </c>
      <c r="AB25" s="7" t="s">
        <v>29</v>
      </c>
      <c r="AC25" s="7" t="s">
        <v>30</v>
      </c>
      <c r="AD25" s="7" t="s">
        <v>31</v>
      </c>
      <c r="AE25" s="7" t="s">
        <v>32</v>
      </c>
      <c r="AF25" s="7" t="s">
        <v>33</v>
      </c>
      <c r="AG25" s="7" t="s">
        <v>34</v>
      </c>
      <c r="AH25" s="7" t="s">
        <v>35</v>
      </c>
      <c r="AI25" s="7" t="s">
        <v>36</v>
      </c>
      <c r="AJ25" s="7" t="s">
        <v>37</v>
      </c>
      <c r="AK25" s="7" t="s">
        <v>38</v>
      </c>
      <c r="AL25" s="7" t="s">
        <v>39</v>
      </c>
      <c r="AM25" s="7" t="s">
        <v>40</v>
      </c>
      <c r="AN25" s="7" t="s">
        <v>41</v>
      </c>
      <c r="AO25" s="7" t="s">
        <v>43</v>
      </c>
      <c r="AP25" s="7" t="s">
        <v>47</v>
      </c>
      <c r="AQ25" s="7" t="s">
        <v>88</v>
      </c>
      <c r="AR25" s="17" t="s">
        <v>54</v>
      </c>
      <c r="AT25" s="60"/>
    </row>
    <row r="26" spans="1:83" s="10" customFormat="1" x14ac:dyDescent="0.25">
      <c r="A26" s="13"/>
      <c r="B26" s="12"/>
      <c r="C26" s="12"/>
      <c r="D26" s="15"/>
      <c r="E26" s="15"/>
      <c r="F26" s="16"/>
      <c r="G26" s="15"/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Q26" s="57"/>
      <c r="AR26" s="12"/>
      <c r="AT26" s="58"/>
    </row>
    <row r="27" spans="1:83" s="10" customFormat="1" x14ac:dyDescent="0.25">
      <c r="A27" s="105" t="s">
        <v>8</v>
      </c>
      <c r="B27" s="106">
        <f>SUBTOTAL(103,Tableau_Lancer_la_requête_à_partir_de_Excel_Files102567891112[Nom_MO])</f>
        <v>0</v>
      </c>
      <c r="C27" s="106"/>
      <c r="D27" s="107">
        <f>SUBTOTAL(109,Tableau_Lancer_la_requête_à_partir_de_Excel_Files102567891112[''Coût total éligible''])</f>
        <v>0</v>
      </c>
      <c r="E27" s="107">
        <f>SUBTOTAL(109,Tableau_Lancer_la_requête_à_partir_de_Excel_Files102567891112[Aide 
publique])</f>
        <v>0</v>
      </c>
      <c r="F27" s="108"/>
      <c r="G27" s="107">
        <f>SUBTOTAL(109,Tableau_Lancer_la_requête_à_partir_de_Excel_Files102567891112[Aide Massif])</f>
        <v>0</v>
      </c>
      <c r="H27" s="108"/>
      <c r="I27" s="107">
        <f>SUBTOTAL(109,Tableau_Lancer_la_requête_à_partir_de_Excel_Files102567891112[''FEDER''])</f>
        <v>0</v>
      </c>
      <c r="J27" s="107">
        <f>SUBTOTAL(109,Tableau_Lancer_la_requête_à_partir_de_Excel_Files102567891112[Total Etat])</f>
        <v>0</v>
      </c>
      <c r="K27" s="105"/>
      <c r="L27" s="107">
        <f>SUBTOTAL(109,Tableau_Lancer_la_requête_à_partir_de_Excel_Files102567891112[''Agriculture''])</f>
        <v>0</v>
      </c>
      <c r="M27" s="107">
        <f>SUBTOTAL(109,Tableau_Lancer_la_requête_à_partir_de_Excel_Files102567891112[Total Régions])</f>
        <v>0</v>
      </c>
      <c r="N27" s="107">
        <f>SUBTOTAL(109,Tableau_Lancer_la_requête_à_partir_de_Excel_Files102567891112[''ALPC''])</f>
        <v>0</v>
      </c>
      <c r="O27" s="107">
        <f>SUBTOTAL(109,Tableau_Lancer_la_requête_à_partir_de_Excel_Files102567891112[''AURA''])</f>
        <v>0</v>
      </c>
      <c r="P27" s="107">
        <f>SUBTOTAL(109,Tableau_Lancer_la_requête_à_partir_de_Excel_Files102567891112[''BFC''])</f>
        <v>0</v>
      </c>
      <c r="Q27" s="107">
        <f>SUBTOTAL(109,Tableau_Lancer_la_requête_à_partir_de_Excel_Files102567891112[''LRMP''])</f>
        <v>0</v>
      </c>
      <c r="R27" s="107">
        <f>SUBTOTAL(109,Tableau_Lancer_la_requête_à_partir_de_Excel_Files102567891112[Total Dpts])</f>
        <v>0</v>
      </c>
      <c r="S27" s="107">
        <f>SUBTOTAL(109,Tableau_Lancer_la_requête_à_partir_de_Excel_Files102567891112[''03''])</f>
        <v>0</v>
      </c>
      <c r="T27" s="107">
        <f>SUBTOTAL(109,Tableau_Lancer_la_requête_à_partir_de_Excel_Files102567891112[''07''])</f>
        <v>0</v>
      </c>
      <c r="U27" s="107">
        <f>SUBTOTAL(109,Tableau_Lancer_la_requête_à_partir_de_Excel_Files102567891112[''11''])</f>
        <v>0</v>
      </c>
      <c r="V27" s="107">
        <f>SUBTOTAL(109,Tableau_Lancer_la_requête_à_partir_de_Excel_Files102567891112[''12''])</f>
        <v>0</v>
      </c>
      <c r="W27" s="107">
        <f>SUBTOTAL(109,Tableau_Lancer_la_requête_à_partir_de_Excel_Files102567891112[''15''])</f>
        <v>0</v>
      </c>
      <c r="X27" s="107">
        <f>SUBTOTAL(109,Tableau_Lancer_la_requête_à_partir_de_Excel_Files102567891112[''19''])</f>
        <v>0</v>
      </c>
      <c r="Y27" s="107">
        <f>SUBTOTAL(109,Tableau_Lancer_la_requête_à_partir_de_Excel_Files102567891112[''21''])</f>
        <v>0</v>
      </c>
      <c r="Z27" s="107">
        <f>SUBTOTAL(109,Tableau_Lancer_la_requête_à_partir_de_Excel_Files102567891112[''23''])</f>
        <v>0</v>
      </c>
      <c r="AA27" s="107">
        <f>SUBTOTAL(109,Tableau_Lancer_la_requête_à_partir_de_Excel_Files102567891112[''30''])</f>
        <v>0</v>
      </c>
      <c r="AB27" s="107">
        <f>SUBTOTAL(109,Tableau_Lancer_la_requête_à_partir_de_Excel_Files102567891112[''34''])</f>
        <v>0</v>
      </c>
      <c r="AC27" s="107">
        <f>SUBTOTAL(109,Tableau_Lancer_la_requête_à_partir_de_Excel_Files102567891112[''42''])</f>
        <v>0</v>
      </c>
      <c r="AD27" s="107">
        <f>SUBTOTAL(109,Tableau_Lancer_la_requête_à_partir_de_Excel_Files102567891112[''43''])</f>
        <v>0</v>
      </c>
      <c r="AE27" s="107">
        <f>SUBTOTAL(109,Tableau_Lancer_la_requête_à_partir_de_Excel_Files102567891112[''46''])</f>
        <v>0</v>
      </c>
      <c r="AF27" s="107">
        <f>SUBTOTAL(109,Tableau_Lancer_la_requête_à_partir_de_Excel_Files102567891112[''48''])</f>
        <v>0</v>
      </c>
      <c r="AG27" s="107">
        <f>SUBTOTAL(109,Tableau_Lancer_la_requête_à_partir_de_Excel_Files102567891112[''58''])</f>
        <v>0</v>
      </c>
      <c r="AH27" s="107">
        <f>SUBTOTAL(109,Tableau_Lancer_la_requête_à_partir_de_Excel_Files102567891112[''63''])</f>
        <v>0</v>
      </c>
      <c r="AI27" s="107">
        <f>SUBTOTAL(109,Tableau_Lancer_la_requête_à_partir_de_Excel_Files102567891112[''69''])</f>
        <v>0</v>
      </c>
      <c r="AJ27" s="107">
        <f>SUBTOTAL(109,Tableau_Lancer_la_requête_à_partir_de_Excel_Files102567891112[''71''])</f>
        <v>0</v>
      </c>
      <c r="AK27" s="107">
        <f>SUBTOTAL(109,Tableau_Lancer_la_requête_à_partir_de_Excel_Files102567891112[''81''])</f>
        <v>0</v>
      </c>
      <c r="AL27" s="107">
        <f>SUBTOTAL(109,Tableau_Lancer_la_requête_à_partir_de_Excel_Files102567891112[''82''])</f>
        <v>0</v>
      </c>
      <c r="AM27" s="107">
        <f>SUBTOTAL(109,Tableau_Lancer_la_requête_à_partir_de_Excel_Files102567891112[''87''])</f>
        <v>0</v>
      </c>
      <c r="AN27" s="107">
        <f>SUBTOTAL(109,Tableau_Lancer_la_requête_à_partir_de_Excel_Files102567891112[''89''])</f>
        <v>0</v>
      </c>
      <c r="AO27" s="107">
        <f>SUBTOTAL(109,Tableau_Lancer_la_requête_à_partir_de_Excel_Files102567891112[''Autre Public''])</f>
        <v>0</v>
      </c>
      <c r="AP27" s="105"/>
      <c r="AQ27" s="105"/>
      <c r="AR27" s="110"/>
      <c r="AT27" s="60"/>
    </row>
    <row r="28" spans="1:83" s="10" customFormat="1" ht="15.75" thickBot="1" x14ac:dyDescent="0.3">
      <c r="B28" s="5"/>
      <c r="C28" s="5"/>
      <c r="D28" s="52"/>
      <c r="E28" s="52"/>
      <c r="F28" s="53"/>
      <c r="G28" s="52"/>
      <c r="H28" s="53"/>
      <c r="I28" s="52"/>
      <c r="J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R28" s="4"/>
      <c r="AT28" s="58"/>
    </row>
    <row r="29" spans="1:83" s="10" customFormat="1" ht="15.75" thickTop="1" x14ac:dyDescent="0.25">
      <c r="B29" s="5"/>
      <c r="C29" s="5"/>
      <c r="D29" s="52"/>
      <c r="E29" s="52"/>
      <c r="F29" s="53"/>
      <c r="G29" s="52"/>
      <c r="H29" s="53"/>
      <c r="I29" s="52"/>
      <c r="J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R29" s="4"/>
      <c r="AT29" s="61"/>
    </row>
    <row r="30" spans="1:83" s="10" customFormat="1" x14ac:dyDescent="0.25">
      <c r="B30" s="5"/>
      <c r="C30" s="5"/>
      <c r="D30" s="52"/>
      <c r="E30" s="52"/>
      <c r="F30" s="53"/>
      <c r="G30" s="52"/>
      <c r="H30" s="53"/>
      <c r="I30" s="52"/>
      <c r="J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R30" s="4"/>
      <c r="AT30" s="4"/>
    </row>
    <row r="31" spans="1:83" s="10" customFormat="1" x14ac:dyDescent="0.25">
      <c r="B31" s="5"/>
      <c r="C31" s="5"/>
      <c r="D31" s="52"/>
      <c r="E31" s="52"/>
      <c r="F31" s="53"/>
      <c r="G31" s="52"/>
      <c r="H31" s="53"/>
      <c r="I31" s="143" t="s">
        <v>93</v>
      </c>
      <c r="J31" s="143"/>
      <c r="K31" s="143"/>
      <c r="L31" s="143"/>
      <c r="M31" s="143"/>
      <c r="N31" s="62"/>
      <c r="O31" s="62"/>
      <c r="P31" s="62"/>
      <c r="Q31" s="62"/>
      <c r="R31" s="63">
        <v>1000000</v>
      </c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4" t="s">
        <v>96</v>
      </c>
      <c r="AP31" s="3"/>
      <c r="AQ31" s="3"/>
      <c r="AR31" s="4"/>
      <c r="AT31" s="4"/>
    </row>
    <row r="32" spans="1:83" s="10" customFormat="1" x14ac:dyDescent="0.25">
      <c r="B32" s="5"/>
      <c r="C32" s="5"/>
      <c r="D32" s="52"/>
      <c r="E32" s="52"/>
      <c r="F32" s="53"/>
      <c r="G32" s="52"/>
      <c r="H32" s="53"/>
      <c r="I32" s="144" t="s">
        <v>94</v>
      </c>
      <c r="J32" s="144"/>
      <c r="K32" s="144"/>
      <c r="L32" s="144"/>
      <c r="M32" s="144"/>
      <c r="N32" s="62"/>
      <c r="O32" s="62"/>
      <c r="P32" s="62"/>
      <c r="Q32" s="62"/>
      <c r="R32" s="62">
        <f>SUMIF(Tableau_Lancer_la_requête_à_partir_de_Excel_Files1025678911[Avis Cofimac],"1-Favorable",Tableau_Lancer_la_requête_à_partir_de_Excel_Files1025678911[''FEDER''])+SUMIF(Tableau_Lancer_la_requête_à_partir_de_Excel_Files102567891113[Avis Cofimac],"1-Favorable",Tableau_Lancer_la_requête_à_partir_de_Excel_Files102567891113[''FEDER''])+SUMIF(Tableau_Lancer_la_requête_à_partir_de_Excel_Files102567891113[Avis Cofimac],"2-Favorable sous réserve",Tableau_Lancer_la_requête_à_partir_de_Excel_Files102567891113[''FEDER''])+SUMIF(Tableau_Lancer_la_requête_à_partir_de_Excel_Files10256789111214[Avis Cofimac],"1-Favorable",Tableau_Lancer_la_requête_à_partir_de_Excel_Files10256789111214[''FEDER''])+SUMIF(Tableau_Lancer_la_requête_à_partir_de_Excel_Files10256789111214[Avis Cofimac],"2-Favorable sous réserve",Tableau_Lancer_la_requête_à_partir_de_Excel_Files10256789111214[''FEDER''])+600179.01</f>
        <v>600179.01</v>
      </c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>
        <f>$R$31-R32</f>
        <v>399820.99</v>
      </c>
      <c r="AR32" s="4"/>
      <c r="AT32" s="4"/>
    </row>
    <row r="33" spans="1:83" s="10" customFormat="1" x14ac:dyDescent="0.25">
      <c r="B33" s="5"/>
      <c r="C33" s="5"/>
      <c r="D33" s="52"/>
      <c r="E33" s="52"/>
      <c r="F33" s="53"/>
      <c r="G33" s="52"/>
      <c r="H33" s="53"/>
      <c r="I33" s="144" t="s">
        <v>95</v>
      </c>
      <c r="J33" s="144"/>
      <c r="K33" s="144"/>
      <c r="L33" s="144"/>
      <c r="M33" s="144"/>
      <c r="N33" s="62"/>
      <c r="O33" s="62"/>
      <c r="P33" s="62"/>
      <c r="Q33" s="62"/>
      <c r="R33" s="62">
        <f>SUMIF(Tableau_Lancer_la_requête_à_partir_de_Excel_Files1025678911[Avis Prog],"1-Favorable",Tableau_Lancer_la_requête_à_partir_de_Excel_Files1025678911[''FEDER''])+SUMIF(Tableau_Lancer_la_requête_à_partir_de_Excel_Files102567891113[Avis Prog],"1-Favorable",Tableau_Lancer_la_requête_à_partir_de_Excel_Files102567891113[''FEDER''])+SUMIF(Tableau_Lancer_la_requête_à_partir_de_Excel_Files102567891113[Avis Prog],"2-Favorable sous réserve",Tableau_Lancer_la_requête_à_partir_de_Excel_Files102567891113[''FEDER''])+SUMIF(Tableau_Lancer_la_requête_à_partir_de_Excel_Files10256789111214[Avis Prog],"1-Favorable",Tableau_Lancer_la_requête_à_partir_de_Excel_Files10256789111214[''FEDER''])+SUMIF(Tableau_Lancer_la_requête_à_partir_de_Excel_Files10256789111214[Avis Prog],"2-Favorable sous réserve",Tableau_Lancer_la_requête_à_partir_de_Excel_Files10256789111214[''FEDER''])+600179.01</f>
        <v>600179.01</v>
      </c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>
        <f>$R$31-R33</f>
        <v>399820.99</v>
      </c>
      <c r="AR33" s="4"/>
      <c r="AT33" s="59" t="s">
        <v>62</v>
      </c>
    </row>
    <row r="34" spans="1:83" s="10" customFormat="1" x14ac:dyDescent="0.25">
      <c r="B34" s="5"/>
      <c r="C34" s="5"/>
      <c r="D34" s="52"/>
      <c r="E34" s="52"/>
      <c r="F34" s="53"/>
      <c r="G34" s="52"/>
      <c r="H34" s="53"/>
      <c r="I34" s="52"/>
      <c r="J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R34" s="4"/>
      <c r="AT34" s="58"/>
    </row>
    <row r="35" spans="1:83" s="10" customFormat="1" x14ac:dyDescent="0.25">
      <c r="B35" s="5"/>
      <c r="C35" s="5"/>
      <c r="D35" s="52"/>
      <c r="E35" s="52"/>
      <c r="F35" s="53"/>
      <c r="G35" s="52"/>
      <c r="H35" s="53"/>
      <c r="I35" s="52"/>
      <c r="J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R35" s="4"/>
      <c r="AT35" s="60"/>
    </row>
    <row r="36" spans="1:83" s="10" customFormat="1" x14ac:dyDescent="0.25">
      <c r="B36" s="5"/>
      <c r="C36" s="5"/>
      <c r="D36" s="52"/>
      <c r="E36" s="52"/>
      <c r="F36" s="53"/>
      <c r="G36" s="52"/>
      <c r="H36" s="53"/>
      <c r="I36" s="52"/>
      <c r="J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R36" s="4"/>
      <c r="AT36" s="58"/>
    </row>
    <row r="37" spans="1:83" s="10" customFormat="1" x14ac:dyDescent="0.25">
      <c r="B37" s="5"/>
      <c r="C37" s="5"/>
      <c r="D37" s="52"/>
      <c r="E37" s="52"/>
      <c r="F37" s="53"/>
      <c r="G37" s="52"/>
      <c r="H37" s="53"/>
      <c r="I37" s="52"/>
      <c r="J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R37" s="4"/>
      <c r="AT37" s="60"/>
    </row>
    <row r="38" spans="1:83" s="10" customFormat="1" x14ac:dyDescent="0.25">
      <c r="B38" s="5"/>
      <c r="C38" s="5"/>
      <c r="D38" s="52"/>
      <c r="E38" s="52"/>
      <c r="F38" s="53"/>
      <c r="G38" s="52"/>
      <c r="H38" s="145" t="s">
        <v>98</v>
      </c>
      <c r="I38" s="145"/>
      <c r="J38" s="145"/>
      <c r="K38" s="145"/>
      <c r="L38" s="3"/>
      <c r="M38" s="52" t="s">
        <v>99</v>
      </c>
      <c r="O38" s="52"/>
      <c r="P38" s="52"/>
      <c r="Q38" s="52" t="s">
        <v>100</v>
      </c>
      <c r="R38" s="52"/>
      <c r="S38" s="52"/>
      <c r="T38" s="52"/>
      <c r="U38" s="10" t="s">
        <v>101</v>
      </c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T38" s="58"/>
    </row>
    <row r="39" spans="1:83" s="10" customFormat="1" x14ac:dyDescent="0.25">
      <c r="A39" s="3"/>
      <c r="B39" s="4"/>
      <c r="C39" s="5"/>
      <c r="D39" s="3"/>
      <c r="E39" s="3" t="s">
        <v>80</v>
      </c>
      <c r="F39" s="6" t="s">
        <v>79</v>
      </c>
      <c r="G39" s="3"/>
      <c r="H39" s="65" t="s">
        <v>81</v>
      </c>
      <c r="I39" s="3" t="s">
        <v>82</v>
      </c>
      <c r="J39" s="65" t="s">
        <v>81</v>
      </c>
      <c r="K39" s="3" t="s">
        <v>82</v>
      </c>
      <c r="L39" s="3"/>
      <c r="M39" s="65" t="s">
        <v>81</v>
      </c>
      <c r="N39" s="3" t="s">
        <v>82</v>
      </c>
      <c r="O39" s="65" t="s">
        <v>81</v>
      </c>
      <c r="P39" s="3" t="s">
        <v>82</v>
      </c>
      <c r="Q39" s="65" t="s">
        <v>81</v>
      </c>
      <c r="R39" s="3" t="s">
        <v>82</v>
      </c>
      <c r="S39" s="65" t="s">
        <v>81</v>
      </c>
      <c r="T39" s="3" t="s">
        <v>82</v>
      </c>
      <c r="U39" s="65" t="s">
        <v>81</v>
      </c>
      <c r="V39" s="3" t="s">
        <v>82</v>
      </c>
      <c r="W39" s="65" t="s">
        <v>81</v>
      </c>
      <c r="X39" s="3" t="s">
        <v>82</v>
      </c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T39" s="60"/>
    </row>
    <row r="40" spans="1:83" s="10" customFormat="1" x14ac:dyDescent="0.25">
      <c r="A40" s="3"/>
      <c r="B40" s="4"/>
      <c r="C40" s="5"/>
      <c r="D40" t="s">
        <v>55</v>
      </c>
      <c r="E40" s="3">
        <f>H40+J40+M40+O40+Q40+S40+U40+W40</f>
        <v>0</v>
      </c>
      <c r="F40" s="3">
        <f>I40+K40+N40+P40+R40+T40+V40+X40</f>
        <v>0</v>
      </c>
      <c r="G40" s="3"/>
      <c r="H40" s="1">
        <f>SUMIF(Tableau_Lancer_la_requête_à_partir_de_Excel_Files1025678911[Avis Prog],"1-Favorable",Tableau_Lancer_la_requête_à_partir_de_Excel_Files1025678911[''FEDER''])</f>
        <v>0</v>
      </c>
      <c r="I40" s="3">
        <f>SUMIF(Tableau_Lancer_la_requête_à_partir_de_Excel_Files1025678911[Avis Cofimac],"1-Favorable",Tableau_Lancer_la_requête_à_partir_de_Excel_Files1025678911[''FEDER''])</f>
        <v>0</v>
      </c>
      <c r="J40" s="1">
        <f>SUMIF(Tableau_Lancer_la_requête_à_partir_de_Excel_Files1025678911[Avis Prog],"2-Favorable sous réserve",Tableau_Lancer_la_requête_à_partir_de_Excel_Files1025678911[''FEDER''])</f>
        <v>0</v>
      </c>
      <c r="K40" s="3">
        <f>SUMIF(Tableau_Lancer_la_requête_à_partir_de_Excel_Files1025678911[Avis Cofimac],"2-Favorable sous réserve",Tableau_Lancer_la_requête_à_partir_de_Excel_Files1025678911[''FEDER''])</f>
        <v>0</v>
      </c>
      <c r="L40" s="3"/>
      <c r="M40" s="1">
        <f>SUMIF(Tableau_Lancer_la_requête_à_partir_de_Excel_Files102567891113[Avis Prog],"1-Favorable",Tableau_Lancer_la_requête_à_partir_de_Excel_Files102567891113[''FEDER''])</f>
        <v>0</v>
      </c>
      <c r="N40" s="3">
        <f>SUMIF(Tableau_Lancer_la_requête_à_partir_de_Excel_Files102567891113[Avis Cofimac],"1-Favorable",Tableau_Lancer_la_requête_à_partir_de_Excel_Files102567891113[''FEDER''])</f>
        <v>0</v>
      </c>
      <c r="O40" s="1">
        <f>SUMIF(Tableau_Lancer_la_requête_à_partir_de_Excel_Files102567891113[Avis Prog],"2-Favorable sous réserve",Tableau_Lancer_la_requête_à_partir_de_Excel_Files102567891113[''FEDER''])</f>
        <v>0</v>
      </c>
      <c r="P40" s="3">
        <f>SUMIF(Tableau_Lancer_la_requête_à_partir_de_Excel_Files102567891113[Avis Cofimac],"2-Favorable sous réserve",Tableau_Lancer_la_requête_à_partir_de_Excel_Files102567891113[''FEDER''])</f>
        <v>0</v>
      </c>
      <c r="Q40" s="1">
        <f>SUMIF(Tableau_Lancer_la_requête_à_partir_de_Excel_Files10256789111214[Avis Prog],"1-Favorable",Tableau_Lancer_la_requête_à_partir_de_Excel_Files10256789111214[''FEDER''])</f>
        <v>0</v>
      </c>
      <c r="R40" s="3">
        <f>SUMIF(Tableau_Lancer_la_requête_à_partir_de_Excel_Files10256789111214[Avis Cofimac],"1-Favorable",Tableau_Lancer_la_requête_à_partir_de_Excel_Files10256789111214[''FEDER''])</f>
        <v>0</v>
      </c>
      <c r="S40" s="1">
        <f>SUMIF(Tableau_Lancer_la_requête_à_partir_de_Excel_Files10256789111214[Avis Prog],"2-Favorable sous réserve",Tableau_Lancer_la_requête_à_partir_de_Excel_Files10256789111214[''FEDER''])</f>
        <v>0</v>
      </c>
      <c r="T40" s="3">
        <f>SUMIF(Tableau_Lancer_la_requête_à_partir_de_Excel_Files10256789111214[Avis Cofimac],"2-Favorable sous réserve",Tableau_Lancer_la_requête_à_partir_de_Excel_Files10256789111214[''FEDER''])</f>
        <v>0</v>
      </c>
      <c r="U40" s="1">
        <f>SUMIF(Tableau_Lancer_la_requête_à_partir_de_Excel_Files102567891112[Avis Prog],"1-Favorable",Tableau_Lancer_la_requête_à_partir_de_Excel_Files102567891112[''FEDER''])</f>
        <v>0</v>
      </c>
      <c r="V40" s="3">
        <f>SUMIF(Tableau_Lancer_la_requête_à_partir_de_Excel_Files102567891112[Avis Cofimac],"1-Favorable",Tableau_Lancer_la_requête_à_partir_de_Excel_Files102567891112[''FEDER''])</f>
        <v>0</v>
      </c>
      <c r="W40" s="1">
        <f>SUMIF(Tableau_Lancer_la_requête_à_partir_de_Excel_Files102567891112[Avis Prog],"2-Favorable sous réserve",Tableau_Lancer_la_requête_à_partir_de_Excel_Files102567891112[''FEDER''])</f>
        <v>0</v>
      </c>
      <c r="X40" s="3">
        <f>SUMIF(Tableau_Lancer_la_requête_à_partir_de_Excel_Files102567891112[Avis Cofimac],"2-Favorable sous réserve",Tableau_Lancer_la_requête_à_partir_de_Excel_Files102567891112[''FEDER''])</f>
        <v>0</v>
      </c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4"/>
      <c r="AT40" s="58"/>
    </row>
    <row r="41" spans="1:83" s="10" customFormat="1" x14ac:dyDescent="0.25">
      <c r="A41" s="3"/>
      <c r="B41" s="4"/>
      <c r="C41" s="5"/>
      <c r="D41" t="s">
        <v>44</v>
      </c>
      <c r="E41" s="3">
        <f t="shared" ref="E41:E69" si="0">H41+J41+M41+O41+Q41+S41+U41+W41</f>
        <v>0</v>
      </c>
      <c r="F41" s="3">
        <f t="shared" ref="F41:F69" si="1">I41+K41+N41+P41+R41+T41+V41+X41</f>
        <v>0</v>
      </c>
      <c r="G41" s="3"/>
      <c r="H41" s="1">
        <f>SUMIF(Tableau_Lancer_la_requête_à_partir_de_Excel_Files1025678911[Avis Prog],"1-Favorable",Tableau_Lancer_la_requête_à_partir_de_Excel_Files1025678911[Total Etat])</f>
        <v>0</v>
      </c>
      <c r="I41" s="3">
        <f>SUMIF(Tableau_Lancer_la_requête_à_partir_de_Excel_Files1025678911[Avis Cofimac],"1-Favorable",Tableau_Lancer_la_requête_à_partir_de_Excel_Files1025678911[Total Etat])</f>
        <v>0</v>
      </c>
      <c r="J41" s="1">
        <f>SUMIF(Tableau_Lancer_la_requête_à_partir_de_Excel_Files1025678911[Avis Prog],"2-Favorable sous réserve",Tableau_Lancer_la_requête_à_partir_de_Excel_Files1025678911[Total Etat])</f>
        <v>0</v>
      </c>
      <c r="K41" s="3">
        <f>SUMIF(Tableau_Lancer_la_requête_à_partir_de_Excel_Files1025678911[Avis Cofimac],"2-Favorable sous réserve",Tableau_Lancer_la_requête_à_partir_de_Excel_Files1025678911[Total Etat])</f>
        <v>0</v>
      </c>
      <c r="L41" s="3"/>
      <c r="M41" s="1">
        <f>SUMIF(Tableau_Lancer_la_requête_à_partir_de_Excel_Files102567891113[Avis Prog],"1-Favorable",Tableau_Lancer_la_requête_à_partir_de_Excel_Files102567891113[Total Etat])</f>
        <v>0</v>
      </c>
      <c r="N41" s="3">
        <f>SUMIF(Tableau_Lancer_la_requête_à_partir_de_Excel_Files102567891113[Avis Cofimac],"1-Favorable",Tableau_Lancer_la_requête_à_partir_de_Excel_Files102567891113[Total Etat])</f>
        <v>0</v>
      </c>
      <c r="O41" s="1">
        <f>SUMIF(Tableau_Lancer_la_requête_à_partir_de_Excel_Files102567891113[Avis Prog],"2-Favorable sous réserve",Tableau_Lancer_la_requête_à_partir_de_Excel_Files102567891113[Total Etat])</f>
        <v>0</v>
      </c>
      <c r="P41" s="3">
        <f>SUMIF(Tableau_Lancer_la_requête_à_partir_de_Excel_Files102567891113[Avis Cofimac],"2-Favorable sous réserve",Tableau_Lancer_la_requête_à_partir_de_Excel_Files102567891113[Total Etat])</f>
        <v>0</v>
      </c>
      <c r="Q41" s="1">
        <f>SUMIF(Tableau_Lancer_la_requête_à_partir_de_Excel_Files10256789111214[Avis Prog],"1-Favorable",Tableau_Lancer_la_requête_à_partir_de_Excel_Files10256789111214[Total Etat])</f>
        <v>0</v>
      </c>
      <c r="R41" s="3">
        <f>SUMIF(Tableau_Lancer_la_requête_à_partir_de_Excel_Files10256789111214[Avis Cofimac],"1-Favorable",Tableau_Lancer_la_requête_à_partir_de_Excel_Files10256789111214[Total Etat])</f>
        <v>0</v>
      </c>
      <c r="S41" s="1">
        <f>SUMIF(Tableau_Lancer_la_requête_à_partir_de_Excel_Files10256789111214[Avis Prog],"2-Favorable sous réserve",Tableau_Lancer_la_requête_à_partir_de_Excel_Files10256789111214[Total Etat])</f>
        <v>0</v>
      </c>
      <c r="T41" s="3">
        <f>SUMIF(Tableau_Lancer_la_requête_à_partir_de_Excel_Files10256789111214[Avis Cofimac],"2-Favorable sous réserve",Tableau_Lancer_la_requête_à_partir_de_Excel_Files10256789111214[Total Etat])</f>
        <v>0</v>
      </c>
      <c r="U41" s="1">
        <f>SUMIF(Tableau_Lancer_la_requête_à_partir_de_Excel_Files102567891112[Avis Prog],"1-Favorable",Tableau_Lancer_la_requête_à_partir_de_Excel_Files102567891112[Total Etat])</f>
        <v>0</v>
      </c>
      <c r="V41" s="3">
        <f>SUMIF(Tableau_Lancer_la_requête_à_partir_de_Excel_Files102567891112[Avis Cofimac],"1-Favorable",Tableau_Lancer_la_requête_à_partir_de_Excel_Files102567891112[Total Etat])</f>
        <v>0</v>
      </c>
      <c r="W41" s="1">
        <f>SUMIF(Tableau_Lancer_la_requête_à_partir_de_Excel_Files102567891112[Avis Prog],"2-Favorable sous réserve",Tableau_Lancer_la_requête_à_partir_de_Excel_Files102567891112[Total Etat])</f>
        <v>0</v>
      </c>
      <c r="X41" s="3">
        <f>SUMIF(Tableau_Lancer_la_requête_à_partir_de_Excel_Files102567891112[Avis Cofimac],"2-Favorable sous réserve",Tableau_Lancer_la_requête_à_partir_de_Excel_Files102567891112[Total Etat])</f>
        <v>0</v>
      </c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4"/>
      <c r="AS41" s="3"/>
      <c r="AT41" s="60"/>
    </row>
    <row r="42" spans="1:83" x14ac:dyDescent="0.25">
      <c r="D42" t="s">
        <v>45</v>
      </c>
      <c r="E42" s="3">
        <f t="shared" si="0"/>
        <v>0</v>
      </c>
      <c r="F42" s="3">
        <f t="shared" si="1"/>
        <v>0</v>
      </c>
      <c r="H42" s="1">
        <f>SUMIF(Tableau_Lancer_la_requête_à_partir_de_Excel_Files1025678911[Avis Prog],"1-Favorable",Tableau_Lancer_la_requête_à_partir_de_Excel_Files1025678911[Total Régions])</f>
        <v>0</v>
      </c>
      <c r="I42" s="3">
        <f>SUMIF(Tableau_Lancer_la_requête_à_partir_de_Excel_Files1025678911[Avis Cofimac],"1-Favorable",Tableau_Lancer_la_requête_à_partir_de_Excel_Files1025678911[Total Régions])</f>
        <v>0</v>
      </c>
      <c r="J42" s="1">
        <f>SUMIF(Tableau_Lancer_la_requête_à_partir_de_Excel_Files1025678911[Avis Prog],"2-Favorable sous réserve",Tableau_Lancer_la_requête_à_partir_de_Excel_Files1025678911[Total Régions])</f>
        <v>0</v>
      </c>
      <c r="K42" s="3">
        <f>SUMIF(Tableau_Lancer_la_requête_à_partir_de_Excel_Files1025678911[Avis Cofimac],"2-Favorable sous réserve",Tableau_Lancer_la_requête_à_partir_de_Excel_Files1025678911[Total Régions])</f>
        <v>0</v>
      </c>
      <c r="M42" s="1">
        <f>SUMIF(Tableau_Lancer_la_requête_à_partir_de_Excel_Files102567891113[Avis Prog],"1-Favorable",Tableau_Lancer_la_requête_à_partir_de_Excel_Files102567891113[Total Régions])</f>
        <v>0</v>
      </c>
      <c r="N42" s="3">
        <f>SUMIF(Tableau_Lancer_la_requête_à_partir_de_Excel_Files102567891113[Avis Cofimac],"1-Favorable",Tableau_Lancer_la_requête_à_partir_de_Excel_Files102567891113[Total Régions])</f>
        <v>0</v>
      </c>
      <c r="O42" s="1">
        <f>SUMIF(Tableau_Lancer_la_requête_à_partir_de_Excel_Files102567891113[Avis Prog],"2-Favorable sous réserve",Tableau_Lancer_la_requête_à_partir_de_Excel_Files102567891113[Total Régions])</f>
        <v>0</v>
      </c>
      <c r="P42" s="3">
        <f>SUMIF(Tableau_Lancer_la_requête_à_partir_de_Excel_Files102567891113[Avis Cofimac],"2-Favorable sous réserve",Tableau_Lancer_la_requête_à_partir_de_Excel_Files102567891113[Total Régions])</f>
        <v>0</v>
      </c>
      <c r="Q42" s="1">
        <f>SUMIF(Tableau_Lancer_la_requête_à_partir_de_Excel_Files10256789111214[Avis Prog],"1-Favorable",Tableau_Lancer_la_requête_à_partir_de_Excel_Files10256789111214[Total Régions])</f>
        <v>0</v>
      </c>
      <c r="R42" s="3">
        <f>SUMIF(Tableau_Lancer_la_requête_à_partir_de_Excel_Files10256789111214[Avis Cofimac],"1-Favorable",Tableau_Lancer_la_requête_à_partir_de_Excel_Files10256789111214[Total Régions])</f>
        <v>0</v>
      </c>
      <c r="S42" s="1">
        <f>SUMIF(Tableau_Lancer_la_requête_à_partir_de_Excel_Files10256789111214[Avis Prog],"2-Favorable sous réserve",Tableau_Lancer_la_requête_à_partir_de_Excel_Files10256789111214[Total Régions])</f>
        <v>0</v>
      </c>
      <c r="T42" s="3">
        <f>SUMIF(Tableau_Lancer_la_requête_à_partir_de_Excel_Files10256789111214[Avis Cofimac],"2-Favorable sous réserve",Tableau_Lancer_la_requête_à_partir_de_Excel_Files10256789111214[Total Régions])</f>
        <v>0</v>
      </c>
      <c r="U42" s="1">
        <f>SUMIF(Tableau_Lancer_la_requête_à_partir_de_Excel_Files102567891112[Avis Prog],"1-Favorable",Tableau_Lancer_la_requête_à_partir_de_Excel_Files102567891112[Total Régions])</f>
        <v>0</v>
      </c>
      <c r="V42" s="3">
        <f>SUMIF(Tableau_Lancer_la_requête_à_partir_de_Excel_Files102567891112[Avis Cofimac],"1-Favorable",Tableau_Lancer_la_requête_à_partir_de_Excel_Files102567891112[Total Régions])</f>
        <v>0</v>
      </c>
      <c r="W42" s="1">
        <f>SUMIF(Tableau_Lancer_la_requête_à_partir_de_Excel_Files102567891112[Avis Prog],"2-Favorable sous réserve",Tableau_Lancer_la_requête_à_partir_de_Excel_Files102567891112[Total Régions])</f>
        <v>0</v>
      </c>
      <c r="X42" s="3">
        <f>SUMIF(Tableau_Lancer_la_requête_à_partir_de_Excel_Files102567891112[Avis Cofimac],"2-Favorable sous réserve",Tableau_Lancer_la_requête_à_partir_de_Excel_Files102567891112[Total Régions])</f>
        <v>0</v>
      </c>
      <c r="AT42" s="58"/>
      <c r="CD42" s="4"/>
      <c r="CE42" s="3"/>
    </row>
    <row r="43" spans="1:83" x14ac:dyDescent="0.25">
      <c r="D43" s="3" t="s">
        <v>56</v>
      </c>
      <c r="E43" s="3">
        <f t="shared" si="0"/>
        <v>0</v>
      </c>
      <c r="F43" s="3">
        <f t="shared" si="1"/>
        <v>0</v>
      </c>
      <c r="H43" s="1">
        <f>SUMIF(Tableau_Lancer_la_requête_à_partir_de_Excel_Files1025678911[Avis Prog],"1-Favorable",Tableau_Lancer_la_requête_à_partir_de_Excel_Files1025678911[''ALPC''])</f>
        <v>0</v>
      </c>
      <c r="I43" s="3">
        <f>SUMIF(Tableau_Lancer_la_requête_à_partir_de_Excel_Files1025678911[Avis Cofimac],"1-Favorable",Tableau_Lancer_la_requête_à_partir_de_Excel_Files1025678911[''ALPC''])</f>
        <v>0</v>
      </c>
      <c r="J43" s="1">
        <f>SUMIF(Tableau_Lancer_la_requête_à_partir_de_Excel_Files1025678911[Avis Prog],"2-Favorable sous réserve",Tableau_Lancer_la_requête_à_partir_de_Excel_Files1025678911[''ALPC''])</f>
        <v>0</v>
      </c>
      <c r="K43" s="3">
        <f>SUMIF(Tableau_Lancer_la_requête_à_partir_de_Excel_Files1025678911[Avis Cofimac],"2-Favorable sous réserve",Tableau_Lancer_la_requête_à_partir_de_Excel_Files1025678911[''ALPC''])</f>
        <v>0</v>
      </c>
      <c r="M43" s="1">
        <f>SUMIF(Tableau_Lancer_la_requête_à_partir_de_Excel_Files102567891113[Avis Prog],"1-Favorable",Tableau_Lancer_la_requête_à_partir_de_Excel_Files102567891113[''ALPC''])</f>
        <v>0</v>
      </c>
      <c r="N43" s="3">
        <f>SUMIF(Tableau_Lancer_la_requête_à_partir_de_Excel_Files102567891113[Avis Cofimac],"1-Favorable",Tableau_Lancer_la_requête_à_partir_de_Excel_Files102567891113[''ALPC''])</f>
        <v>0</v>
      </c>
      <c r="O43" s="1">
        <f>SUMIF(Tableau_Lancer_la_requête_à_partir_de_Excel_Files102567891113[Avis Prog],"2-Favorable sous réserve",Tableau_Lancer_la_requête_à_partir_de_Excel_Files102567891113[''ALPC''])</f>
        <v>0</v>
      </c>
      <c r="P43" s="3">
        <f>SUMIF(Tableau_Lancer_la_requête_à_partir_de_Excel_Files102567891113[Avis Cofimac],"2-Favorable sous réserve",Tableau_Lancer_la_requête_à_partir_de_Excel_Files102567891113[''ALPC''])</f>
        <v>0</v>
      </c>
      <c r="Q43" s="1">
        <f>SUMIF(Tableau_Lancer_la_requête_à_partir_de_Excel_Files10256789111214[Avis Prog],"1-Favorable",Tableau_Lancer_la_requête_à_partir_de_Excel_Files10256789111214[''ALPC''])</f>
        <v>0</v>
      </c>
      <c r="R43" s="3">
        <f>SUMIF(Tableau_Lancer_la_requête_à_partir_de_Excel_Files10256789111214[Avis Cofimac],"1-Favorable",Tableau_Lancer_la_requête_à_partir_de_Excel_Files10256789111214[''ALPC''])</f>
        <v>0</v>
      </c>
      <c r="S43" s="1">
        <f>SUMIF(Tableau_Lancer_la_requête_à_partir_de_Excel_Files10256789111214[Avis Prog],"2-Favorable sous réserve",Tableau_Lancer_la_requête_à_partir_de_Excel_Files10256789111214[''ALPC''])</f>
        <v>0</v>
      </c>
      <c r="T43" s="3">
        <f>SUMIF(Tableau_Lancer_la_requête_à_partir_de_Excel_Files10256789111214[Avis Cofimac],"2-Favorable sous réserve",Tableau_Lancer_la_requête_à_partir_de_Excel_Files10256789111214[''ALPC''])</f>
        <v>0</v>
      </c>
      <c r="U43" s="1">
        <f>SUMIF(Tableau_Lancer_la_requête_à_partir_de_Excel_Files102567891112[Avis Prog],"1-Favorable",Tableau_Lancer_la_requête_à_partir_de_Excel_Files102567891112[''ALPC''])</f>
        <v>0</v>
      </c>
      <c r="V43" s="3">
        <f>SUMIF(Tableau_Lancer_la_requête_à_partir_de_Excel_Files102567891112[Avis Cofimac],"1-Favorable",Tableau_Lancer_la_requête_à_partir_de_Excel_Files102567891112[''ALPC''])</f>
        <v>0</v>
      </c>
      <c r="W43" s="1">
        <f>SUMIF(Tableau_Lancer_la_requête_à_partir_de_Excel_Files102567891112[Avis Prog],"2-Favorable sous réserve",Tableau_Lancer_la_requête_à_partir_de_Excel_Files102567891112[''ALPC''])</f>
        <v>0</v>
      </c>
      <c r="X43" s="3">
        <f>SUMIF(Tableau_Lancer_la_requête_à_partir_de_Excel_Files102567891112[Avis Cofimac],"2-Favorable sous réserve",Tableau_Lancer_la_requête_à_partir_de_Excel_Files102567891112[''ALPC''])</f>
        <v>0</v>
      </c>
      <c r="AT43" s="60"/>
    </row>
    <row r="44" spans="1:83" x14ac:dyDescent="0.25">
      <c r="D44" s="3" t="s">
        <v>57</v>
      </c>
      <c r="E44" s="3">
        <f t="shared" si="0"/>
        <v>0</v>
      </c>
      <c r="F44" s="3">
        <f t="shared" si="1"/>
        <v>0</v>
      </c>
      <c r="H44" s="1">
        <f>SUMIF(Tableau_Lancer_la_requête_à_partir_de_Excel_Files1025678911[Avis Prog],"1-Favorable",Tableau_Lancer_la_requête_à_partir_de_Excel_Files1025678911[''AURA''])</f>
        <v>0</v>
      </c>
      <c r="I44" s="3">
        <f>SUMIF(Tableau_Lancer_la_requête_à_partir_de_Excel_Files1025678911[Avis Cofimac],"1-Favorable",Tableau_Lancer_la_requête_à_partir_de_Excel_Files1025678911[''AURA''])</f>
        <v>0</v>
      </c>
      <c r="J44" s="1">
        <f>SUMIF(Tableau_Lancer_la_requête_à_partir_de_Excel_Files1025678911[Avis Prog],"2-Favorable sous réserve",Tableau_Lancer_la_requête_à_partir_de_Excel_Files1025678911[''AURA''])</f>
        <v>0</v>
      </c>
      <c r="K44" s="3">
        <f>SUMIF(Tableau_Lancer_la_requête_à_partir_de_Excel_Files1025678911[Avis Cofimac],"2-Favorable sous réserve",Tableau_Lancer_la_requête_à_partir_de_Excel_Files1025678911[''AURA''])</f>
        <v>0</v>
      </c>
      <c r="M44" s="1">
        <f>SUMIF(Tableau_Lancer_la_requête_à_partir_de_Excel_Files102567891113[Avis Prog],"1-Favorable",Tableau_Lancer_la_requête_à_partir_de_Excel_Files102567891113[''AURA''])</f>
        <v>0</v>
      </c>
      <c r="N44" s="3">
        <f>SUMIF(Tableau_Lancer_la_requête_à_partir_de_Excel_Files102567891113[Avis Cofimac],"1-Favorable",Tableau_Lancer_la_requête_à_partir_de_Excel_Files102567891113[''AURA''])</f>
        <v>0</v>
      </c>
      <c r="O44" s="1">
        <f>SUMIF(Tableau_Lancer_la_requête_à_partir_de_Excel_Files102567891113[Avis Prog],"2-Favorable sous réserve",Tableau_Lancer_la_requête_à_partir_de_Excel_Files102567891113[''AURA''])</f>
        <v>0</v>
      </c>
      <c r="P44" s="3">
        <f>SUMIF(Tableau_Lancer_la_requête_à_partir_de_Excel_Files102567891113[Avis Cofimac],"2-Favorable sous réserve",Tableau_Lancer_la_requête_à_partir_de_Excel_Files102567891113[''AURA''])</f>
        <v>0</v>
      </c>
      <c r="Q44" s="1">
        <f>SUMIF(Tableau_Lancer_la_requête_à_partir_de_Excel_Files10256789111214[Avis Prog],"1-Favorable",Tableau_Lancer_la_requête_à_partir_de_Excel_Files10256789111214[''AURA''])</f>
        <v>0</v>
      </c>
      <c r="R44" s="3">
        <f>SUMIF(Tableau_Lancer_la_requête_à_partir_de_Excel_Files10256789111214[Avis Cofimac],"1-Favorable",Tableau_Lancer_la_requête_à_partir_de_Excel_Files10256789111214[''AURA''])</f>
        <v>0</v>
      </c>
      <c r="S44" s="1">
        <f>SUMIF(Tableau_Lancer_la_requête_à_partir_de_Excel_Files10256789111214[Avis Prog],"2-Favorable sous réserve",Tableau_Lancer_la_requête_à_partir_de_Excel_Files10256789111214[''AURA''])</f>
        <v>0</v>
      </c>
      <c r="T44" s="3">
        <f>SUMIF(Tableau_Lancer_la_requête_à_partir_de_Excel_Files10256789111214[Avis Cofimac],"2-Favorable sous réserve",Tableau_Lancer_la_requête_à_partir_de_Excel_Files10256789111214[''AURA''])</f>
        <v>0</v>
      </c>
      <c r="U44" s="1">
        <f>SUMIF(Tableau_Lancer_la_requête_à_partir_de_Excel_Files102567891112[Avis Prog],"1-Favorable",Tableau_Lancer_la_requête_à_partir_de_Excel_Files102567891112[''AURA''])</f>
        <v>0</v>
      </c>
      <c r="V44" s="3">
        <f>SUMIF(Tableau_Lancer_la_requête_à_partir_de_Excel_Files102567891112[Avis Cofimac],"1-Favorable",Tableau_Lancer_la_requête_à_partir_de_Excel_Files102567891112[''AURA''])</f>
        <v>0</v>
      </c>
      <c r="W44" s="1">
        <f>SUMIF(Tableau_Lancer_la_requête_à_partir_de_Excel_Files102567891112[Avis Prog],"2-Favorable sous réserve",Tableau_Lancer_la_requête_à_partir_de_Excel_Files102567891112[''AURA''])</f>
        <v>0</v>
      </c>
      <c r="X44" s="3">
        <f>SUMIF(Tableau_Lancer_la_requête_à_partir_de_Excel_Files102567891112[Avis Cofimac],"2-Favorable sous réserve",Tableau_Lancer_la_requête_à_partir_de_Excel_Files102567891112[''AURA''])</f>
        <v>0</v>
      </c>
      <c r="AT44" s="58"/>
    </row>
    <row r="45" spans="1:83" x14ac:dyDescent="0.25">
      <c r="D45" s="3" t="s">
        <v>58</v>
      </c>
      <c r="E45" s="3">
        <f t="shared" si="0"/>
        <v>0</v>
      </c>
      <c r="F45" s="3">
        <f t="shared" si="1"/>
        <v>0</v>
      </c>
      <c r="H45" s="1">
        <f>SUMIF(Tableau_Lancer_la_requête_à_partir_de_Excel_Files1025678911[Avis Prog],"1-Favorable",Tableau_Lancer_la_requête_à_partir_de_Excel_Files1025678911[''BFC''])</f>
        <v>0</v>
      </c>
      <c r="I45" s="3">
        <f>SUMIF(Tableau_Lancer_la_requête_à_partir_de_Excel_Files1025678911[Avis Cofimac],"1-Favorable",Tableau_Lancer_la_requête_à_partir_de_Excel_Files1025678911[''BFC''])</f>
        <v>0</v>
      </c>
      <c r="J45" s="1">
        <f>SUMIF(Tableau_Lancer_la_requête_à_partir_de_Excel_Files1025678911[Avis Prog],"2-Favorable sous réserve",Tableau_Lancer_la_requête_à_partir_de_Excel_Files1025678911[''BFC''])</f>
        <v>0</v>
      </c>
      <c r="K45" s="3">
        <f>SUMIF(Tableau_Lancer_la_requête_à_partir_de_Excel_Files1025678911[Avis Cofimac],"2-Favorable sous réserve",Tableau_Lancer_la_requête_à_partir_de_Excel_Files1025678911[''BFC''])</f>
        <v>0</v>
      </c>
      <c r="M45" s="1">
        <f>SUMIF(Tableau_Lancer_la_requête_à_partir_de_Excel_Files102567891113[Avis Prog],"1-Favorable",Tableau_Lancer_la_requête_à_partir_de_Excel_Files102567891113[''BFC''])</f>
        <v>0</v>
      </c>
      <c r="N45" s="3">
        <f>SUMIF(Tableau_Lancer_la_requête_à_partir_de_Excel_Files102567891113[Avis Cofimac],"1-Favorable",Tableau_Lancer_la_requête_à_partir_de_Excel_Files102567891113[''BFC''])</f>
        <v>0</v>
      </c>
      <c r="O45" s="1">
        <f>SUMIF(Tableau_Lancer_la_requête_à_partir_de_Excel_Files102567891113[Avis Prog],"2-Favorable sous réserve",Tableau_Lancer_la_requête_à_partir_de_Excel_Files102567891113[''BFC''])</f>
        <v>0</v>
      </c>
      <c r="P45" s="3">
        <f>SUMIF(Tableau_Lancer_la_requête_à_partir_de_Excel_Files102567891113[Avis Cofimac],"2-Favorable sous réserve",Tableau_Lancer_la_requête_à_partir_de_Excel_Files102567891113[''BFC''])</f>
        <v>0</v>
      </c>
      <c r="Q45" s="1">
        <f>SUMIF(Tableau_Lancer_la_requête_à_partir_de_Excel_Files10256789111214[Avis Prog],"1-Favorable",Tableau_Lancer_la_requête_à_partir_de_Excel_Files10256789111214[''BFC''])</f>
        <v>0</v>
      </c>
      <c r="R45" s="3">
        <f>SUMIF(Tableau_Lancer_la_requête_à_partir_de_Excel_Files10256789111214[Avis Cofimac],"1-Favorable",Tableau_Lancer_la_requête_à_partir_de_Excel_Files10256789111214[''BFC''])</f>
        <v>0</v>
      </c>
      <c r="S45" s="1">
        <f>SUMIF(Tableau_Lancer_la_requête_à_partir_de_Excel_Files10256789111214[Avis Prog],"2-Favorable sous réserve",Tableau_Lancer_la_requête_à_partir_de_Excel_Files10256789111214[''BFC''])</f>
        <v>0</v>
      </c>
      <c r="T45" s="3">
        <f>SUMIF(Tableau_Lancer_la_requête_à_partir_de_Excel_Files10256789111214[Avis Cofimac],"2-Favorable sous réserve",Tableau_Lancer_la_requête_à_partir_de_Excel_Files10256789111214[''BFC''])</f>
        <v>0</v>
      </c>
      <c r="U45" s="1">
        <f>SUMIF(Tableau_Lancer_la_requête_à_partir_de_Excel_Files102567891112[Avis Prog],"1-Favorable",Tableau_Lancer_la_requête_à_partir_de_Excel_Files102567891112[''BFC''])</f>
        <v>0</v>
      </c>
      <c r="V45" s="3">
        <f>SUMIF(Tableau_Lancer_la_requête_à_partir_de_Excel_Files102567891112[Avis Cofimac],"1-Favorable",Tableau_Lancer_la_requête_à_partir_de_Excel_Files102567891112[''BFC''])</f>
        <v>0</v>
      </c>
      <c r="W45" s="1">
        <f>SUMIF(Tableau_Lancer_la_requête_à_partir_de_Excel_Files102567891112[Avis Prog],"2-Favorable sous réserve",Tableau_Lancer_la_requête_à_partir_de_Excel_Files102567891112[''BFC''])</f>
        <v>0</v>
      </c>
      <c r="X45" s="3">
        <f>SUMIF(Tableau_Lancer_la_requête_à_partir_de_Excel_Files102567891112[Avis Cofimac],"2-Favorable sous réserve",Tableau_Lancer_la_requête_à_partir_de_Excel_Files102567891112[''BFC''])</f>
        <v>0</v>
      </c>
      <c r="AT45" s="60"/>
    </row>
    <row r="46" spans="1:83" x14ac:dyDescent="0.25">
      <c r="D46" s="3" t="s">
        <v>59</v>
      </c>
      <c r="E46" s="3">
        <f t="shared" si="0"/>
        <v>0</v>
      </c>
      <c r="F46" s="3">
        <f t="shared" si="1"/>
        <v>0</v>
      </c>
      <c r="H46" s="1">
        <f>SUMIF(Tableau_Lancer_la_requête_à_partir_de_Excel_Files1025678911[Avis Prog],"1-Favorable",Tableau_Lancer_la_requête_à_partir_de_Excel_Files1025678911[''LRMP''])</f>
        <v>0</v>
      </c>
      <c r="I46" s="3">
        <f>SUMIF(Tableau_Lancer_la_requête_à_partir_de_Excel_Files1025678911[Avis Cofimac],"1-Favorable",Tableau_Lancer_la_requête_à_partir_de_Excel_Files1025678911[''LRMP''])</f>
        <v>0</v>
      </c>
      <c r="J46" s="1">
        <f>SUMIF(Tableau_Lancer_la_requête_à_partir_de_Excel_Files1025678911[Avis Prog],"2-Favorable sous réserve",Tableau_Lancer_la_requête_à_partir_de_Excel_Files1025678911[''LRMP''])</f>
        <v>0</v>
      </c>
      <c r="K46" s="3">
        <f>SUMIF(Tableau_Lancer_la_requête_à_partir_de_Excel_Files1025678911[Avis Cofimac],"2-Favorable sous réserve",Tableau_Lancer_la_requête_à_partir_de_Excel_Files1025678911[''LRMP''])</f>
        <v>0</v>
      </c>
      <c r="M46" s="1">
        <f>SUMIF(Tableau_Lancer_la_requête_à_partir_de_Excel_Files102567891113[Avis Prog],"1-Favorable",Tableau_Lancer_la_requête_à_partir_de_Excel_Files102567891113[''LRMP''])</f>
        <v>0</v>
      </c>
      <c r="N46" s="3">
        <f>SUMIF(Tableau_Lancer_la_requête_à_partir_de_Excel_Files102567891113[Avis Cofimac],"1-Favorable",Tableau_Lancer_la_requête_à_partir_de_Excel_Files102567891113[''LRMP''])</f>
        <v>0</v>
      </c>
      <c r="O46" s="1">
        <f>SUMIF(Tableau_Lancer_la_requête_à_partir_de_Excel_Files102567891113[Avis Prog],"2-Favorable sous réserve",Tableau_Lancer_la_requête_à_partir_de_Excel_Files102567891113[''LRMP''])</f>
        <v>0</v>
      </c>
      <c r="P46" s="3">
        <f>SUMIF(Tableau_Lancer_la_requête_à_partir_de_Excel_Files102567891113[Avis Cofimac],"2-Favorable sous réserve",Tableau_Lancer_la_requête_à_partir_de_Excel_Files102567891113[''LRMP''])</f>
        <v>0</v>
      </c>
      <c r="Q46" s="1">
        <f>SUMIF(Tableau_Lancer_la_requête_à_partir_de_Excel_Files10256789111214[Avis Prog],"1-Favorable",Tableau_Lancer_la_requête_à_partir_de_Excel_Files10256789111214[''LRMP''])</f>
        <v>0</v>
      </c>
      <c r="R46" s="3">
        <f>SUMIF(Tableau_Lancer_la_requête_à_partir_de_Excel_Files10256789111214[Avis Cofimac],"1-Favorable",Tableau_Lancer_la_requête_à_partir_de_Excel_Files10256789111214[''LRMP''])</f>
        <v>0</v>
      </c>
      <c r="S46" s="1">
        <f>SUMIF(Tableau_Lancer_la_requête_à_partir_de_Excel_Files10256789111214[Avis Prog],"2-Favorable sous réserve",Tableau_Lancer_la_requête_à_partir_de_Excel_Files10256789111214[''LRMP''])</f>
        <v>0</v>
      </c>
      <c r="T46" s="3">
        <f>SUMIF(Tableau_Lancer_la_requête_à_partir_de_Excel_Files10256789111214[Avis Cofimac],"2-Favorable sous réserve",Tableau_Lancer_la_requête_à_partir_de_Excel_Files10256789111214[''LRMP''])</f>
        <v>0</v>
      </c>
      <c r="U46" s="1">
        <f>SUMIF(Tableau_Lancer_la_requête_à_partir_de_Excel_Files102567891112[Avis Prog],"1-Favorable",Tableau_Lancer_la_requête_à_partir_de_Excel_Files102567891112[''LRMP''])</f>
        <v>0</v>
      </c>
      <c r="V46" s="3">
        <f>SUMIF(Tableau_Lancer_la_requête_à_partir_de_Excel_Files102567891112[Avis Cofimac],"1-Favorable",Tableau_Lancer_la_requête_à_partir_de_Excel_Files102567891112[''LRMP''])</f>
        <v>0</v>
      </c>
      <c r="W46" s="1">
        <f>SUMIF(Tableau_Lancer_la_requête_à_partir_de_Excel_Files102567891112[Avis Prog],"2-Favorable sous réserve",Tableau_Lancer_la_requête_à_partir_de_Excel_Files102567891112[''LRMP''])</f>
        <v>0</v>
      </c>
      <c r="X46" s="3">
        <f>SUMIF(Tableau_Lancer_la_requête_à_partir_de_Excel_Files102567891112[Avis Cofimac],"2-Favorable sous réserve",Tableau_Lancer_la_requête_à_partir_de_Excel_Files102567891112[''LRMP''])</f>
        <v>0</v>
      </c>
      <c r="AT46" s="58"/>
    </row>
    <row r="47" spans="1:83" x14ac:dyDescent="0.25">
      <c r="D47" t="s">
        <v>46</v>
      </c>
      <c r="E47" s="3">
        <f t="shared" si="0"/>
        <v>0</v>
      </c>
      <c r="F47" s="3">
        <f t="shared" si="1"/>
        <v>0</v>
      </c>
      <c r="H47" s="1">
        <f>SUMIF(Tableau_Lancer_la_requête_à_partir_de_Excel_Files1025678911[Avis Prog],"1-Favorable",Tableau_Lancer_la_requête_à_partir_de_Excel_Files1025678911[Total Dpts])</f>
        <v>0</v>
      </c>
      <c r="I47" s="3">
        <f>SUMIF(Tableau_Lancer_la_requête_à_partir_de_Excel_Files1025678911[Avis Cofimac],"1-Favorable",Tableau_Lancer_la_requête_à_partir_de_Excel_Files1025678911[Total Dpts])</f>
        <v>0</v>
      </c>
      <c r="J47" s="1">
        <f>SUMIF(Tableau_Lancer_la_requête_à_partir_de_Excel_Files1025678911[Avis Prog],"2-Favorable sous réserve",Tableau_Lancer_la_requête_à_partir_de_Excel_Files1025678911[Total Dpts])</f>
        <v>0</v>
      </c>
      <c r="K47" s="3">
        <f>SUMIF(Tableau_Lancer_la_requête_à_partir_de_Excel_Files1025678911[Avis Cofimac],"2-Favorable sous réserve",Tableau_Lancer_la_requête_à_partir_de_Excel_Files1025678911[Total Dpts])</f>
        <v>0</v>
      </c>
      <c r="M47" s="1">
        <f>SUMIF(Tableau_Lancer_la_requête_à_partir_de_Excel_Files102567891113[Avis Prog],"1-Favorable",Tableau_Lancer_la_requête_à_partir_de_Excel_Files102567891113[Total Dpts])</f>
        <v>0</v>
      </c>
      <c r="N47" s="3">
        <f>SUMIF(Tableau_Lancer_la_requête_à_partir_de_Excel_Files102567891113[Avis Cofimac],"1-Favorable",Tableau_Lancer_la_requête_à_partir_de_Excel_Files102567891113[Total Dpts])</f>
        <v>0</v>
      </c>
      <c r="O47" s="1">
        <f>SUMIF(Tableau_Lancer_la_requête_à_partir_de_Excel_Files102567891113[Avis Prog],"2-Favorable sous réserve",Tableau_Lancer_la_requête_à_partir_de_Excel_Files102567891113[Total Dpts])</f>
        <v>0</v>
      </c>
      <c r="P47" s="3">
        <f>SUMIF(Tableau_Lancer_la_requête_à_partir_de_Excel_Files102567891113[Avis Cofimac],"2-Favorable sous réserve",Tableau_Lancer_la_requête_à_partir_de_Excel_Files102567891113[Total Dpts])</f>
        <v>0</v>
      </c>
      <c r="Q47" s="1">
        <f>SUMIF(Tableau_Lancer_la_requête_à_partir_de_Excel_Files10256789111214[Avis Prog],"1-Favorable",Tableau_Lancer_la_requête_à_partir_de_Excel_Files10256789111214[Total Dpts])</f>
        <v>0</v>
      </c>
      <c r="R47" s="3">
        <f>SUMIF(Tableau_Lancer_la_requête_à_partir_de_Excel_Files10256789111214[Avis Cofimac],"1-Favorable",Tableau_Lancer_la_requête_à_partir_de_Excel_Files10256789111214[Total Dpts])</f>
        <v>0</v>
      </c>
      <c r="S47" s="1">
        <f>SUMIF(Tableau_Lancer_la_requête_à_partir_de_Excel_Files10256789111214[Avis Prog],"2-Favorable sous réserve",Tableau_Lancer_la_requête_à_partir_de_Excel_Files10256789111214[Total Dpts])</f>
        <v>0</v>
      </c>
      <c r="T47" s="3">
        <f>SUMIF(Tableau_Lancer_la_requête_à_partir_de_Excel_Files10256789111214[Avis Cofimac],"2-Favorable sous réserve",Tableau_Lancer_la_requête_à_partir_de_Excel_Files10256789111214[Total Dpts])</f>
        <v>0</v>
      </c>
      <c r="U47" s="1">
        <f>SUMIF(Tableau_Lancer_la_requête_à_partir_de_Excel_Files102567891112[Avis Prog],"1-Favorable",Tableau_Lancer_la_requête_à_partir_de_Excel_Files102567891112[Total Dpts])</f>
        <v>0</v>
      </c>
      <c r="V47" s="3">
        <f>SUMIF(Tableau_Lancer_la_requête_à_partir_de_Excel_Files102567891112[Avis Cofimac],"1-Favorable",Tableau_Lancer_la_requête_à_partir_de_Excel_Files102567891112[Total Dpts])</f>
        <v>0</v>
      </c>
      <c r="W47" s="1">
        <f>SUMIF(Tableau_Lancer_la_requête_à_partir_de_Excel_Files102567891112[Avis Prog],"2-Favorable sous réserve",Tableau_Lancer_la_requête_à_partir_de_Excel_Files102567891112[Total Dpts])</f>
        <v>0</v>
      </c>
      <c r="X47" s="3">
        <f>SUMIF(Tableau_Lancer_la_requête_à_partir_de_Excel_Files102567891112[Avis Cofimac],"2-Favorable sous réserve",Tableau_Lancer_la_requête_à_partir_de_Excel_Files102567891112[Total Dpts])</f>
        <v>0</v>
      </c>
      <c r="AT47" s="60"/>
    </row>
    <row r="48" spans="1:83" ht="15.75" thickBot="1" x14ac:dyDescent="0.3">
      <c r="D48" t="s">
        <v>20</v>
      </c>
      <c r="E48" s="3">
        <f t="shared" si="0"/>
        <v>0</v>
      </c>
      <c r="F48" s="3">
        <f t="shared" si="1"/>
        <v>0</v>
      </c>
      <c r="H48" s="1">
        <f>SUMIF(Tableau_Lancer_la_requête_à_partir_de_Excel_Files1025678911[Avis Prog],"1-Favorable",Tableau_Lancer_la_requête_à_partir_de_Excel_Files1025678911[''03''])</f>
        <v>0</v>
      </c>
      <c r="I48" s="3">
        <f>SUMIF(Tableau_Lancer_la_requête_à_partir_de_Excel_Files1025678911[Avis Cofimac],"1-Favorable",Tableau_Lancer_la_requête_à_partir_de_Excel_Files1025678911[''03''])</f>
        <v>0</v>
      </c>
      <c r="J48" s="1">
        <f>SUMIF(Tableau_Lancer_la_requête_à_partir_de_Excel_Files1025678911[Avis Prog],"2-Favorable sous réserve",Tableau_Lancer_la_requête_à_partir_de_Excel_Files1025678911[''03''])</f>
        <v>0</v>
      </c>
      <c r="K48" s="3">
        <f>SUMIF(Tableau_Lancer_la_requête_à_partir_de_Excel_Files1025678911[Avis Cofimac],"2-Favorable sous réserve",Tableau_Lancer_la_requête_à_partir_de_Excel_Files1025678911[''03''])</f>
        <v>0</v>
      </c>
      <c r="M48" s="1">
        <f>SUMIF(Tableau_Lancer_la_requête_à_partir_de_Excel_Files102567891113[Avis Prog],"1-Favorable",Tableau_Lancer_la_requête_à_partir_de_Excel_Files102567891113[''03''])</f>
        <v>0</v>
      </c>
      <c r="N48" s="3">
        <f>SUMIF(Tableau_Lancer_la_requête_à_partir_de_Excel_Files102567891113[Avis Cofimac],"1-Favorable",Tableau_Lancer_la_requête_à_partir_de_Excel_Files102567891113[''03''])</f>
        <v>0</v>
      </c>
      <c r="O48" s="1">
        <f>SUMIF(Tableau_Lancer_la_requête_à_partir_de_Excel_Files102567891113[Avis Prog],"2-Favorable sous réserve",Tableau_Lancer_la_requête_à_partir_de_Excel_Files102567891113[''03''])</f>
        <v>0</v>
      </c>
      <c r="P48" s="3">
        <f>SUMIF(Tableau_Lancer_la_requête_à_partir_de_Excel_Files102567891113[Avis Cofimac],"2-Favorable sous réserve",Tableau_Lancer_la_requête_à_partir_de_Excel_Files102567891113[''03''])</f>
        <v>0</v>
      </c>
      <c r="Q48" s="1">
        <f>SUMIF(Tableau_Lancer_la_requête_à_partir_de_Excel_Files10256789111214[Avis Prog],"1-Favorable",Tableau_Lancer_la_requête_à_partir_de_Excel_Files10256789111214[''03''])</f>
        <v>0</v>
      </c>
      <c r="R48" s="3">
        <f>SUMIF(Tableau_Lancer_la_requête_à_partir_de_Excel_Files10256789111214[Avis Cofimac],"1-Favorable",Tableau_Lancer_la_requête_à_partir_de_Excel_Files10256789111214[''03''])</f>
        <v>0</v>
      </c>
      <c r="S48" s="1">
        <f>SUMIF(Tableau_Lancer_la_requête_à_partir_de_Excel_Files10256789111214[Avis Prog],"2-Favorable sous réserve",Tableau_Lancer_la_requête_à_partir_de_Excel_Files10256789111214[''03''])</f>
        <v>0</v>
      </c>
      <c r="T48" s="3">
        <f>SUMIF(Tableau_Lancer_la_requête_à_partir_de_Excel_Files10256789111214[Avis Cofimac],"2-Favorable sous réserve",Tableau_Lancer_la_requête_à_partir_de_Excel_Files10256789111214[''03''])</f>
        <v>0</v>
      </c>
      <c r="U48" s="1">
        <f>SUMIF(Tableau_Lancer_la_requête_à_partir_de_Excel_Files102567891112[Avis Prog],"1-Favorable",Tableau_Lancer_la_requête_à_partir_de_Excel_Files102567891112[''03''])</f>
        <v>0</v>
      </c>
      <c r="V48" s="3">
        <f>SUMIF(Tableau_Lancer_la_requête_à_partir_de_Excel_Files102567891112[Avis Cofimac],"1-Favorable",Tableau_Lancer_la_requête_à_partir_de_Excel_Files102567891112[''03''])</f>
        <v>0</v>
      </c>
      <c r="W48" s="1">
        <f>SUMIF(Tableau_Lancer_la_requête_à_partir_de_Excel_Files102567891112[Avis Prog],"2-Favorable sous réserve",Tableau_Lancer_la_requête_à_partir_de_Excel_Files102567891112[''03''])</f>
        <v>0</v>
      </c>
      <c r="X48" s="3">
        <f>SUMIF(Tableau_Lancer_la_requête_à_partir_de_Excel_Files102567891112[Avis Cofimac],"2-Favorable sous réserve",Tableau_Lancer_la_requête_à_partir_de_Excel_Files102567891112[''03''])</f>
        <v>0</v>
      </c>
      <c r="AT48" s="58"/>
    </row>
    <row r="49" spans="4:46" ht="15.75" thickTop="1" x14ac:dyDescent="0.25">
      <c r="D49" t="s">
        <v>21</v>
      </c>
      <c r="E49" s="3">
        <f t="shared" si="0"/>
        <v>0</v>
      </c>
      <c r="F49" s="3">
        <f t="shared" si="1"/>
        <v>0</v>
      </c>
      <c r="H49" s="1">
        <f>SUMIF(Tableau_Lancer_la_requête_à_partir_de_Excel_Files1025678911[Avis Prog],"1-Favorable",Tableau_Lancer_la_requête_à_partir_de_Excel_Files1025678911[''07''])</f>
        <v>0</v>
      </c>
      <c r="I49" s="3">
        <f>SUMIF(Tableau_Lancer_la_requête_à_partir_de_Excel_Files1025678911[Avis Cofimac],"1-Favorable",Tableau_Lancer_la_requête_à_partir_de_Excel_Files1025678911[''07''])</f>
        <v>0</v>
      </c>
      <c r="J49" s="1">
        <f>SUMIF(Tableau_Lancer_la_requête_à_partir_de_Excel_Files1025678911[Avis Prog],"2-Favorable sous réserve",Tableau_Lancer_la_requête_à_partir_de_Excel_Files1025678911[''07''])</f>
        <v>0</v>
      </c>
      <c r="K49" s="3">
        <f>SUMIF(Tableau_Lancer_la_requête_à_partir_de_Excel_Files1025678911[Avis Cofimac],"2-Favorable sous réserve",Tableau_Lancer_la_requête_à_partir_de_Excel_Files1025678911[''07''])</f>
        <v>0</v>
      </c>
      <c r="M49" s="1">
        <f>SUMIF(Tableau_Lancer_la_requête_à_partir_de_Excel_Files102567891113[Avis Prog],"1-Favorable",Tableau_Lancer_la_requête_à_partir_de_Excel_Files102567891113[''07''])</f>
        <v>0</v>
      </c>
      <c r="N49" s="3">
        <f>SUMIF(Tableau_Lancer_la_requête_à_partir_de_Excel_Files102567891113[Avis Cofimac],"1-Favorable",Tableau_Lancer_la_requête_à_partir_de_Excel_Files102567891113[''07''])</f>
        <v>0</v>
      </c>
      <c r="O49" s="1">
        <f>SUMIF(Tableau_Lancer_la_requête_à_partir_de_Excel_Files102567891113[Avis Prog],"2-Favorable sous réserve",Tableau_Lancer_la_requête_à_partir_de_Excel_Files102567891113[''07''])</f>
        <v>0</v>
      </c>
      <c r="P49" s="3">
        <f>SUMIF(Tableau_Lancer_la_requête_à_partir_de_Excel_Files102567891113[Avis Cofimac],"2-Favorable sous réserve",Tableau_Lancer_la_requête_à_partir_de_Excel_Files102567891113[''07''])</f>
        <v>0</v>
      </c>
      <c r="Q49" s="1">
        <f>SUMIF(Tableau_Lancer_la_requête_à_partir_de_Excel_Files10256789111214[Avis Prog],"1-Favorable",Tableau_Lancer_la_requête_à_partir_de_Excel_Files10256789111214[''07''])</f>
        <v>0</v>
      </c>
      <c r="R49" s="3">
        <f>SUMIF(Tableau_Lancer_la_requête_à_partir_de_Excel_Files10256789111214[Avis Cofimac],"1-Favorable",Tableau_Lancer_la_requête_à_partir_de_Excel_Files10256789111214[''07''])</f>
        <v>0</v>
      </c>
      <c r="S49" s="1">
        <f>SUMIF(Tableau_Lancer_la_requête_à_partir_de_Excel_Files10256789111214[Avis Prog],"2-Favorable sous réserve",Tableau_Lancer_la_requête_à_partir_de_Excel_Files10256789111214[''07''])</f>
        <v>0</v>
      </c>
      <c r="T49" s="3">
        <f>SUMIF(Tableau_Lancer_la_requête_à_partir_de_Excel_Files10256789111214[Avis Cofimac],"2-Favorable sous réserve",Tableau_Lancer_la_requête_à_partir_de_Excel_Files10256789111214[''07''])</f>
        <v>0</v>
      </c>
      <c r="U49" s="1">
        <f>SUMIF(Tableau_Lancer_la_requête_à_partir_de_Excel_Files102567891112[Avis Prog],"1-Favorable",Tableau_Lancer_la_requête_à_partir_de_Excel_Files102567891112[''07''])</f>
        <v>0</v>
      </c>
      <c r="V49" s="3">
        <f>SUMIF(Tableau_Lancer_la_requête_à_partir_de_Excel_Files102567891112[Avis Cofimac],"1-Favorable",Tableau_Lancer_la_requête_à_partir_de_Excel_Files102567891112[''07''])</f>
        <v>0</v>
      </c>
      <c r="W49" s="1">
        <f>SUMIF(Tableau_Lancer_la_requête_à_partir_de_Excel_Files102567891112[Avis Prog],"2-Favorable sous réserve",Tableau_Lancer_la_requête_à_partir_de_Excel_Files102567891112[''07''])</f>
        <v>0</v>
      </c>
      <c r="X49" s="3">
        <f>SUMIF(Tableau_Lancer_la_requête_à_partir_de_Excel_Files102567891112[Avis Cofimac],"2-Favorable sous réserve",Tableau_Lancer_la_requête_à_partir_de_Excel_Files102567891112[''07''])</f>
        <v>0</v>
      </c>
      <c r="AT49" s="61"/>
    </row>
    <row r="50" spans="4:46" x14ac:dyDescent="0.25">
      <c r="D50" t="s">
        <v>22</v>
      </c>
      <c r="E50" s="3">
        <f t="shared" si="0"/>
        <v>0</v>
      </c>
      <c r="F50" s="3">
        <f t="shared" si="1"/>
        <v>0</v>
      </c>
      <c r="H50" s="1">
        <f>SUMIF(Tableau_Lancer_la_requête_à_partir_de_Excel_Files1025678911[Avis Prog],"1-Favorable",Tableau_Lancer_la_requête_à_partir_de_Excel_Files1025678911[''11''])</f>
        <v>0</v>
      </c>
      <c r="I50" s="3">
        <f>SUMIF(Tableau_Lancer_la_requête_à_partir_de_Excel_Files1025678911[Avis Cofimac],"1-Favorable",Tableau_Lancer_la_requête_à_partir_de_Excel_Files1025678911[''11''])</f>
        <v>0</v>
      </c>
      <c r="J50" s="1">
        <f>SUMIF(Tableau_Lancer_la_requête_à_partir_de_Excel_Files1025678911[Avis Prog],"2-Favorable sous réserve",Tableau_Lancer_la_requête_à_partir_de_Excel_Files1025678911[''11''])</f>
        <v>0</v>
      </c>
      <c r="K50" s="3">
        <f>SUMIF(Tableau_Lancer_la_requête_à_partir_de_Excel_Files1025678911[Avis Cofimac],"2-Favorable sous réserve",Tableau_Lancer_la_requête_à_partir_de_Excel_Files1025678911[''11''])</f>
        <v>0</v>
      </c>
      <c r="M50" s="1">
        <f>SUMIF(Tableau_Lancer_la_requête_à_partir_de_Excel_Files102567891113[Avis Prog],"1-Favorable",Tableau_Lancer_la_requête_à_partir_de_Excel_Files102567891113[''11''])</f>
        <v>0</v>
      </c>
      <c r="N50" s="3">
        <f>SUMIF(Tableau_Lancer_la_requête_à_partir_de_Excel_Files102567891113[Avis Cofimac],"1-Favorable",Tableau_Lancer_la_requête_à_partir_de_Excel_Files102567891113[''11''])</f>
        <v>0</v>
      </c>
      <c r="O50" s="1">
        <f>SUMIF(Tableau_Lancer_la_requête_à_partir_de_Excel_Files102567891113[Avis Prog],"2-Favorable sous réserve",Tableau_Lancer_la_requête_à_partir_de_Excel_Files102567891113[''11''])</f>
        <v>0</v>
      </c>
      <c r="P50" s="3">
        <f>SUMIF(Tableau_Lancer_la_requête_à_partir_de_Excel_Files102567891113[Avis Cofimac],"2-Favorable sous réserve",Tableau_Lancer_la_requête_à_partir_de_Excel_Files102567891113[''11''])</f>
        <v>0</v>
      </c>
      <c r="Q50" s="1">
        <f>SUMIF(Tableau_Lancer_la_requête_à_partir_de_Excel_Files10256789111214[Avis Prog],"1-Favorable",Tableau_Lancer_la_requête_à_partir_de_Excel_Files10256789111214[''11''])</f>
        <v>0</v>
      </c>
      <c r="R50" s="3">
        <f>SUMIF(Tableau_Lancer_la_requête_à_partir_de_Excel_Files10256789111214[Avis Cofimac],"1-Favorable",Tableau_Lancer_la_requête_à_partir_de_Excel_Files10256789111214[''11''])</f>
        <v>0</v>
      </c>
      <c r="S50" s="1">
        <f>SUMIF(Tableau_Lancer_la_requête_à_partir_de_Excel_Files10256789111214[Avis Prog],"2-Favorable sous réserve",Tableau_Lancer_la_requête_à_partir_de_Excel_Files10256789111214[''11''])</f>
        <v>0</v>
      </c>
      <c r="T50" s="3">
        <f>SUMIF(Tableau_Lancer_la_requête_à_partir_de_Excel_Files10256789111214[Avis Cofimac],"2-Favorable sous réserve",Tableau_Lancer_la_requête_à_partir_de_Excel_Files10256789111214[''11''])</f>
        <v>0</v>
      </c>
      <c r="U50" s="1">
        <f>SUMIF(Tableau_Lancer_la_requête_à_partir_de_Excel_Files102567891112[Avis Prog],"1-Favorable",Tableau_Lancer_la_requête_à_partir_de_Excel_Files102567891112[''11''])</f>
        <v>0</v>
      </c>
      <c r="V50" s="3">
        <f>SUMIF(Tableau_Lancer_la_requête_à_partir_de_Excel_Files102567891112[Avis Cofimac],"1-Favorable",Tableau_Lancer_la_requête_à_partir_de_Excel_Files102567891112[''11''])</f>
        <v>0</v>
      </c>
      <c r="W50" s="1">
        <f>SUMIF(Tableau_Lancer_la_requête_à_partir_de_Excel_Files102567891112[Avis Prog],"2-Favorable sous réserve",Tableau_Lancer_la_requête_à_partir_de_Excel_Files102567891112[''11''])</f>
        <v>0</v>
      </c>
      <c r="X50" s="3">
        <f>SUMIF(Tableau_Lancer_la_requête_à_partir_de_Excel_Files102567891112[Avis Cofimac],"2-Favorable sous réserve",Tableau_Lancer_la_requête_à_partir_de_Excel_Files102567891112[''11''])</f>
        <v>0</v>
      </c>
    </row>
    <row r="51" spans="4:46" x14ac:dyDescent="0.25">
      <c r="D51" t="s">
        <v>23</v>
      </c>
      <c r="E51" s="3">
        <f t="shared" si="0"/>
        <v>0</v>
      </c>
      <c r="F51" s="3">
        <f t="shared" si="1"/>
        <v>0</v>
      </c>
      <c r="H51" s="1">
        <f>SUMIF(Tableau_Lancer_la_requête_à_partir_de_Excel_Files1025678911[Avis Prog],"1-Favorable",Tableau_Lancer_la_requête_à_partir_de_Excel_Files1025678911[''12''])</f>
        <v>0</v>
      </c>
      <c r="I51" s="3">
        <f>SUMIF(Tableau_Lancer_la_requête_à_partir_de_Excel_Files1025678911[Avis Cofimac],"1-Favorable",Tableau_Lancer_la_requête_à_partir_de_Excel_Files1025678911[''12''])</f>
        <v>0</v>
      </c>
      <c r="J51" s="1">
        <f>SUMIF(Tableau_Lancer_la_requête_à_partir_de_Excel_Files1025678911[Avis Prog],"2-Favorable sous réserve",Tableau_Lancer_la_requête_à_partir_de_Excel_Files1025678911[''12''])</f>
        <v>0</v>
      </c>
      <c r="K51" s="3">
        <f>SUMIF(Tableau_Lancer_la_requête_à_partir_de_Excel_Files1025678911[Avis Cofimac],"2-Favorable sous réserve",Tableau_Lancer_la_requête_à_partir_de_Excel_Files1025678911[''12''])</f>
        <v>0</v>
      </c>
      <c r="M51" s="1">
        <f>SUMIF(Tableau_Lancer_la_requête_à_partir_de_Excel_Files102567891113[Avis Prog],"1-Favorable",Tableau_Lancer_la_requête_à_partir_de_Excel_Files102567891113[''12''])</f>
        <v>0</v>
      </c>
      <c r="N51" s="3">
        <f>SUMIF(Tableau_Lancer_la_requête_à_partir_de_Excel_Files102567891113[Avis Cofimac],"1-Favorable",Tableau_Lancer_la_requête_à_partir_de_Excel_Files102567891113[''12''])</f>
        <v>0</v>
      </c>
      <c r="O51" s="1">
        <f>SUMIF(Tableau_Lancer_la_requête_à_partir_de_Excel_Files102567891113[Avis Prog],"2-Favorable sous réserve",Tableau_Lancer_la_requête_à_partir_de_Excel_Files102567891113[''12''])</f>
        <v>0</v>
      </c>
      <c r="P51" s="3">
        <f>SUMIF(Tableau_Lancer_la_requête_à_partir_de_Excel_Files102567891113[Avis Cofimac],"2-Favorable sous réserve",Tableau_Lancer_la_requête_à_partir_de_Excel_Files102567891113[''12''])</f>
        <v>0</v>
      </c>
      <c r="Q51" s="1">
        <f>SUMIF(Tableau_Lancer_la_requête_à_partir_de_Excel_Files10256789111214[Avis Prog],"1-Favorable",Tableau_Lancer_la_requête_à_partir_de_Excel_Files10256789111214[''12''])</f>
        <v>0</v>
      </c>
      <c r="R51" s="3">
        <f>SUMIF(Tableau_Lancer_la_requête_à_partir_de_Excel_Files10256789111214[Avis Cofimac],"1-Favorable",Tableau_Lancer_la_requête_à_partir_de_Excel_Files10256789111214[''12''])</f>
        <v>0</v>
      </c>
      <c r="S51" s="1">
        <f>SUMIF(Tableau_Lancer_la_requête_à_partir_de_Excel_Files10256789111214[Avis Prog],"2-Favorable sous réserve",Tableau_Lancer_la_requête_à_partir_de_Excel_Files10256789111214[''12''])</f>
        <v>0</v>
      </c>
      <c r="T51" s="3">
        <f>SUMIF(Tableau_Lancer_la_requête_à_partir_de_Excel_Files10256789111214[Avis Cofimac],"2-Favorable sous réserve",Tableau_Lancer_la_requête_à_partir_de_Excel_Files10256789111214[''12''])</f>
        <v>0</v>
      </c>
      <c r="U51" s="1">
        <f>SUMIF(Tableau_Lancer_la_requête_à_partir_de_Excel_Files102567891112[Avis Prog],"1-Favorable",Tableau_Lancer_la_requête_à_partir_de_Excel_Files102567891112[''12''])</f>
        <v>0</v>
      </c>
      <c r="V51" s="3">
        <f>SUMIF(Tableau_Lancer_la_requête_à_partir_de_Excel_Files102567891112[Avis Cofimac],"1-Favorable",Tableau_Lancer_la_requête_à_partir_de_Excel_Files102567891112[''12''])</f>
        <v>0</v>
      </c>
      <c r="W51" s="1">
        <f>SUMIF(Tableau_Lancer_la_requête_à_partir_de_Excel_Files102567891112[Avis Prog],"2-Favorable sous réserve",Tableau_Lancer_la_requête_à_partir_de_Excel_Files102567891112[''12''])</f>
        <v>0</v>
      </c>
      <c r="X51" s="3">
        <f>SUMIF(Tableau_Lancer_la_requête_à_partir_de_Excel_Files102567891112[Avis Cofimac],"2-Favorable sous réserve",Tableau_Lancer_la_requête_à_partir_de_Excel_Files102567891112[''12''])</f>
        <v>0</v>
      </c>
    </row>
    <row r="52" spans="4:46" hidden="1" x14ac:dyDescent="0.25">
      <c r="D52" t="s">
        <v>24</v>
      </c>
      <c r="E52" s="3">
        <f t="shared" si="0"/>
        <v>0</v>
      </c>
      <c r="F52" s="3">
        <f t="shared" si="1"/>
        <v>0</v>
      </c>
      <c r="H52" s="1">
        <f>SUMIF(Tableau_Lancer_la_requête_à_partir_de_Excel_Files1025678911[Avis Prog],"1-Favorable",Tableau_Lancer_la_requête_à_partir_de_Excel_Files1025678911[''15''])</f>
        <v>0</v>
      </c>
      <c r="I52" s="3">
        <f>SUMIF(Tableau_Lancer_la_requête_à_partir_de_Excel_Files1025678911[Avis Cofimac],"1-Favorable",Tableau_Lancer_la_requête_à_partir_de_Excel_Files1025678911[''15''])</f>
        <v>0</v>
      </c>
      <c r="J52" s="1">
        <f>SUMIF(Tableau_Lancer_la_requête_à_partir_de_Excel_Files1025678911[Avis Prog],"2-Favorable sous réserve",Tableau_Lancer_la_requête_à_partir_de_Excel_Files1025678911[''15''])</f>
        <v>0</v>
      </c>
      <c r="K52" s="3">
        <f>SUMIF(Tableau_Lancer_la_requête_à_partir_de_Excel_Files1025678911[Avis Cofimac],"2-Favorable sous réserve",Tableau_Lancer_la_requête_à_partir_de_Excel_Files1025678911[''15''])</f>
        <v>0</v>
      </c>
      <c r="M52" s="1">
        <f>SUMIF(Tableau_Lancer_la_requête_à_partir_de_Excel_Files102567891113[Avis Prog],"1-Favorable",Tableau_Lancer_la_requête_à_partir_de_Excel_Files102567891113[''15''])</f>
        <v>0</v>
      </c>
      <c r="N52" s="3">
        <f>SUMIF(Tableau_Lancer_la_requête_à_partir_de_Excel_Files102567891113[Avis Cofimac],"1-Favorable",Tableau_Lancer_la_requête_à_partir_de_Excel_Files102567891113[''15''])</f>
        <v>0</v>
      </c>
      <c r="O52" s="1">
        <f>SUMIF(Tableau_Lancer_la_requête_à_partir_de_Excel_Files102567891113[Avis Prog],"2-Favorable sous réserve",Tableau_Lancer_la_requête_à_partir_de_Excel_Files102567891113[''15''])</f>
        <v>0</v>
      </c>
      <c r="P52" s="3">
        <f>SUMIF(Tableau_Lancer_la_requête_à_partir_de_Excel_Files102567891113[Avis Cofimac],"2-Favorable sous réserve",Tableau_Lancer_la_requête_à_partir_de_Excel_Files102567891113[''15''])</f>
        <v>0</v>
      </c>
      <c r="Q52" s="1">
        <f>SUMIF(Tableau_Lancer_la_requête_à_partir_de_Excel_Files10256789111214[Avis Prog],"1-Favorable",Tableau_Lancer_la_requête_à_partir_de_Excel_Files10256789111214[''15''])</f>
        <v>0</v>
      </c>
      <c r="R52" s="3">
        <f>SUMIF(Tableau_Lancer_la_requête_à_partir_de_Excel_Files10256789111214[Avis Cofimac],"1-Favorable",Tableau_Lancer_la_requête_à_partir_de_Excel_Files10256789111214[''15''])</f>
        <v>0</v>
      </c>
      <c r="S52" s="1">
        <f>SUMIF(Tableau_Lancer_la_requête_à_partir_de_Excel_Files10256789111214[Avis Prog],"2-Favorable sous réserve",Tableau_Lancer_la_requête_à_partir_de_Excel_Files10256789111214[''15''])</f>
        <v>0</v>
      </c>
      <c r="T52" s="3">
        <f>SUMIF(Tableau_Lancer_la_requête_à_partir_de_Excel_Files10256789111214[Avis Cofimac],"2-Favorable sous réserve",Tableau_Lancer_la_requête_à_partir_de_Excel_Files10256789111214[''15''])</f>
        <v>0</v>
      </c>
      <c r="U52" s="1">
        <f>SUMIF(Tableau_Lancer_la_requête_à_partir_de_Excel_Files102567891112[Avis Prog],"1-Favorable",Tableau_Lancer_la_requête_à_partir_de_Excel_Files102567891112[''15''])</f>
        <v>0</v>
      </c>
      <c r="V52" s="3">
        <f>SUMIF(Tableau_Lancer_la_requête_à_partir_de_Excel_Files102567891112[Avis Cofimac],"1-Favorable",Tableau_Lancer_la_requête_à_partir_de_Excel_Files102567891112[''15''])</f>
        <v>0</v>
      </c>
      <c r="W52" s="1">
        <f>SUMIF(Tableau_Lancer_la_requête_à_partir_de_Excel_Files102567891112[Avis Prog],"2-Favorable sous réserve",Tableau_Lancer_la_requête_à_partir_de_Excel_Files102567891112[''15''])</f>
        <v>0</v>
      </c>
      <c r="X52" s="3">
        <f>SUMIF(Tableau_Lancer_la_requête_à_partir_de_Excel_Files102567891112[Avis Cofimac],"2-Favorable sous réserve",Tableau_Lancer_la_requête_à_partir_de_Excel_Files102567891112[''15''])</f>
        <v>0</v>
      </c>
    </row>
    <row r="53" spans="4:46" hidden="1" x14ac:dyDescent="0.25">
      <c r="D53" t="s">
        <v>25</v>
      </c>
      <c r="E53" s="3">
        <f t="shared" si="0"/>
        <v>0</v>
      </c>
      <c r="F53" s="3">
        <f t="shared" si="1"/>
        <v>0</v>
      </c>
      <c r="H53" s="1">
        <f>SUMIF(Tableau_Lancer_la_requête_à_partir_de_Excel_Files1025678911[Avis Prog],"1-Favorable",Tableau_Lancer_la_requête_à_partir_de_Excel_Files1025678911[''19''])</f>
        <v>0</v>
      </c>
      <c r="I53" s="3">
        <f>SUMIF(Tableau_Lancer_la_requête_à_partir_de_Excel_Files1025678911[Avis Cofimac],"1-Favorable",Tableau_Lancer_la_requête_à_partir_de_Excel_Files1025678911[''19''])</f>
        <v>0</v>
      </c>
      <c r="J53" s="1">
        <f>SUMIF(Tableau_Lancer_la_requête_à_partir_de_Excel_Files1025678911[Avis Prog],"2-Favorable sous réserve",Tableau_Lancer_la_requête_à_partir_de_Excel_Files1025678911[''19''])</f>
        <v>0</v>
      </c>
      <c r="K53" s="3">
        <f>SUMIF(Tableau_Lancer_la_requête_à_partir_de_Excel_Files1025678911[Avis Cofimac],"2-Favorable sous réserve",Tableau_Lancer_la_requête_à_partir_de_Excel_Files1025678911[''19''])</f>
        <v>0</v>
      </c>
      <c r="M53" s="1">
        <f>SUMIF(Tableau_Lancer_la_requête_à_partir_de_Excel_Files102567891113[Avis Prog],"1-Favorable",Tableau_Lancer_la_requête_à_partir_de_Excel_Files102567891113[''19''])</f>
        <v>0</v>
      </c>
      <c r="N53" s="3">
        <f>SUMIF(Tableau_Lancer_la_requête_à_partir_de_Excel_Files102567891113[Avis Cofimac],"1-Favorable",Tableau_Lancer_la_requête_à_partir_de_Excel_Files102567891113[''19''])</f>
        <v>0</v>
      </c>
      <c r="O53" s="1">
        <f>SUMIF(Tableau_Lancer_la_requête_à_partir_de_Excel_Files102567891113[Avis Prog],"2-Favorable sous réserve",Tableau_Lancer_la_requête_à_partir_de_Excel_Files102567891113[''19''])</f>
        <v>0</v>
      </c>
      <c r="P53" s="3">
        <f>SUMIF(Tableau_Lancer_la_requête_à_partir_de_Excel_Files102567891113[Avis Cofimac],"2-Favorable sous réserve",Tableau_Lancer_la_requête_à_partir_de_Excel_Files102567891113[''19''])</f>
        <v>0</v>
      </c>
      <c r="Q53" s="1">
        <f>SUMIF(Tableau_Lancer_la_requête_à_partir_de_Excel_Files10256789111214[Avis Prog],"1-Favorable",Tableau_Lancer_la_requête_à_partir_de_Excel_Files10256789111214[''19''])</f>
        <v>0</v>
      </c>
      <c r="R53" s="3">
        <f>SUMIF(Tableau_Lancer_la_requête_à_partir_de_Excel_Files10256789111214[Avis Cofimac],"1-Favorable",Tableau_Lancer_la_requête_à_partir_de_Excel_Files10256789111214[''19''])</f>
        <v>0</v>
      </c>
      <c r="S53" s="1">
        <f>SUMIF(Tableau_Lancer_la_requête_à_partir_de_Excel_Files10256789111214[Avis Prog],"2-Favorable sous réserve",Tableau_Lancer_la_requête_à_partir_de_Excel_Files10256789111214[''19''])</f>
        <v>0</v>
      </c>
      <c r="T53" s="3">
        <f>SUMIF(Tableau_Lancer_la_requête_à_partir_de_Excel_Files10256789111214[Avis Cofimac],"2-Favorable sous réserve",Tableau_Lancer_la_requête_à_partir_de_Excel_Files10256789111214[''19''])</f>
        <v>0</v>
      </c>
      <c r="U53" s="1">
        <f>SUMIF(Tableau_Lancer_la_requête_à_partir_de_Excel_Files102567891112[Avis Prog],"1-Favorable",Tableau_Lancer_la_requête_à_partir_de_Excel_Files102567891112[''19''])</f>
        <v>0</v>
      </c>
      <c r="V53" s="3">
        <f>SUMIF(Tableau_Lancer_la_requête_à_partir_de_Excel_Files102567891112[Avis Cofimac],"1-Favorable",Tableau_Lancer_la_requête_à_partir_de_Excel_Files102567891112[''19''])</f>
        <v>0</v>
      </c>
      <c r="W53" s="1">
        <f>SUMIF(Tableau_Lancer_la_requête_à_partir_de_Excel_Files102567891112[Avis Prog],"2-Favorable sous réserve",Tableau_Lancer_la_requête_à_partir_de_Excel_Files102567891112[''19''])</f>
        <v>0</v>
      </c>
      <c r="X53" s="3">
        <f>SUMIF(Tableau_Lancer_la_requête_à_partir_de_Excel_Files102567891112[Avis Cofimac],"2-Favorable sous réserve",Tableau_Lancer_la_requête_à_partir_de_Excel_Files102567891112[''19''])</f>
        <v>0</v>
      </c>
      <c r="AT53" s="59" t="s">
        <v>62</v>
      </c>
    </row>
    <row r="54" spans="4:46" hidden="1" x14ac:dyDescent="0.25">
      <c r="D54" t="s">
        <v>26</v>
      </c>
      <c r="E54" s="3">
        <f t="shared" si="0"/>
        <v>0</v>
      </c>
      <c r="F54" s="3">
        <f t="shared" si="1"/>
        <v>0</v>
      </c>
      <c r="H54" s="1">
        <f>SUMIF(Tableau_Lancer_la_requête_à_partir_de_Excel_Files1025678911[Avis Prog],"1-Favorable",Tableau_Lancer_la_requête_à_partir_de_Excel_Files1025678911[''21''])</f>
        <v>0</v>
      </c>
      <c r="I54" s="3">
        <f>SUMIF(Tableau_Lancer_la_requête_à_partir_de_Excel_Files1025678911[Avis Cofimac],"1-Favorable",Tableau_Lancer_la_requête_à_partir_de_Excel_Files1025678911[''21''])</f>
        <v>0</v>
      </c>
      <c r="J54" s="1">
        <f>SUMIF(Tableau_Lancer_la_requête_à_partir_de_Excel_Files1025678911[Avis Prog],"2-Favorable sous réserve",Tableau_Lancer_la_requête_à_partir_de_Excel_Files1025678911[''21''])</f>
        <v>0</v>
      </c>
      <c r="K54" s="3">
        <f>SUMIF(Tableau_Lancer_la_requête_à_partir_de_Excel_Files1025678911[Avis Cofimac],"2-Favorable sous réserve",Tableau_Lancer_la_requête_à_partir_de_Excel_Files1025678911[''21''])</f>
        <v>0</v>
      </c>
      <c r="M54" s="1">
        <f>SUMIF(Tableau_Lancer_la_requête_à_partir_de_Excel_Files102567891113[Avis Prog],"1-Favorable",Tableau_Lancer_la_requête_à_partir_de_Excel_Files102567891113[''21''])</f>
        <v>0</v>
      </c>
      <c r="N54" s="3">
        <f>SUMIF(Tableau_Lancer_la_requête_à_partir_de_Excel_Files102567891113[Avis Cofimac],"1-Favorable",Tableau_Lancer_la_requête_à_partir_de_Excel_Files102567891113[''21''])</f>
        <v>0</v>
      </c>
      <c r="O54" s="1">
        <f>SUMIF(Tableau_Lancer_la_requête_à_partir_de_Excel_Files102567891113[Avis Prog],"2-Favorable sous réserve",Tableau_Lancer_la_requête_à_partir_de_Excel_Files102567891113[''21''])</f>
        <v>0</v>
      </c>
      <c r="P54" s="3">
        <f>SUMIF(Tableau_Lancer_la_requête_à_partir_de_Excel_Files102567891113[Avis Cofimac],"2-Favorable sous réserve",Tableau_Lancer_la_requête_à_partir_de_Excel_Files102567891113[''21''])</f>
        <v>0</v>
      </c>
      <c r="Q54" s="1">
        <f>SUMIF(Tableau_Lancer_la_requête_à_partir_de_Excel_Files10256789111214[Avis Prog],"1-Favorable",Tableau_Lancer_la_requête_à_partir_de_Excel_Files10256789111214[''21''])</f>
        <v>0</v>
      </c>
      <c r="R54" s="3">
        <f>SUMIF(Tableau_Lancer_la_requête_à_partir_de_Excel_Files10256789111214[Avis Cofimac],"1-Favorable",Tableau_Lancer_la_requête_à_partir_de_Excel_Files10256789111214[''21''])</f>
        <v>0</v>
      </c>
      <c r="S54" s="1">
        <f>SUMIF(Tableau_Lancer_la_requête_à_partir_de_Excel_Files10256789111214[Avis Prog],"2-Favorable sous réserve",Tableau_Lancer_la_requête_à_partir_de_Excel_Files10256789111214[''21''])</f>
        <v>0</v>
      </c>
      <c r="T54" s="3">
        <f>SUMIF(Tableau_Lancer_la_requête_à_partir_de_Excel_Files10256789111214[Avis Cofimac],"2-Favorable sous réserve",Tableau_Lancer_la_requête_à_partir_de_Excel_Files10256789111214[''21''])</f>
        <v>0</v>
      </c>
      <c r="U54" s="1">
        <f>SUMIF(Tableau_Lancer_la_requête_à_partir_de_Excel_Files102567891112[Avis Prog],"1-Favorable",Tableau_Lancer_la_requête_à_partir_de_Excel_Files102567891112[''21''])</f>
        <v>0</v>
      </c>
      <c r="V54" s="3">
        <f>SUMIF(Tableau_Lancer_la_requête_à_partir_de_Excel_Files102567891112[Avis Cofimac],"1-Favorable",Tableau_Lancer_la_requête_à_partir_de_Excel_Files102567891112[''21''])</f>
        <v>0</v>
      </c>
      <c r="W54" s="1">
        <f>SUMIF(Tableau_Lancer_la_requête_à_partir_de_Excel_Files102567891112[Avis Prog],"2-Favorable sous réserve",Tableau_Lancer_la_requête_à_partir_de_Excel_Files102567891112[''21''])</f>
        <v>0</v>
      </c>
      <c r="X54" s="3">
        <f>SUMIF(Tableau_Lancer_la_requête_à_partir_de_Excel_Files102567891112[Avis Cofimac],"2-Favorable sous réserve",Tableau_Lancer_la_requête_à_partir_de_Excel_Files102567891112[''21''])</f>
        <v>0</v>
      </c>
      <c r="AT54" s="58" t="s">
        <v>105</v>
      </c>
    </row>
    <row r="55" spans="4:46" ht="30" hidden="1" x14ac:dyDescent="0.25">
      <c r="D55" t="s">
        <v>27</v>
      </c>
      <c r="E55" s="3">
        <f t="shared" si="0"/>
        <v>0</v>
      </c>
      <c r="F55" s="3">
        <f t="shared" si="1"/>
        <v>0</v>
      </c>
      <c r="H55" s="1">
        <f>SUMIF(Tableau_Lancer_la_requête_à_partir_de_Excel_Files1025678911[Avis Prog],"1-Favorable",Tableau_Lancer_la_requête_à_partir_de_Excel_Files1025678911[''23''])</f>
        <v>0</v>
      </c>
      <c r="I55" s="3">
        <f>SUMIF(Tableau_Lancer_la_requête_à_partir_de_Excel_Files1025678911[Avis Cofimac],"1-Favorable",Tableau_Lancer_la_requête_à_partir_de_Excel_Files1025678911[''23''])</f>
        <v>0</v>
      </c>
      <c r="J55" s="1">
        <f>SUMIF(Tableau_Lancer_la_requête_à_partir_de_Excel_Files1025678911[Avis Prog],"2-Favorable sous réserve",Tableau_Lancer_la_requête_à_partir_de_Excel_Files1025678911[''23''])</f>
        <v>0</v>
      </c>
      <c r="K55" s="3">
        <f>SUMIF(Tableau_Lancer_la_requête_à_partir_de_Excel_Files1025678911[Avis Cofimac],"2-Favorable sous réserve",Tableau_Lancer_la_requête_à_partir_de_Excel_Files1025678911[''23''])</f>
        <v>0</v>
      </c>
      <c r="M55" s="1">
        <f>SUMIF(Tableau_Lancer_la_requête_à_partir_de_Excel_Files102567891113[Avis Prog],"1-Favorable",Tableau_Lancer_la_requête_à_partir_de_Excel_Files102567891113[''23''])</f>
        <v>0</v>
      </c>
      <c r="N55" s="3">
        <f>SUMIF(Tableau_Lancer_la_requête_à_partir_de_Excel_Files102567891113[Avis Cofimac],"1-Favorable",Tableau_Lancer_la_requête_à_partir_de_Excel_Files102567891113[''23''])</f>
        <v>0</v>
      </c>
      <c r="O55" s="1">
        <f>SUMIF(Tableau_Lancer_la_requête_à_partir_de_Excel_Files102567891113[Avis Prog],"2-Favorable sous réserve",Tableau_Lancer_la_requête_à_partir_de_Excel_Files102567891113[''23''])</f>
        <v>0</v>
      </c>
      <c r="P55" s="3">
        <f>SUMIF(Tableau_Lancer_la_requête_à_partir_de_Excel_Files102567891113[Avis Cofimac],"2-Favorable sous réserve",Tableau_Lancer_la_requête_à_partir_de_Excel_Files102567891113[''23''])</f>
        <v>0</v>
      </c>
      <c r="Q55" s="1">
        <f>SUMIF(Tableau_Lancer_la_requête_à_partir_de_Excel_Files10256789111214[Avis Prog],"1-Favorable",Tableau_Lancer_la_requête_à_partir_de_Excel_Files10256789111214[''23''])</f>
        <v>0</v>
      </c>
      <c r="R55" s="3">
        <f>SUMIF(Tableau_Lancer_la_requête_à_partir_de_Excel_Files10256789111214[Avis Cofimac],"1-Favorable",Tableau_Lancer_la_requête_à_partir_de_Excel_Files10256789111214[''23''])</f>
        <v>0</v>
      </c>
      <c r="S55" s="1">
        <f>SUMIF(Tableau_Lancer_la_requête_à_partir_de_Excel_Files10256789111214[Avis Prog],"2-Favorable sous réserve",Tableau_Lancer_la_requête_à_partir_de_Excel_Files10256789111214[''23''])</f>
        <v>0</v>
      </c>
      <c r="T55" s="3">
        <f>SUMIF(Tableau_Lancer_la_requête_à_partir_de_Excel_Files10256789111214[Avis Cofimac],"2-Favorable sous réserve",Tableau_Lancer_la_requête_à_partir_de_Excel_Files10256789111214[''23''])</f>
        <v>0</v>
      </c>
      <c r="U55" s="1">
        <f>SUMIF(Tableau_Lancer_la_requête_à_partir_de_Excel_Files102567891112[Avis Prog],"1-Favorable",Tableau_Lancer_la_requête_à_partir_de_Excel_Files102567891112[''23''])</f>
        <v>0</v>
      </c>
      <c r="V55" s="3">
        <f>SUMIF(Tableau_Lancer_la_requête_à_partir_de_Excel_Files102567891112[Avis Cofimac],"1-Favorable",Tableau_Lancer_la_requête_à_partir_de_Excel_Files102567891112[''23''])</f>
        <v>0</v>
      </c>
      <c r="W55" s="1">
        <f>SUMIF(Tableau_Lancer_la_requête_à_partir_de_Excel_Files102567891112[Avis Prog],"2-Favorable sous réserve",Tableau_Lancer_la_requête_à_partir_de_Excel_Files102567891112[''23''])</f>
        <v>0</v>
      </c>
      <c r="X55" s="3">
        <f>SUMIF(Tableau_Lancer_la_requête_à_partir_de_Excel_Files102567891112[Avis Cofimac],"2-Favorable sous réserve",Tableau_Lancer_la_requête_à_partir_de_Excel_Files102567891112[''23''])</f>
        <v>0</v>
      </c>
      <c r="AT55" s="60" t="s">
        <v>104</v>
      </c>
    </row>
    <row r="56" spans="4:46" ht="15.75" hidden="1" thickTop="1" x14ac:dyDescent="0.25">
      <c r="D56" t="s">
        <v>28</v>
      </c>
      <c r="E56" s="3">
        <f t="shared" si="0"/>
        <v>0</v>
      </c>
      <c r="F56" s="3">
        <f t="shared" si="1"/>
        <v>0</v>
      </c>
      <c r="H56" s="1">
        <f>SUMIF(Tableau_Lancer_la_requête_à_partir_de_Excel_Files1025678911[Avis Prog],"1-Favorable",Tableau_Lancer_la_requête_à_partir_de_Excel_Files1025678911[''30''])</f>
        <v>0</v>
      </c>
      <c r="I56" s="3">
        <f>SUMIF(Tableau_Lancer_la_requête_à_partir_de_Excel_Files1025678911[Avis Cofimac],"1-Favorable",Tableau_Lancer_la_requête_à_partir_de_Excel_Files1025678911[''30''])</f>
        <v>0</v>
      </c>
      <c r="J56" s="1">
        <f>SUMIF(Tableau_Lancer_la_requête_à_partir_de_Excel_Files1025678911[Avis Prog],"2-Favorable sous réserve",Tableau_Lancer_la_requête_à_partir_de_Excel_Files1025678911[''30''])</f>
        <v>0</v>
      </c>
      <c r="K56" s="3">
        <f>SUMIF(Tableau_Lancer_la_requête_à_partir_de_Excel_Files1025678911[Avis Cofimac],"2-Favorable sous réserve",Tableau_Lancer_la_requête_à_partir_de_Excel_Files1025678911[''30''])</f>
        <v>0</v>
      </c>
      <c r="M56" s="1">
        <f>SUMIF(Tableau_Lancer_la_requête_à_partir_de_Excel_Files102567891113[Avis Prog],"1-Favorable",Tableau_Lancer_la_requête_à_partir_de_Excel_Files102567891113[''30''])</f>
        <v>0</v>
      </c>
      <c r="N56" s="3">
        <f>SUMIF(Tableau_Lancer_la_requête_à_partir_de_Excel_Files102567891113[Avis Cofimac],"1-Favorable",Tableau_Lancer_la_requête_à_partir_de_Excel_Files102567891113[''30''])</f>
        <v>0</v>
      </c>
      <c r="O56" s="1">
        <f>SUMIF(Tableau_Lancer_la_requête_à_partir_de_Excel_Files102567891113[Avis Prog],"2-Favorable sous réserve",Tableau_Lancer_la_requête_à_partir_de_Excel_Files102567891113[''30''])</f>
        <v>0</v>
      </c>
      <c r="P56" s="3">
        <f>SUMIF(Tableau_Lancer_la_requête_à_partir_de_Excel_Files102567891113[Avis Cofimac],"2-Favorable sous réserve",Tableau_Lancer_la_requête_à_partir_de_Excel_Files102567891113[''30''])</f>
        <v>0</v>
      </c>
      <c r="Q56" s="1">
        <f>SUMIF(Tableau_Lancer_la_requête_à_partir_de_Excel_Files10256789111214[Avis Prog],"1-Favorable",Tableau_Lancer_la_requête_à_partir_de_Excel_Files10256789111214[''30''])</f>
        <v>0</v>
      </c>
      <c r="R56" s="3">
        <f>SUMIF(Tableau_Lancer_la_requête_à_partir_de_Excel_Files10256789111214[Avis Cofimac],"1-Favorable",Tableau_Lancer_la_requête_à_partir_de_Excel_Files10256789111214[''30''])</f>
        <v>0</v>
      </c>
      <c r="S56" s="1">
        <f>SUMIF(Tableau_Lancer_la_requête_à_partir_de_Excel_Files10256789111214[Avis Prog],"2-Favorable sous réserve",Tableau_Lancer_la_requête_à_partir_de_Excel_Files10256789111214[''30''])</f>
        <v>0</v>
      </c>
      <c r="T56" s="3">
        <f>SUMIF(Tableau_Lancer_la_requête_à_partir_de_Excel_Files10256789111214[Avis Cofimac],"2-Favorable sous réserve",Tableau_Lancer_la_requête_à_partir_de_Excel_Files10256789111214[''30''])</f>
        <v>0</v>
      </c>
      <c r="U56" s="1">
        <f>SUMIF(Tableau_Lancer_la_requête_à_partir_de_Excel_Files102567891112[Avis Prog],"1-Favorable",Tableau_Lancer_la_requête_à_partir_de_Excel_Files102567891112[''30''])</f>
        <v>0</v>
      </c>
      <c r="V56" s="3">
        <f>SUMIF(Tableau_Lancer_la_requête_à_partir_de_Excel_Files102567891112[Avis Cofimac],"1-Favorable",Tableau_Lancer_la_requête_à_partir_de_Excel_Files102567891112[''30''])</f>
        <v>0</v>
      </c>
      <c r="W56" s="1">
        <f>SUMIF(Tableau_Lancer_la_requête_à_partir_de_Excel_Files102567891112[Avis Prog],"2-Favorable sous réserve",Tableau_Lancer_la_requête_à_partir_de_Excel_Files102567891112[''30''])</f>
        <v>0</v>
      </c>
      <c r="X56" s="3">
        <f>SUMIF(Tableau_Lancer_la_requête_à_partir_de_Excel_Files102567891112[Avis Cofimac],"2-Favorable sous réserve",Tableau_Lancer_la_requête_à_partir_de_Excel_Files102567891112[''30''])</f>
        <v>0</v>
      </c>
      <c r="AT56" s="61"/>
    </row>
    <row r="57" spans="4:46" hidden="1" x14ac:dyDescent="0.25">
      <c r="D57" t="s">
        <v>29</v>
      </c>
      <c r="E57" s="3">
        <f t="shared" si="0"/>
        <v>0</v>
      </c>
      <c r="F57" s="3">
        <f t="shared" si="1"/>
        <v>0</v>
      </c>
      <c r="H57" s="1">
        <f>SUMIF(Tableau_Lancer_la_requête_à_partir_de_Excel_Files1025678911[Avis Prog],"1-Favorable",Tableau_Lancer_la_requête_à_partir_de_Excel_Files1025678911[''34''])</f>
        <v>0</v>
      </c>
      <c r="I57" s="3">
        <f>SUMIF(Tableau_Lancer_la_requête_à_partir_de_Excel_Files1025678911[Avis Cofimac],"1-Favorable",Tableau_Lancer_la_requête_à_partir_de_Excel_Files1025678911[''34''])</f>
        <v>0</v>
      </c>
      <c r="J57" s="1">
        <f>SUMIF(Tableau_Lancer_la_requête_à_partir_de_Excel_Files1025678911[Avis Prog],"2-Favorable sous réserve",Tableau_Lancer_la_requête_à_partir_de_Excel_Files1025678911[''34''])</f>
        <v>0</v>
      </c>
      <c r="K57" s="3">
        <f>SUMIF(Tableau_Lancer_la_requête_à_partir_de_Excel_Files1025678911[Avis Cofimac],"2-Favorable sous réserve",Tableau_Lancer_la_requête_à_partir_de_Excel_Files1025678911[''34''])</f>
        <v>0</v>
      </c>
      <c r="M57" s="1">
        <f>SUMIF(Tableau_Lancer_la_requête_à_partir_de_Excel_Files102567891113[Avis Prog],"1-Favorable",Tableau_Lancer_la_requête_à_partir_de_Excel_Files102567891113[''34''])</f>
        <v>0</v>
      </c>
      <c r="N57" s="3">
        <f>SUMIF(Tableau_Lancer_la_requête_à_partir_de_Excel_Files102567891113[Avis Cofimac],"1-Favorable",Tableau_Lancer_la_requête_à_partir_de_Excel_Files102567891113[''34''])</f>
        <v>0</v>
      </c>
      <c r="O57" s="1">
        <f>SUMIF(Tableau_Lancer_la_requête_à_partir_de_Excel_Files102567891113[Avis Prog],"2-Favorable sous réserve",Tableau_Lancer_la_requête_à_partir_de_Excel_Files102567891113[''34''])</f>
        <v>0</v>
      </c>
      <c r="P57" s="3">
        <f>SUMIF(Tableau_Lancer_la_requête_à_partir_de_Excel_Files102567891113[Avis Cofimac],"2-Favorable sous réserve",Tableau_Lancer_la_requête_à_partir_de_Excel_Files102567891113[''34''])</f>
        <v>0</v>
      </c>
      <c r="Q57" s="1">
        <f>SUMIF(Tableau_Lancer_la_requête_à_partir_de_Excel_Files10256789111214[Avis Prog],"1-Favorable",Tableau_Lancer_la_requête_à_partir_de_Excel_Files10256789111214[''34''])</f>
        <v>0</v>
      </c>
      <c r="R57" s="3">
        <f>SUMIF(Tableau_Lancer_la_requête_à_partir_de_Excel_Files10256789111214[Avis Cofimac],"1-Favorable",Tableau_Lancer_la_requête_à_partir_de_Excel_Files10256789111214[''34''])</f>
        <v>0</v>
      </c>
      <c r="S57" s="1">
        <f>SUMIF(Tableau_Lancer_la_requête_à_partir_de_Excel_Files10256789111214[Avis Prog],"2-Favorable sous réserve",Tableau_Lancer_la_requête_à_partir_de_Excel_Files10256789111214[''34''])</f>
        <v>0</v>
      </c>
      <c r="T57" s="3">
        <f>SUMIF(Tableau_Lancer_la_requête_à_partir_de_Excel_Files10256789111214[Avis Cofimac],"2-Favorable sous réserve",Tableau_Lancer_la_requête_à_partir_de_Excel_Files10256789111214[''34''])</f>
        <v>0</v>
      </c>
      <c r="U57" s="1">
        <f>SUMIF(Tableau_Lancer_la_requête_à_partir_de_Excel_Files102567891112[Avis Prog],"1-Favorable",Tableau_Lancer_la_requête_à_partir_de_Excel_Files102567891112[''34''])</f>
        <v>0</v>
      </c>
      <c r="V57" s="3">
        <f>SUMIF(Tableau_Lancer_la_requête_à_partir_de_Excel_Files102567891112[Avis Cofimac],"1-Favorable",Tableau_Lancer_la_requête_à_partir_de_Excel_Files102567891112[''34''])</f>
        <v>0</v>
      </c>
      <c r="W57" s="1">
        <f>SUMIF(Tableau_Lancer_la_requête_à_partir_de_Excel_Files102567891112[Avis Prog],"2-Favorable sous réserve",Tableau_Lancer_la_requête_à_partir_de_Excel_Files102567891112[''34''])</f>
        <v>0</v>
      </c>
      <c r="X57" s="3">
        <f>SUMIF(Tableau_Lancer_la_requête_à_partir_de_Excel_Files102567891112[Avis Cofimac],"2-Favorable sous réserve",Tableau_Lancer_la_requête_à_partir_de_Excel_Files102567891112[''34''])</f>
        <v>0</v>
      </c>
    </row>
    <row r="58" spans="4:46" hidden="1" x14ac:dyDescent="0.25">
      <c r="D58" t="s">
        <v>30</v>
      </c>
      <c r="E58" s="3">
        <f t="shared" si="0"/>
        <v>0</v>
      </c>
      <c r="F58" s="3">
        <f t="shared" si="1"/>
        <v>0</v>
      </c>
      <c r="H58" s="1">
        <f>SUMIF(Tableau_Lancer_la_requête_à_partir_de_Excel_Files1025678911[Avis Prog],"1-Favorable",Tableau_Lancer_la_requête_à_partir_de_Excel_Files1025678911[''42''])</f>
        <v>0</v>
      </c>
      <c r="I58" s="3">
        <f>SUMIF(Tableau_Lancer_la_requête_à_partir_de_Excel_Files1025678911[Avis Cofimac],"1-Favorable",Tableau_Lancer_la_requête_à_partir_de_Excel_Files1025678911[''42''])</f>
        <v>0</v>
      </c>
      <c r="J58" s="1">
        <f>SUMIF(Tableau_Lancer_la_requête_à_partir_de_Excel_Files1025678911[Avis Prog],"2-Favorable sous réserve",Tableau_Lancer_la_requête_à_partir_de_Excel_Files1025678911[''42''])</f>
        <v>0</v>
      </c>
      <c r="K58" s="3">
        <f>SUMIF(Tableau_Lancer_la_requête_à_partir_de_Excel_Files1025678911[Avis Cofimac],"2-Favorable sous réserve",Tableau_Lancer_la_requête_à_partir_de_Excel_Files1025678911[''42''])</f>
        <v>0</v>
      </c>
      <c r="M58" s="1">
        <f>SUMIF(Tableau_Lancer_la_requête_à_partir_de_Excel_Files102567891113[Avis Prog],"1-Favorable",Tableau_Lancer_la_requête_à_partir_de_Excel_Files102567891113[''42''])</f>
        <v>0</v>
      </c>
      <c r="N58" s="3">
        <f>SUMIF(Tableau_Lancer_la_requête_à_partir_de_Excel_Files102567891113[Avis Cofimac],"1-Favorable",Tableau_Lancer_la_requête_à_partir_de_Excel_Files102567891113[''42''])</f>
        <v>0</v>
      </c>
      <c r="O58" s="1">
        <f>SUMIF(Tableau_Lancer_la_requête_à_partir_de_Excel_Files102567891113[Avis Prog],"2-Favorable sous réserve",Tableau_Lancer_la_requête_à_partir_de_Excel_Files102567891113[''42''])</f>
        <v>0</v>
      </c>
      <c r="P58" s="3">
        <f>SUMIF(Tableau_Lancer_la_requête_à_partir_de_Excel_Files102567891113[Avis Cofimac],"2-Favorable sous réserve",Tableau_Lancer_la_requête_à_partir_de_Excel_Files102567891113[''42''])</f>
        <v>0</v>
      </c>
      <c r="Q58" s="1">
        <f>SUMIF(Tableau_Lancer_la_requête_à_partir_de_Excel_Files10256789111214[Avis Prog],"1-Favorable",Tableau_Lancer_la_requête_à_partir_de_Excel_Files10256789111214[''42''])</f>
        <v>0</v>
      </c>
      <c r="R58" s="3">
        <f>SUMIF(Tableau_Lancer_la_requête_à_partir_de_Excel_Files10256789111214[Avis Cofimac],"1-Favorable",Tableau_Lancer_la_requête_à_partir_de_Excel_Files10256789111214[''42''])</f>
        <v>0</v>
      </c>
      <c r="S58" s="1">
        <f>SUMIF(Tableau_Lancer_la_requête_à_partir_de_Excel_Files10256789111214[Avis Prog],"2-Favorable sous réserve",Tableau_Lancer_la_requête_à_partir_de_Excel_Files10256789111214[''42''])</f>
        <v>0</v>
      </c>
      <c r="T58" s="3">
        <f>SUMIF(Tableau_Lancer_la_requête_à_partir_de_Excel_Files10256789111214[Avis Cofimac],"2-Favorable sous réserve",Tableau_Lancer_la_requête_à_partir_de_Excel_Files10256789111214[''42''])</f>
        <v>0</v>
      </c>
      <c r="U58" s="1">
        <f>SUMIF(Tableau_Lancer_la_requête_à_partir_de_Excel_Files102567891112[Avis Prog],"1-Favorable",Tableau_Lancer_la_requête_à_partir_de_Excel_Files102567891112[''42''])</f>
        <v>0</v>
      </c>
      <c r="V58" s="3">
        <f>SUMIF(Tableau_Lancer_la_requête_à_partir_de_Excel_Files102567891112[Avis Cofimac],"1-Favorable",Tableau_Lancer_la_requête_à_partir_de_Excel_Files102567891112[''42''])</f>
        <v>0</v>
      </c>
      <c r="W58" s="1">
        <f>SUMIF(Tableau_Lancer_la_requête_à_partir_de_Excel_Files102567891112[Avis Prog],"2-Favorable sous réserve",Tableau_Lancer_la_requête_à_partir_de_Excel_Files102567891112[''42''])</f>
        <v>0</v>
      </c>
      <c r="X58" s="3">
        <f>SUMIF(Tableau_Lancer_la_requête_à_partir_de_Excel_Files102567891112[Avis Cofimac],"2-Favorable sous réserve",Tableau_Lancer_la_requête_à_partir_de_Excel_Files102567891112[''42''])</f>
        <v>0</v>
      </c>
    </row>
    <row r="59" spans="4:46" hidden="1" x14ac:dyDescent="0.25">
      <c r="D59" t="s">
        <v>31</v>
      </c>
      <c r="E59" s="3">
        <f t="shared" si="0"/>
        <v>0</v>
      </c>
      <c r="F59" s="3">
        <f t="shared" si="1"/>
        <v>0</v>
      </c>
      <c r="H59" s="1">
        <f>SUMIF(Tableau_Lancer_la_requête_à_partir_de_Excel_Files1025678911[Avis Prog],"1-Favorable",Tableau_Lancer_la_requête_à_partir_de_Excel_Files1025678911[''43''])</f>
        <v>0</v>
      </c>
      <c r="I59" s="3">
        <f>SUMIF(Tableau_Lancer_la_requête_à_partir_de_Excel_Files1025678911[Avis Cofimac],"1-Favorable",Tableau_Lancer_la_requête_à_partir_de_Excel_Files1025678911[''43''])</f>
        <v>0</v>
      </c>
      <c r="J59" s="1">
        <f>SUMIF(Tableau_Lancer_la_requête_à_partir_de_Excel_Files1025678911[Avis Prog],"2-Favorable sous réserve",Tableau_Lancer_la_requête_à_partir_de_Excel_Files1025678911[''43''])</f>
        <v>0</v>
      </c>
      <c r="K59" s="3">
        <f>SUMIF(Tableau_Lancer_la_requête_à_partir_de_Excel_Files1025678911[Avis Cofimac],"2-Favorable sous réserve",Tableau_Lancer_la_requête_à_partir_de_Excel_Files1025678911[''43''])</f>
        <v>0</v>
      </c>
      <c r="M59" s="1">
        <f>SUMIF(Tableau_Lancer_la_requête_à_partir_de_Excel_Files102567891113[Avis Prog],"1-Favorable",Tableau_Lancer_la_requête_à_partir_de_Excel_Files102567891113[''43''])</f>
        <v>0</v>
      </c>
      <c r="N59" s="3">
        <f>SUMIF(Tableau_Lancer_la_requête_à_partir_de_Excel_Files102567891113[Avis Cofimac],"1-Favorable",Tableau_Lancer_la_requête_à_partir_de_Excel_Files102567891113[''43''])</f>
        <v>0</v>
      </c>
      <c r="O59" s="1">
        <f>SUMIF(Tableau_Lancer_la_requête_à_partir_de_Excel_Files102567891113[Avis Prog],"2-Favorable sous réserve",Tableau_Lancer_la_requête_à_partir_de_Excel_Files102567891113[''43''])</f>
        <v>0</v>
      </c>
      <c r="P59" s="3">
        <f>SUMIF(Tableau_Lancer_la_requête_à_partir_de_Excel_Files102567891113[Avis Cofimac],"2-Favorable sous réserve",Tableau_Lancer_la_requête_à_partir_de_Excel_Files102567891113[''43''])</f>
        <v>0</v>
      </c>
      <c r="Q59" s="1">
        <f>SUMIF(Tableau_Lancer_la_requête_à_partir_de_Excel_Files10256789111214[Avis Prog],"1-Favorable",Tableau_Lancer_la_requête_à_partir_de_Excel_Files10256789111214[''43''])</f>
        <v>0</v>
      </c>
      <c r="R59" s="3">
        <f>SUMIF(Tableau_Lancer_la_requête_à_partir_de_Excel_Files10256789111214[Avis Cofimac],"1-Favorable",Tableau_Lancer_la_requête_à_partir_de_Excel_Files10256789111214[''43''])</f>
        <v>0</v>
      </c>
      <c r="S59" s="1">
        <f>SUMIF(Tableau_Lancer_la_requête_à_partir_de_Excel_Files10256789111214[Avis Prog],"2-Favorable sous réserve",Tableau_Lancer_la_requête_à_partir_de_Excel_Files10256789111214[''43''])</f>
        <v>0</v>
      </c>
      <c r="T59" s="3">
        <f>SUMIF(Tableau_Lancer_la_requête_à_partir_de_Excel_Files10256789111214[Avis Cofimac],"2-Favorable sous réserve",Tableau_Lancer_la_requête_à_partir_de_Excel_Files10256789111214[''43''])</f>
        <v>0</v>
      </c>
      <c r="U59" s="1">
        <f>SUMIF(Tableau_Lancer_la_requête_à_partir_de_Excel_Files102567891112[Avis Prog],"1-Favorable",Tableau_Lancer_la_requête_à_partir_de_Excel_Files102567891112[''43''])</f>
        <v>0</v>
      </c>
      <c r="V59" s="3">
        <f>SUMIF(Tableau_Lancer_la_requête_à_partir_de_Excel_Files102567891112[Avis Cofimac],"1-Favorable",Tableau_Lancer_la_requête_à_partir_de_Excel_Files102567891112[''43''])</f>
        <v>0</v>
      </c>
      <c r="W59" s="1">
        <f>SUMIF(Tableau_Lancer_la_requête_à_partir_de_Excel_Files102567891112[Avis Prog],"2-Favorable sous réserve",Tableau_Lancer_la_requête_à_partir_de_Excel_Files102567891112[''43''])</f>
        <v>0</v>
      </c>
      <c r="X59" s="3">
        <f>SUMIF(Tableau_Lancer_la_requête_à_partir_de_Excel_Files102567891112[Avis Cofimac],"2-Favorable sous réserve",Tableau_Lancer_la_requête_à_partir_de_Excel_Files102567891112[''43''])</f>
        <v>0</v>
      </c>
    </row>
    <row r="60" spans="4:46" hidden="1" x14ac:dyDescent="0.25">
      <c r="D60" t="s">
        <v>32</v>
      </c>
      <c r="E60" s="3">
        <f t="shared" si="0"/>
        <v>0</v>
      </c>
      <c r="F60" s="3">
        <f t="shared" si="1"/>
        <v>0</v>
      </c>
      <c r="H60" s="1">
        <f>SUMIF(Tableau_Lancer_la_requête_à_partir_de_Excel_Files1025678911[Avis Prog],"1-Favorable",Tableau_Lancer_la_requête_à_partir_de_Excel_Files1025678911[''46''])</f>
        <v>0</v>
      </c>
      <c r="I60" s="3">
        <f>SUMIF(Tableau_Lancer_la_requête_à_partir_de_Excel_Files1025678911[Avis Cofimac],"1-Favorable",Tableau_Lancer_la_requête_à_partir_de_Excel_Files1025678911[''46''])</f>
        <v>0</v>
      </c>
      <c r="J60" s="1">
        <f>SUMIF(Tableau_Lancer_la_requête_à_partir_de_Excel_Files1025678911[Avis Prog],"2-Favorable sous réserve",Tableau_Lancer_la_requête_à_partir_de_Excel_Files1025678911[''46''])</f>
        <v>0</v>
      </c>
      <c r="K60" s="3">
        <f>SUMIF(Tableau_Lancer_la_requête_à_partir_de_Excel_Files1025678911[Avis Cofimac],"2-Favorable sous réserve",Tableau_Lancer_la_requête_à_partir_de_Excel_Files1025678911[''46''])</f>
        <v>0</v>
      </c>
      <c r="M60" s="1">
        <f>SUMIF(Tableau_Lancer_la_requête_à_partir_de_Excel_Files102567891113[Avis Prog],"1-Favorable",Tableau_Lancer_la_requête_à_partir_de_Excel_Files102567891113[''46''])</f>
        <v>0</v>
      </c>
      <c r="N60" s="3">
        <f>SUMIF(Tableau_Lancer_la_requête_à_partir_de_Excel_Files102567891113[Avis Cofimac],"1-Favorable",Tableau_Lancer_la_requête_à_partir_de_Excel_Files102567891113[''46''])</f>
        <v>0</v>
      </c>
      <c r="O60" s="1">
        <f>SUMIF(Tableau_Lancer_la_requête_à_partir_de_Excel_Files102567891113[Avis Prog],"2-Favorable sous réserve",Tableau_Lancer_la_requête_à_partir_de_Excel_Files102567891113[''46''])</f>
        <v>0</v>
      </c>
      <c r="P60" s="3">
        <f>SUMIF(Tableau_Lancer_la_requête_à_partir_de_Excel_Files102567891113[Avis Cofimac],"2-Favorable sous réserve",Tableau_Lancer_la_requête_à_partir_de_Excel_Files102567891113[''46''])</f>
        <v>0</v>
      </c>
      <c r="Q60" s="1">
        <f>SUMIF(Tableau_Lancer_la_requête_à_partir_de_Excel_Files10256789111214[Avis Prog],"1-Favorable",Tableau_Lancer_la_requête_à_partir_de_Excel_Files10256789111214[''46''])</f>
        <v>0</v>
      </c>
      <c r="R60" s="3">
        <f>SUMIF(Tableau_Lancer_la_requête_à_partir_de_Excel_Files10256789111214[Avis Cofimac],"1-Favorable",Tableau_Lancer_la_requête_à_partir_de_Excel_Files10256789111214[''46''])</f>
        <v>0</v>
      </c>
      <c r="S60" s="1">
        <f>SUMIF(Tableau_Lancer_la_requête_à_partir_de_Excel_Files10256789111214[Avis Prog],"2-Favorable sous réserve",Tableau_Lancer_la_requête_à_partir_de_Excel_Files10256789111214[''46''])</f>
        <v>0</v>
      </c>
      <c r="T60" s="3">
        <f>SUMIF(Tableau_Lancer_la_requête_à_partir_de_Excel_Files10256789111214[Avis Cofimac],"2-Favorable sous réserve",Tableau_Lancer_la_requête_à_partir_de_Excel_Files10256789111214[''46''])</f>
        <v>0</v>
      </c>
      <c r="U60" s="1">
        <f>SUMIF(Tableau_Lancer_la_requête_à_partir_de_Excel_Files102567891112[Avis Prog],"1-Favorable",Tableau_Lancer_la_requête_à_partir_de_Excel_Files102567891112[''46''])</f>
        <v>0</v>
      </c>
      <c r="V60" s="3">
        <f>SUMIF(Tableau_Lancer_la_requête_à_partir_de_Excel_Files102567891112[Avis Cofimac],"1-Favorable",Tableau_Lancer_la_requête_à_partir_de_Excel_Files102567891112[''46''])</f>
        <v>0</v>
      </c>
      <c r="W60" s="1">
        <f>SUMIF(Tableau_Lancer_la_requête_à_partir_de_Excel_Files102567891112[Avis Prog],"2-Favorable sous réserve",Tableau_Lancer_la_requête_à_partir_de_Excel_Files102567891112[''46''])</f>
        <v>0</v>
      </c>
      <c r="X60" s="3">
        <f>SUMIF(Tableau_Lancer_la_requête_à_partir_de_Excel_Files102567891112[Avis Cofimac],"2-Favorable sous réserve",Tableau_Lancer_la_requête_à_partir_de_Excel_Files102567891112[''46''])</f>
        <v>0</v>
      </c>
    </row>
    <row r="61" spans="4:46" hidden="1" x14ac:dyDescent="0.25">
      <c r="D61" t="s">
        <v>33</v>
      </c>
      <c r="E61" s="3">
        <f t="shared" si="0"/>
        <v>0</v>
      </c>
      <c r="F61" s="3">
        <f t="shared" si="1"/>
        <v>0</v>
      </c>
      <c r="H61" s="1">
        <f>SUMIF(Tableau_Lancer_la_requête_à_partir_de_Excel_Files1025678911[Avis Prog],"1-Favorable",Tableau_Lancer_la_requête_à_partir_de_Excel_Files1025678911[''48''])</f>
        <v>0</v>
      </c>
      <c r="I61" s="3">
        <f>SUMIF(Tableau_Lancer_la_requête_à_partir_de_Excel_Files1025678911[Avis Cofimac],"1-Favorable",Tableau_Lancer_la_requête_à_partir_de_Excel_Files1025678911[''48''])</f>
        <v>0</v>
      </c>
      <c r="J61" s="1">
        <f>SUMIF(Tableau_Lancer_la_requête_à_partir_de_Excel_Files1025678911[Avis Prog],"2-Favorable sous réserve",Tableau_Lancer_la_requête_à_partir_de_Excel_Files1025678911[''48''])</f>
        <v>0</v>
      </c>
      <c r="K61" s="3">
        <f>SUMIF(Tableau_Lancer_la_requête_à_partir_de_Excel_Files1025678911[Avis Cofimac],"2-Favorable sous réserve",Tableau_Lancer_la_requête_à_partir_de_Excel_Files1025678911[''48''])</f>
        <v>0</v>
      </c>
      <c r="M61" s="1">
        <f>SUMIF(Tableau_Lancer_la_requête_à_partir_de_Excel_Files102567891113[Avis Prog],"1-Favorable",Tableau_Lancer_la_requête_à_partir_de_Excel_Files102567891113[''48''])</f>
        <v>0</v>
      </c>
      <c r="N61" s="3">
        <f>SUMIF(Tableau_Lancer_la_requête_à_partir_de_Excel_Files102567891113[Avis Cofimac],"1-Favorable",Tableau_Lancer_la_requête_à_partir_de_Excel_Files102567891113[''48''])</f>
        <v>0</v>
      </c>
      <c r="O61" s="1">
        <f>SUMIF(Tableau_Lancer_la_requête_à_partir_de_Excel_Files102567891113[Avis Prog],"2-Favorable sous réserve",Tableau_Lancer_la_requête_à_partir_de_Excel_Files102567891113[''48''])</f>
        <v>0</v>
      </c>
      <c r="P61" s="3">
        <f>SUMIF(Tableau_Lancer_la_requête_à_partir_de_Excel_Files102567891113[Avis Cofimac],"2-Favorable sous réserve",Tableau_Lancer_la_requête_à_partir_de_Excel_Files102567891113[''48''])</f>
        <v>0</v>
      </c>
      <c r="Q61" s="1">
        <f>SUMIF(Tableau_Lancer_la_requête_à_partir_de_Excel_Files10256789111214[Avis Prog],"1-Favorable",Tableau_Lancer_la_requête_à_partir_de_Excel_Files10256789111214[''48''])</f>
        <v>0</v>
      </c>
      <c r="R61" s="3">
        <f>SUMIF(Tableau_Lancer_la_requête_à_partir_de_Excel_Files10256789111214[Avis Cofimac],"1-Favorable",Tableau_Lancer_la_requête_à_partir_de_Excel_Files10256789111214[''48''])</f>
        <v>0</v>
      </c>
      <c r="S61" s="1">
        <f>SUMIF(Tableau_Lancer_la_requête_à_partir_de_Excel_Files10256789111214[Avis Prog],"2-Favorable sous réserve",Tableau_Lancer_la_requête_à_partir_de_Excel_Files10256789111214[''48''])</f>
        <v>0</v>
      </c>
      <c r="T61" s="3">
        <f>SUMIF(Tableau_Lancer_la_requête_à_partir_de_Excel_Files10256789111214[Avis Cofimac],"2-Favorable sous réserve",Tableau_Lancer_la_requête_à_partir_de_Excel_Files10256789111214[''48''])</f>
        <v>0</v>
      </c>
      <c r="U61" s="1">
        <f>SUMIF(Tableau_Lancer_la_requête_à_partir_de_Excel_Files102567891112[Avis Prog],"1-Favorable",Tableau_Lancer_la_requête_à_partir_de_Excel_Files102567891112[''48''])</f>
        <v>0</v>
      </c>
      <c r="V61" s="3">
        <f>SUMIF(Tableau_Lancer_la_requête_à_partir_de_Excel_Files102567891112[Avis Cofimac],"1-Favorable",Tableau_Lancer_la_requête_à_partir_de_Excel_Files102567891112[''48''])</f>
        <v>0</v>
      </c>
      <c r="W61" s="1">
        <f>SUMIF(Tableau_Lancer_la_requête_à_partir_de_Excel_Files102567891112[Avis Prog],"2-Favorable sous réserve",Tableau_Lancer_la_requête_à_partir_de_Excel_Files102567891112[''48''])</f>
        <v>0</v>
      </c>
      <c r="X61" s="3">
        <f>SUMIF(Tableau_Lancer_la_requête_à_partir_de_Excel_Files102567891112[Avis Cofimac],"2-Favorable sous réserve",Tableau_Lancer_la_requête_à_partir_de_Excel_Files102567891112[''48''])</f>
        <v>0</v>
      </c>
    </row>
    <row r="62" spans="4:46" hidden="1" x14ac:dyDescent="0.25">
      <c r="D62" t="s">
        <v>34</v>
      </c>
      <c r="E62" s="3">
        <f t="shared" si="0"/>
        <v>0</v>
      </c>
      <c r="F62" s="3">
        <f t="shared" si="1"/>
        <v>0</v>
      </c>
      <c r="H62" s="1">
        <f>SUMIF(Tableau_Lancer_la_requête_à_partir_de_Excel_Files1025678911[Avis Prog],"1-Favorable",Tableau_Lancer_la_requête_à_partir_de_Excel_Files1025678911[''58''])</f>
        <v>0</v>
      </c>
      <c r="I62" s="3">
        <f>SUMIF(Tableau_Lancer_la_requête_à_partir_de_Excel_Files1025678911[Avis Cofimac],"1-Favorable",Tableau_Lancer_la_requête_à_partir_de_Excel_Files1025678911[''58''])</f>
        <v>0</v>
      </c>
      <c r="J62" s="1">
        <f>SUMIF(Tableau_Lancer_la_requête_à_partir_de_Excel_Files1025678911[Avis Prog],"2-Favorable sous réserve",Tableau_Lancer_la_requête_à_partir_de_Excel_Files1025678911[''58''])</f>
        <v>0</v>
      </c>
      <c r="K62" s="3">
        <f>SUMIF(Tableau_Lancer_la_requête_à_partir_de_Excel_Files1025678911[Avis Cofimac],"2-Favorable sous réserve",Tableau_Lancer_la_requête_à_partir_de_Excel_Files1025678911[''58''])</f>
        <v>0</v>
      </c>
      <c r="M62" s="1">
        <f>SUMIF(Tableau_Lancer_la_requête_à_partir_de_Excel_Files102567891113[Avis Prog],"1-Favorable",Tableau_Lancer_la_requête_à_partir_de_Excel_Files102567891113[''58''])</f>
        <v>0</v>
      </c>
      <c r="N62" s="3">
        <f>SUMIF(Tableau_Lancer_la_requête_à_partir_de_Excel_Files102567891113[Avis Cofimac],"1-Favorable",Tableau_Lancer_la_requête_à_partir_de_Excel_Files102567891113[''58''])</f>
        <v>0</v>
      </c>
      <c r="O62" s="1">
        <f>SUMIF(Tableau_Lancer_la_requête_à_partir_de_Excel_Files102567891113[Avis Prog],"2-Favorable sous réserve",Tableau_Lancer_la_requête_à_partir_de_Excel_Files102567891113[''58''])</f>
        <v>0</v>
      </c>
      <c r="P62" s="3">
        <f>SUMIF(Tableau_Lancer_la_requête_à_partir_de_Excel_Files102567891113[Avis Cofimac],"2-Favorable sous réserve",Tableau_Lancer_la_requête_à_partir_de_Excel_Files102567891113[''58''])</f>
        <v>0</v>
      </c>
      <c r="Q62" s="1">
        <f>SUMIF(Tableau_Lancer_la_requête_à_partir_de_Excel_Files10256789111214[Avis Prog],"1-Favorable",Tableau_Lancer_la_requête_à_partir_de_Excel_Files10256789111214[''58''])</f>
        <v>0</v>
      </c>
      <c r="R62" s="3">
        <f>SUMIF(Tableau_Lancer_la_requête_à_partir_de_Excel_Files10256789111214[Avis Cofimac],"1-Favorable",Tableau_Lancer_la_requête_à_partir_de_Excel_Files10256789111214[''58''])</f>
        <v>0</v>
      </c>
      <c r="S62" s="1">
        <f>SUMIF(Tableau_Lancer_la_requête_à_partir_de_Excel_Files10256789111214[Avis Prog],"2-Favorable sous réserve",Tableau_Lancer_la_requête_à_partir_de_Excel_Files10256789111214[''58''])</f>
        <v>0</v>
      </c>
      <c r="T62" s="3">
        <f>SUMIF(Tableau_Lancer_la_requête_à_partir_de_Excel_Files10256789111214[Avis Cofimac],"2-Favorable sous réserve",Tableau_Lancer_la_requête_à_partir_de_Excel_Files10256789111214[''58''])</f>
        <v>0</v>
      </c>
      <c r="U62" s="1">
        <f>SUMIF(Tableau_Lancer_la_requête_à_partir_de_Excel_Files102567891112[Avis Prog],"1-Favorable",Tableau_Lancer_la_requête_à_partir_de_Excel_Files102567891112[''58''])</f>
        <v>0</v>
      </c>
      <c r="V62" s="3">
        <f>SUMIF(Tableau_Lancer_la_requête_à_partir_de_Excel_Files102567891112[Avis Cofimac],"1-Favorable",Tableau_Lancer_la_requête_à_partir_de_Excel_Files102567891112[''58''])</f>
        <v>0</v>
      </c>
      <c r="W62" s="1">
        <f>SUMIF(Tableau_Lancer_la_requête_à_partir_de_Excel_Files102567891112[Avis Prog],"2-Favorable sous réserve",Tableau_Lancer_la_requête_à_partir_de_Excel_Files102567891112[''58''])</f>
        <v>0</v>
      </c>
      <c r="X62" s="3">
        <f>SUMIF(Tableau_Lancer_la_requête_à_partir_de_Excel_Files102567891112[Avis Cofimac],"2-Favorable sous réserve",Tableau_Lancer_la_requête_à_partir_de_Excel_Files102567891112[''58''])</f>
        <v>0</v>
      </c>
    </row>
    <row r="63" spans="4:46" hidden="1" x14ac:dyDescent="0.25">
      <c r="D63" t="s">
        <v>35</v>
      </c>
      <c r="E63" s="3">
        <f t="shared" si="0"/>
        <v>0</v>
      </c>
      <c r="F63" s="3">
        <f t="shared" si="1"/>
        <v>0</v>
      </c>
      <c r="H63" s="1">
        <f>SUMIF(Tableau_Lancer_la_requête_à_partir_de_Excel_Files1025678911[Avis Prog],"1-Favorable",Tableau_Lancer_la_requête_à_partir_de_Excel_Files1025678911[''63''])</f>
        <v>0</v>
      </c>
      <c r="I63" s="3">
        <f>SUMIF(Tableau_Lancer_la_requête_à_partir_de_Excel_Files1025678911[Avis Cofimac],"1-Favorable",Tableau_Lancer_la_requête_à_partir_de_Excel_Files1025678911[''63''])</f>
        <v>0</v>
      </c>
      <c r="J63" s="1">
        <f>SUMIF(Tableau_Lancer_la_requête_à_partir_de_Excel_Files1025678911[Avis Prog],"2-Favorable sous réserve",Tableau_Lancer_la_requête_à_partir_de_Excel_Files1025678911[''63''])</f>
        <v>0</v>
      </c>
      <c r="K63" s="3">
        <f>SUMIF(Tableau_Lancer_la_requête_à_partir_de_Excel_Files1025678911[Avis Cofimac],"2-Favorable sous réserve",Tableau_Lancer_la_requête_à_partir_de_Excel_Files1025678911[''63''])</f>
        <v>0</v>
      </c>
      <c r="M63" s="1">
        <f>SUMIF(Tableau_Lancer_la_requête_à_partir_de_Excel_Files102567891113[Avis Prog],"1-Favorable",Tableau_Lancer_la_requête_à_partir_de_Excel_Files102567891113[''63''])</f>
        <v>0</v>
      </c>
      <c r="N63" s="3">
        <f>SUMIF(Tableau_Lancer_la_requête_à_partir_de_Excel_Files102567891113[Avis Cofimac],"1-Favorable",Tableau_Lancer_la_requête_à_partir_de_Excel_Files102567891113[''63''])</f>
        <v>0</v>
      </c>
      <c r="O63" s="1">
        <f>SUMIF(Tableau_Lancer_la_requête_à_partir_de_Excel_Files102567891113[Avis Prog],"2-Favorable sous réserve",Tableau_Lancer_la_requête_à_partir_de_Excel_Files102567891113[''63''])</f>
        <v>0</v>
      </c>
      <c r="P63" s="3">
        <f>SUMIF(Tableau_Lancer_la_requête_à_partir_de_Excel_Files102567891113[Avis Cofimac],"2-Favorable sous réserve",Tableau_Lancer_la_requête_à_partir_de_Excel_Files102567891113[''63''])</f>
        <v>0</v>
      </c>
      <c r="Q63" s="1">
        <f>SUMIF(Tableau_Lancer_la_requête_à_partir_de_Excel_Files10256789111214[Avis Prog],"1-Favorable",Tableau_Lancer_la_requête_à_partir_de_Excel_Files10256789111214[''63''])</f>
        <v>0</v>
      </c>
      <c r="R63" s="3">
        <f>SUMIF(Tableau_Lancer_la_requête_à_partir_de_Excel_Files10256789111214[Avis Cofimac],"1-Favorable",Tableau_Lancer_la_requête_à_partir_de_Excel_Files10256789111214[''63''])</f>
        <v>0</v>
      </c>
      <c r="S63" s="1">
        <f>SUMIF(Tableau_Lancer_la_requête_à_partir_de_Excel_Files10256789111214[Avis Prog],"2-Favorable sous réserve",Tableau_Lancer_la_requête_à_partir_de_Excel_Files10256789111214[''63''])</f>
        <v>0</v>
      </c>
      <c r="T63" s="3">
        <f>SUMIF(Tableau_Lancer_la_requête_à_partir_de_Excel_Files10256789111214[Avis Cofimac],"2-Favorable sous réserve",Tableau_Lancer_la_requête_à_partir_de_Excel_Files10256789111214[''63''])</f>
        <v>0</v>
      </c>
      <c r="U63" s="1">
        <f>SUMIF(Tableau_Lancer_la_requête_à_partir_de_Excel_Files102567891112[Avis Prog],"1-Favorable",Tableau_Lancer_la_requête_à_partir_de_Excel_Files102567891112[''63''])</f>
        <v>0</v>
      </c>
      <c r="V63" s="3">
        <f>SUMIF(Tableau_Lancer_la_requête_à_partir_de_Excel_Files102567891112[Avis Cofimac],"1-Favorable",Tableau_Lancer_la_requête_à_partir_de_Excel_Files102567891112[''63''])</f>
        <v>0</v>
      </c>
      <c r="W63" s="1">
        <f>SUMIF(Tableau_Lancer_la_requête_à_partir_de_Excel_Files102567891112[Avis Prog],"2-Favorable sous réserve",Tableau_Lancer_la_requête_à_partir_de_Excel_Files102567891112[''63''])</f>
        <v>0</v>
      </c>
      <c r="X63" s="3">
        <f>SUMIF(Tableau_Lancer_la_requête_à_partir_de_Excel_Files102567891112[Avis Cofimac],"2-Favorable sous réserve",Tableau_Lancer_la_requête_à_partir_de_Excel_Files102567891112[''63''])</f>
        <v>0</v>
      </c>
    </row>
    <row r="64" spans="4:46" hidden="1" x14ac:dyDescent="0.25">
      <c r="D64" t="s">
        <v>36</v>
      </c>
      <c r="E64" s="3">
        <f t="shared" si="0"/>
        <v>0</v>
      </c>
      <c r="F64" s="3">
        <f t="shared" si="1"/>
        <v>0</v>
      </c>
      <c r="H64" s="1">
        <f>SUMIF(Tableau_Lancer_la_requête_à_partir_de_Excel_Files1025678911[Avis Prog],"1-Favorable",Tableau_Lancer_la_requête_à_partir_de_Excel_Files1025678911[''69''])</f>
        <v>0</v>
      </c>
      <c r="I64" s="3">
        <f>SUMIF(Tableau_Lancer_la_requête_à_partir_de_Excel_Files1025678911[Avis Cofimac],"1-Favorable",Tableau_Lancer_la_requête_à_partir_de_Excel_Files1025678911[''69''])</f>
        <v>0</v>
      </c>
      <c r="J64" s="1">
        <f>SUMIF(Tableau_Lancer_la_requête_à_partir_de_Excel_Files1025678911[Avis Prog],"2-Favorable sous réserve",Tableau_Lancer_la_requête_à_partir_de_Excel_Files1025678911[''69''])</f>
        <v>0</v>
      </c>
      <c r="K64" s="3">
        <f>SUMIF(Tableau_Lancer_la_requête_à_partir_de_Excel_Files1025678911[Avis Cofimac],"2-Favorable sous réserve",Tableau_Lancer_la_requête_à_partir_de_Excel_Files1025678911[''69''])</f>
        <v>0</v>
      </c>
      <c r="M64" s="1">
        <f>SUMIF(Tableau_Lancer_la_requête_à_partir_de_Excel_Files102567891113[Avis Prog],"1-Favorable",Tableau_Lancer_la_requête_à_partir_de_Excel_Files102567891113[''69''])</f>
        <v>0</v>
      </c>
      <c r="N64" s="3">
        <f>SUMIF(Tableau_Lancer_la_requête_à_partir_de_Excel_Files102567891113[Avis Cofimac],"1-Favorable",Tableau_Lancer_la_requête_à_partir_de_Excel_Files102567891113[''69''])</f>
        <v>0</v>
      </c>
      <c r="O64" s="1">
        <f>SUMIF(Tableau_Lancer_la_requête_à_partir_de_Excel_Files102567891113[Avis Prog],"2-Favorable sous réserve",Tableau_Lancer_la_requête_à_partir_de_Excel_Files102567891113[''69''])</f>
        <v>0</v>
      </c>
      <c r="P64" s="3">
        <f>SUMIF(Tableau_Lancer_la_requête_à_partir_de_Excel_Files102567891113[Avis Cofimac],"2-Favorable sous réserve",Tableau_Lancer_la_requête_à_partir_de_Excel_Files102567891113[''69''])</f>
        <v>0</v>
      </c>
      <c r="Q64" s="1">
        <f>SUMIF(Tableau_Lancer_la_requête_à_partir_de_Excel_Files10256789111214[Avis Prog],"1-Favorable",Tableau_Lancer_la_requête_à_partir_de_Excel_Files10256789111214[''69''])</f>
        <v>0</v>
      </c>
      <c r="R64" s="3">
        <f>SUMIF(Tableau_Lancer_la_requête_à_partir_de_Excel_Files10256789111214[Avis Cofimac],"1-Favorable",Tableau_Lancer_la_requête_à_partir_de_Excel_Files10256789111214[''69''])</f>
        <v>0</v>
      </c>
      <c r="S64" s="1">
        <f>SUMIF(Tableau_Lancer_la_requête_à_partir_de_Excel_Files10256789111214[Avis Prog],"2-Favorable sous réserve",Tableau_Lancer_la_requête_à_partir_de_Excel_Files10256789111214[''69''])</f>
        <v>0</v>
      </c>
      <c r="T64" s="3">
        <f>SUMIF(Tableau_Lancer_la_requête_à_partir_de_Excel_Files10256789111214[Avis Cofimac],"2-Favorable sous réserve",Tableau_Lancer_la_requête_à_partir_de_Excel_Files10256789111214[''69''])</f>
        <v>0</v>
      </c>
      <c r="U64" s="1">
        <f>SUMIF(Tableau_Lancer_la_requête_à_partir_de_Excel_Files102567891112[Avis Prog],"1-Favorable",Tableau_Lancer_la_requête_à_partir_de_Excel_Files102567891112[''69''])</f>
        <v>0</v>
      </c>
      <c r="V64" s="3">
        <f>SUMIF(Tableau_Lancer_la_requête_à_partir_de_Excel_Files102567891112[Avis Cofimac],"1-Favorable",Tableau_Lancer_la_requête_à_partir_de_Excel_Files102567891112[''69''])</f>
        <v>0</v>
      </c>
      <c r="W64" s="1">
        <f>SUMIF(Tableau_Lancer_la_requête_à_partir_de_Excel_Files102567891112[Avis Prog],"2-Favorable sous réserve",Tableau_Lancer_la_requête_à_partir_de_Excel_Files102567891112[''69''])</f>
        <v>0</v>
      </c>
      <c r="X64" s="3">
        <f>SUMIF(Tableau_Lancer_la_requête_à_partir_de_Excel_Files102567891112[Avis Cofimac],"2-Favorable sous réserve",Tableau_Lancer_la_requête_à_partir_de_Excel_Files102567891112[''69''])</f>
        <v>0</v>
      </c>
    </row>
    <row r="65" spans="4:24" hidden="1" x14ac:dyDescent="0.25">
      <c r="D65" t="s">
        <v>37</v>
      </c>
      <c r="E65" s="3">
        <f t="shared" si="0"/>
        <v>0</v>
      </c>
      <c r="F65" s="3">
        <f t="shared" si="1"/>
        <v>0</v>
      </c>
      <c r="H65" s="1">
        <f>SUMIF(Tableau_Lancer_la_requête_à_partir_de_Excel_Files1025678911[Avis Prog],"1-Favorable",Tableau_Lancer_la_requête_à_partir_de_Excel_Files1025678911[''71''])</f>
        <v>0</v>
      </c>
      <c r="I65" s="3">
        <f>SUMIF(Tableau_Lancer_la_requête_à_partir_de_Excel_Files1025678911[Avis Cofimac],"1-Favorable",Tableau_Lancer_la_requête_à_partir_de_Excel_Files1025678911[''71''])</f>
        <v>0</v>
      </c>
      <c r="J65" s="1">
        <f>SUMIF(Tableau_Lancer_la_requête_à_partir_de_Excel_Files1025678911[Avis Prog],"2-Favorable sous réserve",Tableau_Lancer_la_requête_à_partir_de_Excel_Files1025678911[''71''])</f>
        <v>0</v>
      </c>
      <c r="K65" s="3">
        <f>SUMIF(Tableau_Lancer_la_requête_à_partir_de_Excel_Files1025678911[Avis Cofimac],"2-Favorable sous réserve",Tableau_Lancer_la_requête_à_partir_de_Excel_Files1025678911[''71''])</f>
        <v>0</v>
      </c>
      <c r="M65" s="1">
        <f>SUMIF(Tableau_Lancer_la_requête_à_partir_de_Excel_Files102567891113[Avis Prog],"1-Favorable",Tableau_Lancer_la_requête_à_partir_de_Excel_Files102567891113[''71''])</f>
        <v>0</v>
      </c>
      <c r="N65" s="3">
        <f>SUMIF(Tableau_Lancer_la_requête_à_partir_de_Excel_Files102567891113[Avis Cofimac],"1-Favorable",Tableau_Lancer_la_requête_à_partir_de_Excel_Files102567891113[''71''])</f>
        <v>0</v>
      </c>
      <c r="O65" s="1">
        <f>SUMIF(Tableau_Lancer_la_requête_à_partir_de_Excel_Files102567891113[Avis Prog],"2-Favorable sous réserve",Tableau_Lancer_la_requête_à_partir_de_Excel_Files102567891113[''71''])</f>
        <v>0</v>
      </c>
      <c r="P65" s="3">
        <f>SUMIF(Tableau_Lancer_la_requête_à_partir_de_Excel_Files102567891113[Avis Cofimac],"2-Favorable sous réserve",Tableau_Lancer_la_requête_à_partir_de_Excel_Files102567891113[''71''])</f>
        <v>0</v>
      </c>
      <c r="Q65" s="1">
        <f>SUMIF(Tableau_Lancer_la_requête_à_partir_de_Excel_Files10256789111214[Avis Prog],"1-Favorable",Tableau_Lancer_la_requête_à_partir_de_Excel_Files10256789111214[''71''])</f>
        <v>0</v>
      </c>
      <c r="R65" s="3">
        <f>SUMIF(Tableau_Lancer_la_requête_à_partir_de_Excel_Files10256789111214[Avis Cofimac],"1-Favorable",Tableau_Lancer_la_requête_à_partir_de_Excel_Files10256789111214[''71''])</f>
        <v>0</v>
      </c>
      <c r="S65" s="1">
        <f>SUMIF(Tableau_Lancer_la_requête_à_partir_de_Excel_Files10256789111214[Avis Prog],"2-Favorable sous réserve",Tableau_Lancer_la_requête_à_partir_de_Excel_Files10256789111214[''71''])</f>
        <v>0</v>
      </c>
      <c r="T65" s="3">
        <f>SUMIF(Tableau_Lancer_la_requête_à_partir_de_Excel_Files10256789111214[Avis Cofimac],"2-Favorable sous réserve",Tableau_Lancer_la_requête_à_partir_de_Excel_Files10256789111214[''71''])</f>
        <v>0</v>
      </c>
      <c r="U65" s="1">
        <f>SUMIF(Tableau_Lancer_la_requête_à_partir_de_Excel_Files102567891112[Avis Prog],"1-Favorable",Tableau_Lancer_la_requête_à_partir_de_Excel_Files102567891112[''71''])</f>
        <v>0</v>
      </c>
      <c r="V65" s="3">
        <f>SUMIF(Tableau_Lancer_la_requête_à_partir_de_Excel_Files102567891112[Avis Cofimac],"1-Favorable",Tableau_Lancer_la_requête_à_partir_de_Excel_Files102567891112[''71''])</f>
        <v>0</v>
      </c>
      <c r="W65" s="1">
        <f>SUMIF(Tableau_Lancer_la_requête_à_partir_de_Excel_Files102567891112[Avis Prog],"2-Favorable sous réserve",Tableau_Lancer_la_requête_à_partir_de_Excel_Files102567891112[''71''])</f>
        <v>0</v>
      </c>
      <c r="X65" s="3">
        <f>SUMIF(Tableau_Lancer_la_requête_à_partir_de_Excel_Files102567891112[Avis Cofimac],"2-Favorable sous réserve",Tableau_Lancer_la_requête_à_partir_de_Excel_Files102567891112[''71''])</f>
        <v>0</v>
      </c>
    </row>
    <row r="66" spans="4:24" hidden="1" x14ac:dyDescent="0.25">
      <c r="D66" t="s">
        <v>38</v>
      </c>
      <c r="E66" s="3">
        <f t="shared" si="0"/>
        <v>0</v>
      </c>
      <c r="F66" s="3">
        <f t="shared" si="1"/>
        <v>0</v>
      </c>
      <c r="H66" s="1">
        <f>SUMIF(Tableau_Lancer_la_requête_à_partir_de_Excel_Files1025678911[Avis Prog],"1-Favorable",Tableau_Lancer_la_requête_à_partir_de_Excel_Files1025678911[''81''])</f>
        <v>0</v>
      </c>
      <c r="I66" s="3">
        <f>SUMIF(Tableau_Lancer_la_requête_à_partir_de_Excel_Files1025678911[Avis Cofimac],"1-Favorable",Tableau_Lancer_la_requête_à_partir_de_Excel_Files1025678911[''81''])</f>
        <v>0</v>
      </c>
      <c r="J66" s="1">
        <f>SUMIF(Tableau_Lancer_la_requête_à_partir_de_Excel_Files1025678911[Avis Prog],"2-Favorable sous réserve",Tableau_Lancer_la_requête_à_partir_de_Excel_Files1025678911[''81''])</f>
        <v>0</v>
      </c>
      <c r="K66" s="3">
        <f>SUMIF(Tableau_Lancer_la_requête_à_partir_de_Excel_Files1025678911[Avis Cofimac],"2-Favorable sous réserve",Tableau_Lancer_la_requête_à_partir_de_Excel_Files1025678911[''81''])</f>
        <v>0</v>
      </c>
      <c r="M66" s="1">
        <f>SUMIF(Tableau_Lancer_la_requête_à_partir_de_Excel_Files102567891113[Avis Prog],"1-Favorable",Tableau_Lancer_la_requête_à_partir_de_Excel_Files102567891113[''81''])</f>
        <v>0</v>
      </c>
      <c r="N66" s="3">
        <f>SUMIF(Tableau_Lancer_la_requête_à_partir_de_Excel_Files102567891113[Avis Cofimac],"1-Favorable",Tableau_Lancer_la_requête_à_partir_de_Excel_Files102567891113[''81''])</f>
        <v>0</v>
      </c>
      <c r="O66" s="1">
        <f>SUMIF(Tableau_Lancer_la_requête_à_partir_de_Excel_Files102567891113[Avis Prog],"2-Favorable sous réserve",Tableau_Lancer_la_requête_à_partir_de_Excel_Files102567891113[''81''])</f>
        <v>0</v>
      </c>
      <c r="P66" s="3">
        <f>SUMIF(Tableau_Lancer_la_requête_à_partir_de_Excel_Files102567891113[Avis Cofimac],"2-Favorable sous réserve",Tableau_Lancer_la_requête_à_partir_de_Excel_Files102567891113[''81''])</f>
        <v>0</v>
      </c>
      <c r="Q66" s="1">
        <f>SUMIF(Tableau_Lancer_la_requête_à_partir_de_Excel_Files10256789111214[Avis Prog],"1-Favorable",Tableau_Lancer_la_requête_à_partir_de_Excel_Files10256789111214[''81''])</f>
        <v>0</v>
      </c>
      <c r="R66" s="3">
        <f>SUMIF(Tableau_Lancer_la_requête_à_partir_de_Excel_Files10256789111214[Avis Cofimac],"1-Favorable",Tableau_Lancer_la_requête_à_partir_de_Excel_Files10256789111214[''81''])</f>
        <v>0</v>
      </c>
      <c r="S66" s="1">
        <f>SUMIF(Tableau_Lancer_la_requête_à_partir_de_Excel_Files10256789111214[Avis Prog],"2-Favorable sous réserve",Tableau_Lancer_la_requête_à_partir_de_Excel_Files10256789111214[''81''])</f>
        <v>0</v>
      </c>
      <c r="T66" s="3">
        <f>SUMIF(Tableau_Lancer_la_requête_à_partir_de_Excel_Files10256789111214[Avis Cofimac],"2-Favorable sous réserve",Tableau_Lancer_la_requête_à_partir_de_Excel_Files10256789111214[''81''])</f>
        <v>0</v>
      </c>
      <c r="U66" s="1">
        <f>SUMIF(Tableau_Lancer_la_requête_à_partir_de_Excel_Files102567891112[Avis Prog],"1-Favorable",Tableau_Lancer_la_requête_à_partir_de_Excel_Files102567891112[''81''])</f>
        <v>0</v>
      </c>
      <c r="V66" s="3">
        <f>SUMIF(Tableau_Lancer_la_requête_à_partir_de_Excel_Files102567891112[Avis Cofimac],"1-Favorable",Tableau_Lancer_la_requête_à_partir_de_Excel_Files102567891112[''81''])</f>
        <v>0</v>
      </c>
      <c r="W66" s="1">
        <f>SUMIF(Tableau_Lancer_la_requête_à_partir_de_Excel_Files102567891112[Avis Prog],"2-Favorable sous réserve",Tableau_Lancer_la_requête_à_partir_de_Excel_Files102567891112[''81''])</f>
        <v>0</v>
      </c>
      <c r="X66" s="3">
        <f>SUMIF(Tableau_Lancer_la_requête_à_partir_de_Excel_Files102567891112[Avis Cofimac],"2-Favorable sous réserve",Tableau_Lancer_la_requête_à_partir_de_Excel_Files102567891112[''81''])</f>
        <v>0</v>
      </c>
    </row>
    <row r="67" spans="4:24" hidden="1" x14ac:dyDescent="0.25">
      <c r="D67" t="s">
        <v>39</v>
      </c>
      <c r="E67" s="3">
        <f t="shared" si="0"/>
        <v>0</v>
      </c>
      <c r="F67" s="3">
        <f t="shared" si="1"/>
        <v>0</v>
      </c>
      <c r="H67" s="1">
        <f>SUMIF(Tableau_Lancer_la_requête_à_partir_de_Excel_Files1025678911[Avis Prog],"1-Favorable",Tableau_Lancer_la_requête_à_partir_de_Excel_Files1025678911[''82''])</f>
        <v>0</v>
      </c>
      <c r="I67" s="3">
        <f>SUMIF(Tableau_Lancer_la_requête_à_partir_de_Excel_Files1025678911[Avis Cofimac],"1-Favorable",Tableau_Lancer_la_requête_à_partir_de_Excel_Files1025678911[''82''])</f>
        <v>0</v>
      </c>
      <c r="J67" s="1">
        <f>SUMIF(Tableau_Lancer_la_requête_à_partir_de_Excel_Files1025678911[Avis Prog],"2-Favorable sous réserve",Tableau_Lancer_la_requête_à_partir_de_Excel_Files1025678911[''82''])</f>
        <v>0</v>
      </c>
      <c r="K67" s="3">
        <f>SUMIF(Tableau_Lancer_la_requête_à_partir_de_Excel_Files1025678911[Avis Cofimac],"2-Favorable sous réserve",Tableau_Lancer_la_requête_à_partir_de_Excel_Files1025678911[''82''])</f>
        <v>0</v>
      </c>
      <c r="M67" s="1">
        <f>SUMIF(Tableau_Lancer_la_requête_à_partir_de_Excel_Files102567891113[Avis Prog],"1-Favorable",Tableau_Lancer_la_requête_à_partir_de_Excel_Files102567891113[''82''])</f>
        <v>0</v>
      </c>
      <c r="N67" s="3">
        <f>SUMIF(Tableau_Lancer_la_requête_à_partir_de_Excel_Files102567891113[Avis Cofimac],"1-Favorable",Tableau_Lancer_la_requête_à_partir_de_Excel_Files102567891113[''82''])</f>
        <v>0</v>
      </c>
      <c r="O67" s="1">
        <f>SUMIF(Tableau_Lancer_la_requête_à_partir_de_Excel_Files102567891113[Avis Prog],"2-Favorable sous réserve",Tableau_Lancer_la_requête_à_partir_de_Excel_Files102567891113[''82''])</f>
        <v>0</v>
      </c>
      <c r="P67" s="3">
        <f>SUMIF(Tableau_Lancer_la_requête_à_partir_de_Excel_Files102567891113[Avis Cofimac],"2-Favorable sous réserve",Tableau_Lancer_la_requête_à_partir_de_Excel_Files102567891113[''82''])</f>
        <v>0</v>
      </c>
      <c r="Q67" s="1">
        <f>SUMIF(Tableau_Lancer_la_requête_à_partir_de_Excel_Files10256789111214[Avis Prog],"1-Favorable",Tableau_Lancer_la_requête_à_partir_de_Excel_Files10256789111214[''82''])</f>
        <v>0</v>
      </c>
      <c r="R67" s="3">
        <f>SUMIF(Tableau_Lancer_la_requête_à_partir_de_Excel_Files10256789111214[Avis Cofimac],"1-Favorable",Tableau_Lancer_la_requête_à_partir_de_Excel_Files10256789111214[''82''])</f>
        <v>0</v>
      </c>
      <c r="S67" s="1">
        <f>SUMIF(Tableau_Lancer_la_requête_à_partir_de_Excel_Files10256789111214[Avis Prog],"2-Favorable sous réserve",Tableau_Lancer_la_requête_à_partir_de_Excel_Files10256789111214[''82''])</f>
        <v>0</v>
      </c>
      <c r="T67" s="3">
        <f>SUMIF(Tableau_Lancer_la_requête_à_partir_de_Excel_Files10256789111214[Avis Cofimac],"2-Favorable sous réserve",Tableau_Lancer_la_requête_à_partir_de_Excel_Files10256789111214[''82''])</f>
        <v>0</v>
      </c>
      <c r="U67" s="1">
        <f>SUMIF(Tableau_Lancer_la_requête_à_partir_de_Excel_Files102567891112[Avis Prog],"1-Favorable",Tableau_Lancer_la_requête_à_partir_de_Excel_Files102567891112[''82''])</f>
        <v>0</v>
      </c>
      <c r="V67" s="3">
        <f>SUMIF(Tableau_Lancer_la_requête_à_partir_de_Excel_Files102567891112[Avis Cofimac],"1-Favorable",Tableau_Lancer_la_requête_à_partir_de_Excel_Files102567891112[''82''])</f>
        <v>0</v>
      </c>
      <c r="W67" s="1">
        <f>SUMIF(Tableau_Lancer_la_requête_à_partir_de_Excel_Files102567891112[Avis Prog],"2-Favorable sous réserve",Tableau_Lancer_la_requête_à_partir_de_Excel_Files102567891112[''82''])</f>
        <v>0</v>
      </c>
      <c r="X67" s="3">
        <f>SUMIF(Tableau_Lancer_la_requête_à_partir_de_Excel_Files102567891112[Avis Cofimac],"2-Favorable sous réserve",Tableau_Lancer_la_requête_à_partir_de_Excel_Files102567891112[''82''])</f>
        <v>0</v>
      </c>
    </row>
    <row r="68" spans="4:24" hidden="1" x14ac:dyDescent="0.25">
      <c r="D68" t="s">
        <v>40</v>
      </c>
      <c r="E68" s="3">
        <f t="shared" si="0"/>
        <v>0</v>
      </c>
      <c r="F68" s="3">
        <f t="shared" si="1"/>
        <v>0</v>
      </c>
      <c r="H68" s="1">
        <f>SUMIF(Tableau_Lancer_la_requête_à_partir_de_Excel_Files1025678911[Avis Prog],"1-Favorable",Tableau_Lancer_la_requête_à_partir_de_Excel_Files1025678911[''87''])</f>
        <v>0</v>
      </c>
      <c r="I68" s="3">
        <f>SUMIF(Tableau_Lancer_la_requête_à_partir_de_Excel_Files1025678911[Avis Cofimac],"1-Favorable",Tableau_Lancer_la_requête_à_partir_de_Excel_Files1025678911[''87''])</f>
        <v>0</v>
      </c>
      <c r="J68" s="1">
        <f>SUMIF(Tableau_Lancer_la_requête_à_partir_de_Excel_Files1025678911[Avis Prog],"2-Favorable sous réserve",Tableau_Lancer_la_requête_à_partir_de_Excel_Files1025678911[''87''])</f>
        <v>0</v>
      </c>
      <c r="K68" s="3">
        <f>SUMIF(Tableau_Lancer_la_requête_à_partir_de_Excel_Files1025678911[Avis Cofimac],"2-Favorable sous réserve",Tableau_Lancer_la_requête_à_partir_de_Excel_Files1025678911[''87''])</f>
        <v>0</v>
      </c>
      <c r="M68" s="1">
        <f>SUMIF(Tableau_Lancer_la_requête_à_partir_de_Excel_Files102567891113[Avis Prog],"1-Favorable",Tableau_Lancer_la_requête_à_partir_de_Excel_Files102567891113[''87''])</f>
        <v>0</v>
      </c>
      <c r="N68" s="3">
        <f>SUMIF(Tableau_Lancer_la_requête_à_partir_de_Excel_Files102567891113[Avis Cofimac],"1-Favorable",Tableau_Lancer_la_requête_à_partir_de_Excel_Files102567891113[''87''])</f>
        <v>0</v>
      </c>
      <c r="O68" s="1">
        <f>SUMIF(Tableau_Lancer_la_requête_à_partir_de_Excel_Files102567891113[Avis Prog],"2-Favorable sous réserve",Tableau_Lancer_la_requête_à_partir_de_Excel_Files102567891113[''87''])</f>
        <v>0</v>
      </c>
      <c r="P68" s="3">
        <f>SUMIF(Tableau_Lancer_la_requête_à_partir_de_Excel_Files102567891113[Avis Cofimac],"2-Favorable sous réserve",Tableau_Lancer_la_requête_à_partir_de_Excel_Files102567891113[''87''])</f>
        <v>0</v>
      </c>
      <c r="Q68" s="1">
        <f>SUMIF(Tableau_Lancer_la_requête_à_partir_de_Excel_Files10256789111214[Avis Prog],"1-Favorable",Tableau_Lancer_la_requête_à_partir_de_Excel_Files10256789111214[''87''])</f>
        <v>0</v>
      </c>
      <c r="R68" s="3">
        <f>SUMIF(Tableau_Lancer_la_requête_à_partir_de_Excel_Files10256789111214[Avis Cofimac],"1-Favorable",Tableau_Lancer_la_requête_à_partir_de_Excel_Files10256789111214[''87''])</f>
        <v>0</v>
      </c>
      <c r="S68" s="1">
        <f>SUMIF(Tableau_Lancer_la_requête_à_partir_de_Excel_Files10256789111214[Avis Prog],"2-Favorable sous réserve",Tableau_Lancer_la_requête_à_partir_de_Excel_Files10256789111214[''87''])</f>
        <v>0</v>
      </c>
      <c r="T68" s="3">
        <f>SUMIF(Tableau_Lancer_la_requête_à_partir_de_Excel_Files10256789111214[Avis Cofimac],"2-Favorable sous réserve",Tableau_Lancer_la_requête_à_partir_de_Excel_Files10256789111214[''87''])</f>
        <v>0</v>
      </c>
      <c r="U68" s="1">
        <f>SUMIF(Tableau_Lancer_la_requête_à_partir_de_Excel_Files102567891112[Avis Prog],"1-Favorable",Tableau_Lancer_la_requête_à_partir_de_Excel_Files102567891112[''87''])</f>
        <v>0</v>
      </c>
      <c r="V68" s="3">
        <f>SUMIF(Tableau_Lancer_la_requête_à_partir_de_Excel_Files102567891112[Avis Cofimac],"1-Favorable",Tableau_Lancer_la_requête_à_partir_de_Excel_Files102567891112[''87''])</f>
        <v>0</v>
      </c>
      <c r="W68" s="1">
        <f>SUMIF(Tableau_Lancer_la_requête_à_partir_de_Excel_Files102567891112[Avis Prog],"2-Favorable sous réserve",Tableau_Lancer_la_requête_à_partir_de_Excel_Files102567891112[''87''])</f>
        <v>0</v>
      </c>
      <c r="X68" s="3">
        <f>SUMIF(Tableau_Lancer_la_requête_à_partir_de_Excel_Files102567891112[Avis Cofimac],"2-Favorable sous réserve",Tableau_Lancer_la_requête_à_partir_de_Excel_Files102567891112[''87''])</f>
        <v>0</v>
      </c>
    </row>
    <row r="69" spans="4:24" hidden="1" x14ac:dyDescent="0.25">
      <c r="D69" t="s">
        <v>41</v>
      </c>
      <c r="E69" s="3">
        <f t="shared" si="0"/>
        <v>0</v>
      </c>
      <c r="F69" s="3">
        <f t="shared" si="1"/>
        <v>0</v>
      </c>
      <c r="H69" s="1">
        <f>SUMIF(Tableau_Lancer_la_requête_à_partir_de_Excel_Files1025678911[Avis Prog],"1-Favorable",Tableau_Lancer_la_requête_à_partir_de_Excel_Files1025678911[''89''])</f>
        <v>0</v>
      </c>
      <c r="I69" s="3">
        <f>SUMIF(Tableau_Lancer_la_requête_à_partir_de_Excel_Files1025678911[Avis Cofimac],"1-Favorable",Tableau_Lancer_la_requête_à_partir_de_Excel_Files1025678911[''89''])</f>
        <v>0</v>
      </c>
      <c r="J69" s="1">
        <f>SUMIF(Tableau_Lancer_la_requête_à_partir_de_Excel_Files1025678911[Avis Prog],"2-Favorable sous réserve",Tableau_Lancer_la_requête_à_partir_de_Excel_Files1025678911[''89''])</f>
        <v>0</v>
      </c>
      <c r="K69" s="3">
        <f>SUMIF(Tableau_Lancer_la_requête_à_partir_de_Excel_Files1025678911[Avis Cofimac],"2-Favorable sous réserve",Tableau_Lancer_la_requête_à_partir_de_Excel_Files1025678911[''89''])</f>
        <v>0</v>
      </c>
      <c r="M69" s="1">
        <f>SUMIF(Tableau_Lancer_la_requête_à_partir_de_Excel_Files102567891113[Avis Prog],"1-Favorable",Tableau_Lancer_la_requête_à_partir_de_Excel_Files102567891113[''89''])</f>
        <v>0</v>
      </c>
      <c r="N69" s="3">
        <f>SUMIF(Tableau_Lancer_la_requête_à_partir_de_Excel_Files102567891113[Avis Cofimac],"1-Favorable",Tableau_Lancer_la_requête_à_partir_de_Excel_Files102567891113[''89''])</f>
        <v>0</v>
      </c>
      <c r="O69" s="1">
        <f>SUMIF(Tableau_Lancer_la_requête_à_partir_de_Excel_Files102567891113[Avis Prog],"2-Favorable sous réserve",Tableau_Lancer_la_requête_à_partir_de_Excel_Files102567891113[''89''])</f>
        <v>0</v>
      </c>
      <c r="P69" s="3">
        <f>SUMIF(Tableau_Lancer_la_requête_à_partir_de_Excel_Files102567891113[Avis Cofimac],"2-Favorable sous réserve",Tableau_Lancer_la_requête_à_partir_de_Excel_Files102567891113[''89''])</f>
        <v>0</v>
      </c>
      <c r="Q69" s="1">
        <f>SUMIF(Tableau_Lancer_la_requête_à_partir_de_Excel_Files10256789111214[Avis Prog],"1-Favorable",Tableau_Lancer_la_requête_à_partir_de_Excel_Files10256789111214[''89''])</f>
        <v>0</v>
      </c>
      <c r="R69" s="3">
        <f>SUMIF(Tableau_Lancer_la_requête_à_partir_de_Excel_Files10256789111214[Avis Cofimac],"1-Favorable",Tableau_Lancer_la_requête_à_partir_de_Excel_Files10256789111214[''89''])</f>
        <v>0</v>
      </c>
      <c r="S69" s="1">
        <f>SUMIF(Tableau_Lancer_la_requête_à_partir_de_Excel_Files10256789111214[Avis Prog],"2-Favorable sous réserve",Tableau_Lancer_la_requête_à_partir_de_Excel_Files10256789111214[''89''])</f>
        <v>0</v>
      </c>
      <c r="T69" s="3">
        <f>SUMIF(Tableau_Lancer_la_requête_à_partir_de_Excel_Files10256789111214[Avis Cofimac],"2-Favorable sous réserve",Tableau_Lancer_la_requête_à_partir_de_Excel_Files10256789111214[''89''])</f>
        <v>0</v>
      </c>
      <c r="U69" s="1">
        <f>SUMIF(Tableau_Lancer_la_requête_à_partir_de_Excel_Files102567891112[Avis Prog],"1-Favorable",Tableau_Lancer_la_requête_à_partir_de_Excel_Files102567891112[''89''])</f>
        <v>0</v>
      </c>
      <c r="V69" s="3">
        <f>SUMIF(Tableau_Lancer_la_requête_à_partir_de_Excel_Files102567891112[Avis Cofimac],"1-Favorable",Tableau_Lancer_la_requête_à_partir_de_Excel_Files102567891112[''89''])</f>
        <v>0</v>
      </c>
      <c r="W69" s="1">
        <f>SUMIF(Tableau_Lancer_la_requête_à_partir_de_Excel_Files102567891112[Avis Prog],"2-Favorable sous réserve",Tableau_Lancer_la_requête_à_partir_de_Excel_Files102567891112[''89''])</f>
        <v>0</v>
      </c>
      <c r="X69" s="3">
        <f>SUMIF(Tableau_Lancer_la_requête_à_partir_de_Excel_Files102567891112[Avis Cofimac],"2-Favorable sous réserve",Tableau_Lancer_la_requête_à_partir_de_Excel_Files102567891112[''89''])</f>
        <v>0</v>
      </c>
    </row>
    <row r="70" spans="4:24" hidden="1" x14ac:dyDescent="0.25"/>
    <row r="71" spans="4:24" hidden="1" x14ac:dyDescent="0.25"/>
    <row r="72" spans="4:24" hidden="1" x14ac:dyDescent="0.25"/>
    <row r="73" spans="4:24" hidden="1" x14ac:dyDescent="0.25"/>
    <row r="74" spans="4:24" hidden="1" x14ac:dyDescent="0.25"/>
    <row r="75" spans="4:24" hidden="1" x14ac:dyDescent="0.25"/>
    <row r="76" spans="4:24" hidden="1" x14ac:dyDescent="0.25"/>
    <row r="77" spans="4:24" hidden="1" x14ac:dyDescent="0.25"/>
    <row r="78" spans="4:24" hidden="1" x14ac:dyDescent="0.25"/>
    <row r="79" spans="4:24" hidden="1" x14ac:dyDescent="0.25"/>
    <row r="80" spans="4:24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</sheetData>
  <mergeCells count="4">
    <mergeCell ref="I31:M31"/>
    <mergeCell ref="I32:M32"/>
    <mergeCell ref="I33:M33"/>
    <mergeCell ref="H38:K38"/>
  </mergeCells>
  <conditionalFormatting sqref="AP14 AR14 AP25:AP26 AR25:AR26 AP8 AR8">
    <cfRule type="cellIs" dxfId="1649" priority="49" operator="equal">
      <formula>"6-Retiré/Abandon"</formula>
    </cfRule>
    <cfRule type="cellIs" dxfId="1648" priority="50" operator="equal">
      <formula>"5-Défavorable"</formula>
    </cfRule>
    <cfRule type="cellIs" dxfId="1647" priority="51" operator="equal">
      <formula>"4-Ajournement"</formula>
    </cfRule>
    <cfRule type="cellIs" dxfId="1646" priority="52" operator="equal">
      <formula>"1-Favorable"</formula>
    </cfRule>
  </conditionalFormatting>
  <conditionalFormatting sqref="AP20 AR20">
    <cfRule type="cellIs" dxfId="1645" priority="37" operator="equal">
      <formula>"6-Retiré/Abandon"</formula>
    </cfRule>
    <cfRule type="cellIs" dxfId="1644" priority="38" operator="equal">
      <formula>"5-Défavorable"</formula>
    </cfRule>
    <cfRule type="cellIs" dxfId="1643" priority="39" operator="equal">
      <formula>"4-Ajournement"</formula>
    </cfRule>
    <cfRule type="cellIs" dxfId="1642" priority="40" operator="equal">
      <formula>"1-Favorable"</formula>
    </cfRule>
  </conditionalFormatting>
  <conditionalFormatting sqref="AT8:AT10">
    <cfRule type="cellIs" dxfId="1641" priority="33" operator="equal">
      <formula>"6-Retiré/Abandon"</formula>
    </cfRule>
    <cfRule type="cellIs" dxfId="1640" priority="34" operator="equal">
      <formula>"5-Défavorable"</formula>
    </cfRule>
    <cfRule type="cellIs" dxfId="1639" priority="35" operator="equal">
      <formula>"4-Ajournement"</formula>
    </cfRule>
    <cfRule type="cellIs" dxfId="1638" priority="36" operator="equal">
      <formula>"1-Favorable"</formula>
    </cfRule>
  </conditionalFormatting>
  <conditionalFormatting sqref="AT16:AT28">
    <cfRule type="cellIs" dxfId="1637" priority="29" operator="equal">
      <formula>"6-Retiré/Abandon"</formula>
    </cfRule>
    <cfRule type="cellIs" dxfId="1636" priority="30" operator="equal">
      <formula>"5-Défavorable"</formula>
    </cfRule>
    <cfRule type="cellIs" dxfId="1635" priority="31" operator="equal">
      <formula>"4-Ajournement"</formula>
    </cfRule>
    <cfRule type="cellIs" dxfId="1634" priority="32" operator="equal">
      <formula>"1-Favorable"</formula>
    </cfRule>
  </conditionalFormatting>
  <conditionalFormatting sqref="AT34:AT48">
    <cfRule type="cellIs" dxfId="1633" priority="25" operator="equal">
      <formula>"6-Retiré/Abandon"</formula>
    </cfRule>
    <cfRule type="cellIs" dxfId="1632" priority="26" operator="equal">
      <formula>"5-Défavorable"</formula>
    </cfRule>
    <cfRule type="cellIs" dxfId="1631" priority="27" operator="equal">
      <formula>"4-Ajournement"</formula>
    </cfRule>
    <cfRule type="cellIs" dxfId="1630" priority="28" operator="equal">
      <formula>"1-Favorable"</formula>
    </cfRule>
  </conditionalFormatting>
  <conditionalFormatting sqref="AT54">
    <cfRule type="cellIs" dxfId="1629" priority="7" operator="equal">
      <formula>"6-Retiré/Abandon"</formula>
    </cfRule>
    <cfRule type="cellIs" dxfId="1628" priority="8" operator="equal">
      <formula>"5-Défavorable"</formula>
    </cfRule>
    <cfRule type="cellIs" dxfId="1627" priority="9" operator="equal">
      <formula>"4-Ajournement"</formula>
    </cfRule>
    <cfRule type="cellIs" dxfId="1626" priority="10" operator="equal">
      <formula>"1-Favorable"</formula>
    </cfRule>
  </conditionalFormatting>
  <conditionalFormatting sqref="AO32:AO33">
    <cfRule type="cellIs" dxfId="1625" priority="16" operator="lessThan">
      <formula>0</formula>
    </cfRule>
  </conditionalFormatting>
  <conditionalFormatting sqref="R33">
    <cfRule type="cellIs" dxfId="1624" priority="15" operator="greaterThan">
      <formula>1000000</formula>
    </cfRule>
  </conditionalFormatting>
  <conditionalFormatting sqref="AP14 AR14 AP25:AP26 AR25:AR26 AP8 AR8 AP20 AR20">
    <cfRule type="cellIs" dxfId="1623" priority="14" operator="equal">
      <formula>"2-Favorable sous réserve"</formula>
    </cfRule>
  </conditionalFormatting>
  <conditionalFormatting sqref="AT54">
    <cfRule type="cellIs" dxfId="1622" priority="6" operator="equal">
      <formula>"2-Favorable sous réserve"</formula>
    </cfRule>
  </conditionalFormatting>
  <conditionalFormatting sqref="AT55">
    <cfRule type="cellIs" dxfId="1621" priority="2" operator="equal">
      <formula>"6-Retiré/Abandon"</formula>
    </cfRule>
    <cfRule type="cellIs" dxfId="1620" priority="3" operator="equal">
      <formula>"5-Défavorable"</formula>
    </cfRule>
    <cfRule type="cellIs" dxfId="1619" priority="4" operator="equal">
      <formula>"4-Ajournement"</formula>
    </cfRule>
    <cfRule type="cellIs" dxfId="1618" priority="5" operator="equal">
      <formula>"1-Favorable"</formula>
    </cfRule>
  </conditionalFormatting>
  <conditionalFormatting sqref="AT55">
    <cfRule type="cellIs" dxfId="1617" priority="1" operator="equal">
      <formula>"2-Favorable sous réserve"</formula>
    </cfRule>
  </conditionalFormatting>
  <dataValidations count="1">
    <dataValidation type="list" allowBlank="1" showInputMessage="1" showErrorMessage="1" sqref="AR8 AR20 AR14 AR26">
      <formula1>"1-Favorable,2-Favorable sous réserve,4-Ajournement,5-Défavorable,6-Retiré/Abandon"</formula1>
    </dataValidation>
  </dataValidations>
  <printOptions horizontalCentered="1" verticalCentered="1"/>
  <pageMargins left="0.25" right="0.25" top="0.75" bottom="0.75" header="0.3" footer="0.3"/>
  <pageSetup paperSize="8" scale="58" fitToHeight="0" orientation="landscape" r:id="rId1"/>
  <rowBreaks count="1" manualBreakCount="1">
    <brk id="48" max="45" man="1"/>
  </rowBreaks>
  <drawing r:id="rId2"/>
  <tableParts count="4"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51"/>
  <sheetViews>
    <sheetView view="pageBreakPreview" zoomScale="70" zoomScaleNormal="60" zoomScaleSheetLayoutView="70" workbookViewId="0">
      <selection activeCell="A19" sqref="A19:XFD51"/>
    </sheetView>
  </sheetViews>
  <sheetFormatPr baseColWidth="10" defaultRowHeight="15" outlineLevelCol="1" x14ac:dyDescent="0.25"/>
  <cols>
    <col min="1" max="1" width="17" style="69" customWidth="1"/>
    <col min="2" max="2" width="15.85546875" style="71" customWidth="1"/>
    <col min="3" max="3" width="15.7109375" style="74" customWidth="1"/>
    <col min="4" max="4" width="19.28515625" style="69" customWidth="1"/>
    <col min="5" max="5" width="40.85546875" style="69" customWidth="1"/>
    <col min="6" max="6" width="19.7109375" style="70" customWidth="1"/>
    <col min="7" max="7" width="14.5703125" style="69" hidden="1" customWidth="1"/>
    <col min="8" max="8" width="18.42578125" style="70" hidden="1" customWidth="1"/>
    <col min="9" max="9" width="14.5703125" style="69" customWidth="1"/>
    <col min="10" max="10" width="15" style="69" customWidth="1"/>
    <col min="11" max="11" width="17.140625" style="69" bestFit="1" customWidth="1"/>
    <col min="12" max="12" width="16.5703125" style="69" customWidth="1"/>
    <col min="13" max="13" width="13.7109375" style="69" hidden="1" customWidth="1" outlineLevel="1" collapsed="1"/>
    <col min="14" max="14" width="19.42578125" style="69" hidden="1" customWidth="1" outlineLevel="1"/>
    <col min="15" max="15" width="18.28515625" style="69" customWidth="1" collapsed="1"/>
    <col min="16" max="16" width="18.42578125" style="69" hidden="1" customWidth="1" outlineLevel="1"/>
    <col min="17" max="17" width="11.7109375" style="69" hidden="1" customWidth="1" outlineLevel="1"/>
    <col min="18" max="18" width="16.140625" style="69" hidden="1" customWidth="1" outlineLevel="1" collapsed="1"/>
    <col min="19" max="19" width="16.140625" style="69" hidden="1" customWidth="1" outlineLevel="1"/>
    <col min="20" max="20" width="8.7109375" style="69" customWidth="1" collapsed="1"/>
    <col min="21" max="40" width="8.7109375" style="69" hidden="1" customWidth="1" outlineLevel="1"/>
    <col min="41" max="41" width="14.7109375" style="69" hidden="1" customWidth="1" outlineLevel="1" collapsed="1"/>
    <col min="42" max="42" width="15.85546875" style="69" hidden="1" customWidth="1" outlineLevel="1"/>
    <col min="43" max="43" width="16.42578125" style="69" customWidth="1" collapsed="1"/>
    <col min="44" max="46" width="16.42578125" style="69" customWidth="1"/>
    <col min="47" max="47" width="11.5703125" style="69" hidden="1" customWidth="1"/>
    <col min="48" max="48" width="60.140625" style="69" customWidth="1"/>
    <col min="49" max="49" width="70.42578125" style="71" customWidth="1"/>
    <col min="50" max="50" width="15.42578125" style="69" bestFit="1" customWidth="1"/>
    <col min="51" max="51" width="17.28515625" style="69" bestFit="1" customWidth="1"/>
    <col min="52" max="52" width="9.42578125" style="69" customWidth="1"/>
    <col min="53" max="67" width="9.7109375" style="69" customWidth="1"/>
    <col min="68" max="68" width="15.140625" style="69" customWidth="1"/>
    <col min="69" max="69" width="14.5703125" style="69" customWidth="1"/>
    <col min="70" max="70" width="18.5703125" style="69" customWidth="1"/>
    <col min="71" max="71" width="12.5703125" style="69" customWidth="1"/>
    <col min="72" max="72" width="20.42578125" style="69" customWidth="1"/>
    <col min="73" max="73" width="12.7109375" style="69" customWidth="1"/>
    <col min="74" max="74" width="9.28515625" style="69" customWidth="1"/>
    <col min="75" max="75" width="14.28515625" style="69" customWidth="1"/>
    <col min="76" max="76" width="11.42578125" style="69" customWidth="1"/>
    <col min="77" max="77" width="9" style="69" customWidth="1"/>
    <col min="78" max="78" width="9.5703125" style="69" customWidth="1"/>
    <col min="79" max="79" width="11" style="69" customWidth="1"/>
    <col min="80" max="80" width="12.7109375" style="69" customWidth="1"/>
    <col min="81" max="83" width="9.7109375" style="69" customWidth="1"/>
    <col min="84" max="84" width="15.140625" style="69" customWidth="1"/>
    <col min="85" max="85" width="17.28515625" style="69" customWidth="1"/>
    <col min="86" max="86" width="49.28515625" style="71" customWidth="1"/>
    <col min="87" max="87" width="17.28515625" style="69" customWidth="1"/>
    <col min="88" max="16384" width="11.42578125" style="69"/>
  </cols>
  <sheetData>
    <row r="1" spans="1:86" ht="18.75" x14ac:dyDescent="0.3">
      <c r="A1" s="150" t="s">
        <v>73</v>
      </c>
      <c r="B1" s="150"/>
      <c r="C1" s="68">
        <f>Feuil1!A2</f>
        <v>42832</v>
      </c>
    </row>
    <row r="5" spans="1:86" x14ac:dyDescent="0.25">
      <c r="A5" s="72" t="s">
        <v>212</v>
      </c>
      <c r="B5" s="73"/>
    </row>
    <row r="6" spans="1:86" s="81" customFormat="1" ht="30" x14ac:dyDescent="0.25">
      <c r="A6" s="81" t="s">
        <v>0</v>
      </c>
      <c r="B6" s="81" t="s">
        <v>122</v>
      </c>
      <c r="C6" s="81" t="s">
        <v>7</v>
      </c>
      <c r="D6" s="81" t="s">
        <v>1</v>
      </c>
      <c r="E6" s="81" t="s">
        <v>2</v>
      </c>
      <c r="F6" s="81" t="s">
        <v>50</v>
      </c>
      <c r="G6" s="81" t="s">
        <v>52</v>
      </c>
      <c r="H6" s="81" t="s">
        <v>51</v>
      </c>
      <c r="I6" s="81" t="s">
        <v>48</v>
      </c>
      <c r="J6" s="81" t="s">
        <v>53</v>
      </c>
      <c r="K6" s="81" t="s">
        <v>42</v>
      </c>
      <c r="L6" s="81" t="s">
        <v>63</v>
      </c>
      <c r="M6" s="81" t="s">
        <v>67</v>
      </c>
      <c r="N6" s="81" t="s">
        <v>15</v>
      </c>
      <c r="O6" s="81" t="s">
        <v>64</v>
      </c>
      <c r="P6" s="81" t="s">
        <v>18</v>
      </c>
      <c r="Q6" s="81" t="s">
        <v>16</v>
      </c>
      <c r="R6" s="81" t="s">
        <v>17</v>
      </c>
      <c r="S6" s="81" t="s">
        <v>19</v>
      </c>
      <c r="T6" s="81" t="s">
        <v>65</v>
      </c>
      <c r="U6" s="81" t="s">
        <v>20</v>
      </c>
      <c r="V6" s="81" t="s">
        <v>21</v>
      </c>
      <c r="W6" s="81" t="s">
        <v>22</v>
      </c>
      <c r="X6" s="81" t="s">
        <v>23</v>
      </c>
      <c r="Y6" s="81" t="s">
        <v>24</v>
      </c>
      <c r="Z6" s="81" t="s">
        <v>25</v>
      </c>
      <c r="AA6" s="81" t="s">
        <v>26</v>
      </c>
      <c r="AB6" s="81" t="s">
        <v>27</v>
      </c>
      <c r="AC6" s="81" t="s">
        <v>28</v>
      </c>
      <c r="AD6" s="81" t="s">
        <v>29</v>
      </c>
      <c r="AE6" s="81" t="s">
        <v>30</v>
      </c>
      <c r="AF6" s="81" t="s">
        <v>31</v>
      </c>
      <c r="AG6" s="81" t="s">
        <v>32</v>
      </c>
      <c r="AH6" s="81" t="s">
        <v>33</v>
      </c>
      <c r="AI6" s="81" t="s">
        <v>34</v>
      </c>
      <c r="AJ6" s="81" t="s">
        <v>35</v>
      </c>
      <c r="AK6" s="81" t="s">
        <v>36</v>
      </c>
      <c r="AL6" s="81" t="s">
        <v>37</v>
      </c>
      <c r="AM6" s="81" t="s">
        <v>38</v>
      </c>
      <c r="AN6" s="81" t="s">
        <v>39</v>
      </c>
      <c r="AO6" s="81" t="s">
        <v>40</v>
      </c>
      <c r="AP6" s="81" t="s">
        <v>41</v>
      </c>
      <c r="AQ6" s="81" t="s">
        <v>43</v>
      </c>
      <c r="AR6" s="81" t="s">
        <v>47</v>
      </c>
      <c r="AS6" s="81" t="s">
        <v>54</v>
      </c>
      <c r="AT6" s="81" t="s">
        <v>88</v>
      </c>
      <c r="AV6" s="59" t="s">
        <v>62</v>
      </c>
    </row>
    <row r="7" spans="1:86" s="79" customFormat="1" ht="30" x14ac:dyDescent="0.25">
      <c r="A7" s="80" t="s">
        <v>110</v>
      </c>
      <c r="B7" s="80" t="s">
        <v>197</v>
      </c>
      <c r="C7" s="70" t="s">
        <v>213</v>
      </c>
      <c r="D7" s="74" t="s">
        <v>214</v>
      </c>
      <c r="E7" s="74" t="s">
        <v>215</v>
      </c>
      <c r="F7" s="77">
        <v>264144.32</v>
      </c>
      <c r="G7" s="77">
        <f>Tableau_Lancer_la_requête_à_partir_de_Excel_Files10256718[[#This Row],[Aide Massif]]+Tableau_Lancer_la_requête_à_partir_de_Excel_Files10256718[[#This Row],[''Autre Public'']]</f>
        <v>120000</v>
      </c>
      <c r="H7" s="78">
        <f>Tableau_Lancer_la_requête_à_partir_de_Excel_Files10256718[[#This Row],[Aide 
publique]]/Tableau_Lancer_la_requête_à_partir_de_Excel_Files10256718[[#This Row],[''Coût total éligible'']]</f>
        <v>0.45429710546113578</v>
      </c>
      <c r="I7" s="77">
        <f>Tableau_Lancer_la_requête_à_partir_de_Excel_Files10256718[[#This Row],[''FEDER'']]+Tableau_Lancer_la_requête_à_partir_de_Excel_Files10256718[[#This Row],[Total Etat]]+Tableau_Lancer_la_requête_à_partir_de_Excel_Files10256718[[#This Row],[Total Régions]]+Tableau_Lancer_la_requête_à_partir_de_Excel_Files10256718[[#This Row],[Total Dpts]]</f>
        <v>120000</v>
      </c>
      <c r="J7" s="78">
        <f>Tableau_Lancer_la_requête_à_partir_de_Excel_Files10256718[[#This Row],[Aide Massif]]/Tableau_Lancer_la_requête_à_partir_de_Excel_Files10256718[[#This Row],[''Coût total éligible'']]</f>
        <v>0.45429710546113578</v>
      </c>
      <c r="K7" s="77">
        <v>0</v>
      </c>
      <c r="L7" s="77">
        <f>Tableau_Lancer_la_requête_à_partir_de_Excel_Files10256718[[#This Row],[''FNADT '']]+Tableau_Lancer_la_requête_à_partir_de_Excel_Files10256718[[#This Row],[''Agriculture'']]</f>
        <v>40000</v>
      </c>
      <c r="M7" s="77">
        <v>40000</v>
      </c>
      <c r="N7" s="77"/>
      <c r="O7" s="77">
        <f>Tableau_Lancer_la_requête_à_partir_de_Excel_Files10256718[[#This Row],[''ALPC'']]+Tableau_Lancer_la_requête_à_partir_de_Excel_Files10256718[[#This Row],[''AURA'']]+Tableau_Lancer_la_requête_à_partir_de_Excel_Files10256718[[#This Row],[''BFC'']]+Tableau_Lancer_la_requête_à_partir_de_Excel_Files10256718[[#This Row],[''LRMP'']]</f>
        <v>80000</v>
      </c>
      <c r="P7" s="77">
        <v>40000</v>
      </c>
      <c r="Q7" s="77"/>
      <c r="R7" s="77"/>
      <c r="S7" s="77">
        <v>40000</v>
      </c>
      <c r="T7" s="77">
        <f>Tableau_Lancer_la_requête_à_partir_de_Excel_Files10256718[[#This Row],[''03'']]+Tableau_Lancer_la_requête_à_partir_de_Excel_Files10256718[[#This Row],[''07'']]+Tableau_Lancer_la_requête_à_partir_de_Excel_Files10256718[[#This Row],[''11'']]+Tableau_Lancer_la_requête_à_partir_de_Excel_Files10256718[[#This Row],[''12'']]+Tableau_Lancer_la_requête_à_partir_de_Excel_Files10256718[[#This Row],[''15'']]+Tableau_Lancer_la_requête_à_partir_de_Excel_Files10256718[[#This Row],[''19'']]+Tableau_Lancer_la_requête_à_partir_de_Excel_Files10256718[[#This Row],[''21'']]+Tableau_Lancer_la_requête_à_partir_de_Excel_Files10256718[[#This Row],[''23'']]+Tableau_Lancer_la_requête_à_partir_de_Excel_Files10256718[[#This Row],[''30'']]+Tableau_Lancer_la_requête_à_partir_de_Excel_Files10256718[[#This Row],[''34'']]+Tableau_Lancer_la_requête_à_partir_de_Excel_Files10256718[[#This Row],[''42'']]+Tableau_Lancer_la_requête_à_partir_de_Excel_Files10256718[[#This Row],[''43'']]+Tableau_Lancer_la_requête_à_partir_de_Excel_Files10256718[[#This Row],[''46'']]+Tableau_Lancer_la_requête_à_partir_de_Excel_Files10256718[[#This Row],[''48'']]+Tableau_Lancer_la_requête_à_partir_de_Excel_Files10256718[[#This Row],[''58'']]+Tableau_Lancer_la_requête_à_partir_de_Excel_Files10256718[[#This Row],[''63'']]+Tableau_Lancer_la_requête_à_partir_de_Excel_Files10256718[[#This Row],[''69'']]+Tableau_Lancer_la_requête_à_partir_de_Excel_Files10256718[[#This Row],[''71'']]+Tableau_Lancer_la_requête_à_partir_de_Excel_Files10256718[[#This Row],[''81'']]+Tableau_Lancer_la_requête_à_partir_de_Excel_Files10256718[[#This Row],[''82'']]+Tableau_Lancer_la_requête_à_partir_de_Excel_Files10256718[[#This Row],[''87'']]+Tableau_Lancer_la_requête_à_partir_de_Excel_Files10256718[[#This Row],[''89'']]</f>
        <v>0</v>
      </c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>
        <v>0</v>
      </c>
      <c r="AR7" s="79" t="s">
        <v>231</v>
      </c>
      <c r="AS7" s="79" t="s">
        <v>231</v>
      </c>
      <c r="AT7" s="80"/>
      <c r="AV7" s="91"/>
    </row>
    <row r="8" spans="1:86" s="79" customFormat="1" ht="45.75" thickBot="1" x14ac:dyDescent="0.3">
      <c r="A8" s="80" t="s">
        <v>110</v>
      </c>
      <c r="B8" s="80" t="s">
        <v>197</v>
      </c>
      <c r="C8" s="70" t="s">
        <v>216</v>
      </c>
      <c r="D8" s="74" t="s">
        <v>84</v>
      </c>
      <c r="E8" s="74" t="s">
        <v>217</v>
      </c>
      <c r="F8" s="77">
        <v>449318.33</v>
      </c>
      <c r="G8" s="77">
        <f>Tableau_Lancer_la_requête_à_partir_de_Excel_Files10256718[[#This Row],[Aide Massif]]+Tableau_Lancer_la_requête_à_partir_de_Excel_Files10256718[[#This Row],[''Autre Public'']]</f>
        <v>179795.5</v>
      </c>
      <c r="H8" s="78">
        <f>Tableau_Lancer_la_requête_à_partir_de_Excel_Files10256718[[#This Row],[Aide 
publique]]/Tableau_Lancer_la_requête_à_partir_de_Excel_Files10256718[[#This Row],[''Coût total éligible'']]</f>
        <v>0.40015171426458385</v>
      </c>
      <c r="I8" s="77">
        <f>Tableau_Lancer_la_requête_à_partir_de_Excel_Files10256718[[#This Row],[''FEDER'']]+Tableau_Lancer_la_requête_à_partir_de_Excel_Files10256718[[#This Row],[Total Etat]]+Tableau_Lancer_la_requête_à_partir_de_Excel_Files10256718[[#This Row],[Total Régions]]+Tableau_Lancer_la_requête_à_partir_de_Excel_Files10256718[[#This Row],[Total Dpts]]</f>
        <v>179795.5</v>
      </c>
      <c r="J8" s="78">
        <f>Tableau_Lancer_la_requête_à_partir_de_Excel_Files10256718[[#This Row],[Aide Massif]]/Tableau_Lancer_la_requête_à_partir_de_Excel_Files10256718[[#This Row],[''Coût total éligible'']]</f>
        <v>0.40015171426458385</v>
      </c>
      <c r="K8" s="77">
        <v>0</v>
      </c>
      <c r="L8" s="77">
        <f>Tableau_Lancer_la_requête_à_partir_de_Excel_Files10256718[[#This Row],[''FNADT '']]+Tableau_Lancer_la_requête_à_partir_de_Excel_Files10256718[[#This Row],[''Agriculture'']]</f>
        <v>134795.5</v>
      </c>
      <c r="M8" s="77">
        <v>134795.5</v>
      </c>
      <c r="N8" s="77"/>
      <c r="O8" s="77">
        <f>Tableau_Lancer_la_requête_à_partir_de_Excel_Files10256718[[#This Row],[''ALPC'']]+Tableau_Lancer_la_requête_à_partir_de_Excel_Files10256718[[#This Row],[''AURA'']]+Tableau_Lancer_la_requête_à_partir_de_Excel_Files10256718[[#This Row],[''BFC'']]+Tableau_Lancer_la_requête_à_partir_de_Excel_Files10256718[[#This Row],[''LRMP'']]</f>
        <v>45000</v>
      </c>
      <c r="P8" s="77">
        <v>45000</v>
      </c>
      <c r="Q8" s="77"/>
      <c r="R8" s="77"/>
      <c r="S8" s="77"/>
      <c r="T8" s="77">
        <f>Tableau_Lancer_la_requête_à_partir_de_Excel_Files10256718[[#This Row],[''03'']]+Tableau_Lancer_la_requête_à_partir_de_Excel_Files10256718[[#This Row],[''07'']]+Tableau_Lancer_la_requête_à_partir_de_Excel_Files10256718[[#This Row],[''11'']]+Tableau_Lancer_la_requête_à_partir_de_Excel_Files10256718[[#This Row],[''12'']]+Tableau_Lancer_la_requête_à_partir_de_Excel_Files10256718[[#This Row],[''15'']]+Tableau_Lancer_la_requête_à_partir_de_Excel_Files10256718[[#This Row],[''19'']]+Tableau_Lancer_la_requête_à_partir_de_Excel_Files10256718[[#This Row],[''21'']]+Tableau_Lancer_la_requête_à_partir_de_Excel_Files10256718[[#This Row],[''23'']]+Tableau_Lancer_la_requête_à_partir_de_Excel_Files10256718[[#This Row],[''30'']]+Tableau_Lancer_la_requête_à_partir_de_Excel_Files10256718[[#This Row],[''34'']]+Tableau_Lancer_la_requête_à_partir_de_Excel_Files10256718[[#This Row],[''42'']]+Tableau_Lancer_la_requête_à_partir_de_Excel_Files10256718[[#This Row],[''43'']]+Tableau_Lancer_la_requête_à_partir_de_Excel_Files10256718[[#This Row],[''46'']]+Tableau_Lancer_la_requête_à_partir_de_Excel_Files10256718[[#This Row],[''48'']]+Tableau_Lancer_la_requête_à_partir_de_Excel_Files10256718[[#This Row],[''58'']]+Tableau_Lancer_la_requête_à_partir_de_Excel_Files10256718[[#This Row],[''63'']]+Tableau_Lancer_la_requête_à_partir_de_Excel_Files10256718[[#This Row],[''69'']]+Tableau_Lancer_la_requête_à_partir_de_Excel_Files10256718[[#This Row],[''71'']]+Tableau_Lancer_la_requête_à_partir_de_Excel_Files10256718[[#This Row],[''81'']]+Tableau_Lancer_la_requête_à_partir_de_Excel_Files10256718[[#This Row],[''82'']]+Tableau_Lancer_la_requête_à_partir_de_Excel_Files10256718[[#This Row],[''87'']]+Tableau_Lancer_la_requête_à_partir_de_Excel_Files10256718[[#This Row],[''89'']]</f>
        <v>0</v>
      </c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>
        <v>0</v>
      </c>
      <c r="AR8" s="79" t="s">
        <v>231</v>
      </c>
      <c r="AS8" s="79" t="s">
        <v>103</v>
      </c>
      <c r="AT8" s="80">
        <v>42795</v>
      </c>
      <c r="AV8" s="137" t="s">
        <v>238</v>
      </c>
    </row>
    <row r="9" spans="1:86" s="79" customFormat="1" ht="15.75" thickTop="1" x14ac:dyDescent="0.25">
      <c r="C9" s="79" t="s">
        <v>8</v>
      </c>
      <c r="D9" s="74">
        <f>SUBTOTAL(103,Tableau_Lancer_la_requête_à_partir_de_Excel_Files10256718[Nom_MO])</f>
        <v>2</v>
      </c>
      <c r="E9" s="74"/>
      <c r="F9" s="141">
        <f>SUBTOTAL(109,Tableau_Lancer_la_requête_à_partir_de_Excel_Files10256718[''Coût total éligible''])</f>
        <v>713462.65</v>
      </c>
      <c r="G9" s="141">
        <f>SUBTOTAL(109,Tableau_Lancer_la_requête_à_partir_de_Excel_Files10256718[Aide 
publique])</f>
        <v>299795.5</v>
      </c>
      <c r="H9" s="142"/>
      <c r="I9" s="141">
        <f>SUBTOTAL(109,Tableau_Lancer_la_requête_à_partir_de_Excel_Files10256718[Aide Massif])</f>
        <v>299795.5</v>
      </c>
      <c r="J9" s="142"/>
      <c r="K9" s="141">
        <f>SUBTOTAL(109,Tableau_Lancer_la_requête_à_partir_de_Excel_Files10256718[''FEDER''])</f>
        <v>0</v>
      </c>
      <c r="L9" s="141">
        <f>SUBTOTAL(109,Tableau_Lancer_la_requête_à_partir_de_Excel_Files10256718[Total Etat])</f>
        <v>174795.5</v>
      </c>
      <c r="N9" s="141">
        <f>SUBTOTAL(109,Tableau_Lancer_la_requête_à_partir_de_Excel_Files10256718[''Agriculture''])</f>
        <v>0</v>
      </c>
      <c r="O9" s="141">
        <f>SUBTOTAL(109,Tableau_Lancer_la_requête_à_partir_de_Excel_Files10256718[Total Régions])</f>
        <v>125000</v>
      </c>
      <c r="P9" s="141">
        <f>SUBTOTAL(109,Tableau_Lancer_la_requête_à_partir_de_Excel_Files10256718[''ALPC''])</f>
        <v>85000</v>
      </c>
      <c r="Q9" s="141">
        <f>SUBTOTAL(109,Tableau_Lancer_la_requête_à_partir_de_Excel_Files10256718[''AURA''])</f>
        <v>0</v>
      </c>
      <c r="R9" s="141">
        <f>SUBTOTAL(109,Tableau_Lancer_la_requête_à_partir_de_Excel_Files10256718[''BFC''])</f>
        <v>0</v>
      </c>
      <c r="S9" s="141">
        <f>SUBTOTAL(109,Tableau_Lancer_la_requête_à_partir_de_Excel_Files10256718[''LRMP''])</f>
        <v>40000</v>
      </c>
      <c r="T9" s="141">
        <f>SUBTOTAL(109,Tableau_Lancer_la_requête_à_partir_de_Excel_Files10256718[Total Dpts])</f>
        <v>0</v>
      </c>
      <c r="U9" s="141">
        <f>SUBTOTAL(109,Tableau_Lancer_la_requête_à_partir_de_Excel_Files10256718[''03''])</f>
        <v>0</v>
      </c>
      <c r="V9" s="141">
        <f>SUBTOTAL(109,Tableau_Lancer_la_requête_à_partir_de_Excel_Files10256718[''07''])</f>
        <v>0</v>
      </c>
      <c r="W9" s="141">
        <f>SUBTOTAL(109,Tableau_Lancer_la_requête_à_partir_de_Excel_Files10256718[''11''])</f>
        <v>0</v>
      </c>
      <c r="X9" s="141">
        <f>SUBTOTAL(109,Tableau_Lancer_la_requête_à_partir_de_Excel_Files10256718[''12''])</f>
        <v>0</v>
      </c>
      <c r="Y9" s="141">
        <f>SUBTOTAL(109,Tableau_Lancer_la_requête_à_partir_de_Excel_Files10256718[''15''])</f>
        <v>0</v>
      </c>
      <c r="Z9" s="141">
        <f>SUBTOTAL(109,Tableau_Lancer_la_requête_à_partir_de_Excel_Files10256718[''19''])</f>
        <v>0</v>
      </c>
      <c r="AA9" s="141">
        <f>SUBTOTAL(109,Tableau_Lancer_la_requête_à_partir_de_Excel_Files10256718[''21''])</f>
        <v>0</v>
      </c>
      <c r="AB9" s="141">
        <f>SUBTOTAL(109,Tableau_Lancer_la_requête_à_partir_de_Excel_Files10256718[''23''])</f>
        <v>0</v>
      </c>
      <c r="AC9" s="141">
        <f>SUBTOTAL(109,Tableau_Lancer_la_requête_à_partir_de_Excel_Files10256718[''30''])</f>
        <v>0</v>
      </c>
      <c r="AD9" s="141">
        <f>SUBTOTAL(109,Tableau_Lancer_la_requête_à_partir_de_Excel_Files10256718[''34''])</f>
        <v>0</v>
      </c>
      <c r="AE9" s="141">
        <f>SUBTOTAL(109,Tableau_Lancer_la_requête_à_partir_de_Excel_Files10256718[''42''])</f>
        <v>0</v>
      </c>
      <c r="AF9" s="141">
        <f>SUBTOTAL(109,Tableau_Lancer_la_requête_à_partir_de_Excel_Files10256718[''43''])</f>
        <v>0</v>
      </c>
      <c r="AG9" s="141">
        <f>SUBTOTAL(109,Tableau_Lancer_la_requête_à_partir_de_Excel_Files10256718[''46''])</f>
        <v>0</v>
      </c>
      <c r="AH9" s="141">
        <f>SUBTOTAL(109,Tableau_Lancer_la_requête_à_partir_de_Excel_Files10256718[''48''])</f>
        <v>0</v>
      </c>
      <c r="AI9" s="141">
        <f>SUBTOTAL(109,Tableau_Lancer_la_requête_à_partir_de_Excel_Files10256718[''58''])</f>
        <v>0</v>
      </c>
      <c r="AJ9" s="141">
        <f>SUBTOTAL(109,Tableau_Lancer_la_requête_à_partir_de_Excel_Files10256718[''63''])</f>
        <v>0</v>
      </c>
      <c r="AK9" s="141">
        <f>SUBTOTAL(109,Tableau_Lancer_la_requête_à_partir_de_Excel_Files10256718[''69''])</f>
        <v>0</v>
      </c>
      <c r="AL9" s="141">
        <f>SUBTOTAL(109,Tableau_Lancer_la_requête_à_partir_de_Excel_Files10256718[''71''])</f>
        <v>0</v>
      </c>
      <c r="AM9" s="141">
        <f>SUBTOTAL(109,Tableau_Lancer_la_requête_à_partir_de_Excel_Files10256718[''81''])</f>
        <v>0</v>
      </c>
      <c r="AN9" s="141">
        <f>SUBTOTAL(109,Tableau_Lancer_la_requête_à_partir_de_Excel_Files10256718[''82''])</f>
        <v>0</v>
      </c>
      <c r="AO9" s="141">
        <f>SUBTOTAL(109,Tableau_Lancer_la_requête_à_partir_de_Excel_Files10256718[''87''])</f>
        <v>0</v>
      </c>
      <c r="AP9" s="141">
        <f>SUBTOTAL(109,Tableau_Lancer_la_requête_à_partir_de_Excel_Files10256718[''89''])</f>
        <v>0</v>
      </c>
      <c r="AQ9" s="141">
        <f>SUBTOTAL(109,Tableau_Lancer_la_requête_à_partir_de_Excel_Files10256718[''Autre Public''])</f>
        <v>0</v>
      </c>
      <c r="AS9" s="69"/>
      <c r="AV9" s="93"/>
    </row>
    <row r="10" spans="1:86" s="79" customFormat="1" x14ac:dyDescent="0.25">
      <c r="A10" s="69"/>
      <c r="B10" s="71"/>
      <c r="C10" s="74"/>
      <c r="D10" s="69"/>
      <c r="E10" s="69"/>
      <c r="F10" s="70"/>
      <c r="G10" s="69"/>
      <c r="H10" s="70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W10" s="69"/>
    </row>
    <row r="11" spans="1:86" s="79" customFormat="1" x14ac:dyDescent="0.25">
      <c r="A11" s="69"/>
      <c r="B11" s="71"/>
      <c r="C11" s="74"/>
      <c r="D11" s="69"/>
      <c r="E11" s="69"/>
      <c r="F11" s="70"/>
      <c r="G11" s="69"/>
      <c r="H11" s="70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W11" s="69"/>
    </row>
    <row r="12" spans="1:86" x14ac:dyDescent="0.25">
      <c r="AW12" s="69"/>
      <c r="CC12" s="71"/>
      <c r="CH12" s="69"/>
    </row>
    <row r="13" spans="1:86" x14ac:dyDescent="0.25">
      <c r="CC13" s="71"/>
      <c r="CH13" s="69"/>
    </row>
    <row r="14" spans="1:86" x14ac:dyDescent="0.25">
      <c r="CC14" s="71"/>
      <c r="CH14" s="69"/>
    </row>
    <row r="15" spans="1:86" x14ac:dyDescent="0.25">
      <c r="CC15" s="71"/>
      <c r="CH15" s="69"/>
    </row>
    <row r="16" spans="1:86" x14ac:dyDescent="0.25">
      <c r="CC16" s="71"/>
      <c r="CH16" s="69"/>
    </row>
    <row r="17" spans="1:86" s="75" customFormat="1" x14ac:dyDescent="0.25">
      <c r="A17" s="69"/>
      <c r="B17" s="71"/>
      <c r="C17" s="74"/>
      <c r="D17" s="69"/>
      <c r="E17" s="69"/>
      <c r="F17" s="70"/>
      <c r="G17" s="69"/>
      <c r="H17" s="70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W17" s="71"/>
    </row>
    <row r="18" spans="1:86" s="79" customFormat="1" x14ac:dyDescent="0.25">
      <c r="A18" s="69"/>
      <c r="B18" s="71"/>
      <c r="C18" s="74"/>
      <c r="D18" s="69"/>
      <c r="E18" s="69"/>
      <c r="F18" s="70"/>
      <c r="G18" s="69"/>
      <c r="H18" s="70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W18" s="71"/>
    </row>
    <row r="19" spans="1:86" hidden="1" x14ac:dyDescent="0.25">
      <c r="E19" s="69" t="s">
        <v>81</v>
      </c>
      <c r="F19" s="70" t="s">
        <v>82</v>
      </c>
      <c r="CE19" s="71"/>
      <c r="CH19" s="69"/>
    </row>
    <row r="20" spans="1:86" hidden="1" x14ac:dyDescent="0.25">
      <c r="D20" s="69" t="s">
        <v>55</v>
      </c>
      <c r="E20" s="69">
        <f>H20+I20</f>
        <v>0</v>
      </c>
      <c r="F20" s="69">
        <f>K20+N20</f>
        <v>0</v>
      </c>
      <c r="H20" s="69">
        <f>SUMIF(Tableau_Lancer_la_requête_à_partir_de_Excel_Files10256718[Avis Prog],"1-Favorable",Tableau_Lancer_la_requête_à_partir_de_Excel_Files10256718[''FEDER''])</f>
        <v>0</v>
      </c>
      <c r="I20" s="69">
        <f>SUMIF(Tableau_Lancer_la_requête_à_partir_de_Excel_Files10256718[Avis Prog],"2-Favorable sous réserve",Tableau_Lancer_la_requête_à_partir_de_Excel_Files10256718[''FEDER''])</f>
        <v>0</v>
      </c>
      <c r="K20" s="69">
        <f>SUMIF(Tableau_Lancer_la_requête_à_partir_de_Excel_Files10256718[Avis Cofimac],"1-Favorable",Tableau_Lancer_la_requête_à_partir_de_Excel_Files10256718[''FEDER''])</f>
        <v>0</v>
      </c>
      <c r="N20" s="69">
        <f>SUMIF(Tableau_Lancer_la_requête_à_partir_de_Excel_Files10256718[Avis Cofimac],"2-Favorable sous réserve",Tableau_Lancer_la_requête_à_partir_de_Excel_Files10256718[''FEDER''])</f>
        <v>0</v>
      </c>
      <c r="CF20" s="71"/>
      <c r="CH20" s="69"/>
    </row>
    <row r="21" spans="1:86" hidden="1" x14ac:dyDescent="0.25">
      <c r="D21" s="69" t="s">
        <v>44</v>
      </c>
      <c r="E21" s="69">
        <f t="shared" ref="E21:E49" si="0">H21+I21</f>
        <v>40000</v>
      </c>
      <c r="F21" s="69">
        <f t="shared" ref="F21:F49" si="1">K21+N21</f>
        <v>174795.5</v>
      </c>
      <c r="H21" s="69">
        <f>SUMIF(Tableau_Lancer_la_requête_à_partir_de_Excel_Files10256718[Avis Prog],"1-Favorable",Tableau_Lancer_la_requête_à_partir_de_Excel_Files10256718[Total Etat])</f>
        <v>40000</v>
      </c>
      <c r="I21" s="69">
        <f>SUMIF(Tableau_Lancer_la_requête_à_partir_de_Excel_Files10256718[Avis Prog],"2-Favorable sous réserve",Tableau_Lancer_la_requête_à_partir_de_Excel_Files10256718[Total Etat])</f>
        <v>0</v>
      </c>
      <c r="K21" s="69">
        <f>SUMIF(Tableau_Lancer_la_requête_à_partir_de_Excel_Files10256718[Avis Cofimac],"1-Favorable",Tableau_Lancer_la_requête_à_partir_de_Excel_Files10256718[Total Etat])</f>
        <v>174795.5</v>
      </c>
      <c r="N21" s="69">
        <f>SUMIF(Tableau_Lancer_la_requête_à_partir_de_Excel_Files10256718[Avis Cofimac],"2-Favorable sous réserve",Tableau_Lancer_la_requête_à_partir_de_Excel_Files10256718[Total Etat])</f>
        <v>0</v>
      </c>
      <c r="CF21" s="71"/>
      <c r="CH21" s="69"/>
    </row>
    <row r="22" spans="1:86" hidden="1" x14ac:dyDescent="0.25">
      <c r="D22" s="69" t="s">
        <v>45</v>
      </c>
      <c r="E22" s="69">
        <f t="shared" si="0"/>
        <v>80000</v>
      </c>
      <c r="F22" s="69">
        <f t="shared" si="1"/>
        <v>125000</v>
      </c>
      <c r="H22" s="69">
        <f>SUMIF(Tableau_Lancer_la_requête_à_partir_de_Excel_Files10256718[Avis Prog],"1-Favorable",Tableau_Lancer_la_requête_à_partir_de_Excel_Files10256718[Total Régions])</f>
        <v>80000</v>
      </c>
      <c r="I22" s="69">
        <f>SUMIF(Tableau_Lancer_la_requête_à_partir_de_Excel_Files10256718[Avis Prog],"2-Favorable sous réserve",Tableau_Lancer_la_requête_à_partir_de_Excel_Files10256718[Total Régions])</f>
        <v>0</v>
      </c>
      <c r="K22" s="69">
        <f>SUMIF(Tableau_Lancer_la_requête_à_partir_de_Excel_Files10256718[Avis Cofimac],"1-Favorable",Tableau_Lancer_la_requête_à_partir_de_Excel_Files10256718[Total Régions])</f>
        <v>125000</v>
      </c>
      <c r="N22" s="69">
        <f>SUMIF(Tableau_Lancer_la_requête_à_partir_de_Excel_Files10256718[Avis Cofimac],"2-Favorable sous réserve",Tableau_Lancer_la_requête_à_partir_de_Excel_Files10256718[Total Régions])</f>
        <v>0</v>
      </c>
      <c r="CF22" s="71"/>
      <c r="CH22" s="69"/>
    </row>
    <row r="23" spans="1:86" hidden="1" x14ac:dyDescent="0.25">
      <c r="D23" s="69" t="s">
        <v>56</v>
      </c>
      <c r="E23" s="69">
        <f t="shared" si="0"/>
        <v>40000</v>
      </c>
      <c r="F23" s="69">
        <f t="shared" si="1"/>
        <v>85000</v>
      </c>
      <c r="H23" s="69">
        <f>SUMIF(Tableau_Lancer_la_requête_à_partir_de_Excel_Files10256718[Avis Prog],"1-Favorable",Tableau_Lancer_la_requête_à_partir_de_Excel_Files10256718[''ALPC''])</f>
        <v>40000</v>
      </c>
      <c r="I23" s="69">
        <f>SUMIF(Tableau_Lancer_la_requête_à_partir_de_Excel_Files10256718[Avis Prog],"2-Favorable sous réserve",Tableau_Lancer_la_requête_à_partir_de_Excel_Files10256718[''ALPC''])</f>
        <v>0</v>
      </c>
      <c r="K23" s="69">
        <f>SUMIF(Tableau_Lancer_la_requête_à_partir_de_Excel_Files10256718[Avis Cofimac],"1-Favorable",Tableau_Lancer_la_requête_à_partir_de_Excel_Files10256718[''ALPC''])</f>
        <v>85000</v>
      </c>
      <c r="N23" s="69">
        <f>SUMIF(Tableau_Lancer_la_requête_à_partir_de_Excel_Files10256718[Avis Cofimac],"2-Favorable sous réserve",Tableau_Lancer_la_requête_à_partir_de_Excel_Files10256718[''ALPC''])</f>
        <v>0</v>
      </c>
    </row>
    <row r="24" spans="1:86" hidden="1" x14ac:dyDescent="0.25">
      <c r="D24" s="69" t="s">
        <v>57</v>
      </c>
      <c r="E24" s="69">
        <f t="shared" si="0"/>
        <v>0</v>
      </c>
      <c r="F24" s="69">
        <f t="shared" si="1"/>
        <v>0</v>
      </c>
      <c r="H24" s="69">
        <f>SUMIF(Tableau_Lancer_la_requête_à_partir_de_Excel_Files10256718[Avis Prog],"1-Favorable",Tableau_Lancer_la_requête_à_partir_de_Excel_Files10256718[''AURA''])</f>
        <v>0</v>
      </c>
      <c r="I24" s="69">
        <f>SUMIF(Tableau_Lancer_la_requête_à_partir_de_Excel_Files10256718[Avis Prog],"2-Favorable sous réserve",Tableau_Lancer_la_requête_à_partir_de_Excel_Files10256718[''AURA''])</f>
        <v>0</v>
      </c>
      <c r="K24" s="69">
        <f>SUMIF(Tableau_Lancer_la_requête_à_partir_de_Excel_Files10256718[Avis Cofimac],"1-Favorable",Tableau_Lancer_la_requête_à_partir_de_Excel_Files10256718[''AURA''])</f>
        <v>0</v>
      </c>
      <c r="N24" s="69">
        <f>SUMIF(Tableau_Lancer_la_requête_à_partir_de_Excel_Files10256718[Avis Cofimac],"2-Favorable sous réserve",Tableau_Lancer_la_requête_à_partir_de_Excel_Files10256718[''AURA''])</f>
        <v>0</v>
      </c>
    </row>
    <row r="25" spans="1:86" hidden="1" x14ac:dyDescent="0.25">
      <c r="D25" s="69" t="s">
        <v>58</v>
      </c>
      <c r="E25" s="69">
        <f t="shared" si="0"/>
        <v>0</v>
      </c>
      <c r="F25" s="69">
        <f t="shared" si="1"/>
        <v>0</v>
      </c>
      <c r="H25" s="69">
        <f>SUMIF(Tableau_Lancer_la_requête_à_partir_de_Excel_Files10256718[Avis Prog],"1-Favorable",Tableau_Lancer_la_requête_à_partir_de_Excel_Files10256718[''BFC''])</f>
        <v>0</v>
      </c>
      <c r="I25" s="69">
        <f>SUMIF(Tableau_Lancer_la_requête_à_partir_de_Excel_Files10256718[Avis Prog],"2-Favorable sous réserve",Tableau_Lancer_la_requête_à_partir_de_Excel_Files10256718[''BFC''])</f>
        <v>0</v>
      </c>
      <c r="K25" s="69">
        <f>SUMIF(Tableau_Lancer_la_requête_à_partir_de_Excel_Files10256718[Avis Cofimac],"1-Favorable",Tableau_Lancer_la_requête_à_partir_de_Excel_Files10256718[''BFC''])</f>
        <v>0</v>
      </c>
      <c r="N25" s="69">
        <f>SUMIF(Tableau_Lancer_la_requête_à_partir_de_Excel_Files10256718[Avis Cofimac],"2-Favorable sous réserve",Tableau_Lancer_la_requête_à_partir_de_Excel_Files10256718[''BFC''])</f>
        <v>0</v>
      </c>
      <c r="AV25" s="79"/>
    </row>
    <row r="26" spans="1:86" hidden="1" x14ac:dyDescent="0.25">
      <c r="D26" s="69" t="s">
        <v>59</v>
      </c>
      <c r="E26" s="69">
        <f t="shared" si="0"/>
        <v>40000</v>
      </c>
      <c r="F26" s="69">
        <f t="shared" si="1"/>
        <v>40000</v>
      </c>
      <c r="H26" s="69">
        <f>SUMIF(Tableau_Lancer_la_requête_à_partir_de_Excel_Files10256718[Avis Prog],"1-Favorable",Tableau_Lancer_la_requête_à_partir_de_Excel_Files10256718[''LRMP''])</f>
        <v>40000</v>
      </c>
      <c r="I26" s="69">
        <f>SUMIF(Tableau_Lancer_la_requête_à_partir_de_Excel_Files10256718[Avis Prog],"2-Favorable sous réserve",Tableau_Lancer_la_requête_à_partir_de_Excel_Files10256718[''LRMP''])</f>
        <v>0</v>
      </c>
      <c r="K26" s="69">
        <f>SUMIF(Tableau_Lancer_la_requête_à_partir_de_Excel_Files10256718[Avis Cofimac],"1-Favorable",Tableau_Lancer_la_requête_à_partir_de_Excel_Files10256718[''LRMP''])</f>
        <v>40000</v>
      </c>
      <c r="N26" s="69">
        <f>SUMIF(Tableau_Lancer_la_requête_à_partir_de_Excel_Files10256718[Avis Cofimac],"2-Favorable sous réserve",Tableau_Lancer_la_requête_à_partir_de_Excel_Files10256718[''LRMP''])</f>
        <v>0</v>
      </c>
    </row>
    <row r="27" spans="1:86" hidden="1" x14ac:dyDescent="0.25">
      <c r="D27" s="69" t="s">
        <v>46</v>
      </c>
      <c r="E27" s="69">
        <f t="shared" si="0"/>
        <v>0</v>
      </c>
      <c r="F27" s="69">
        <f t="shared" si="1"/>
        <v>0</v>
      </c>
      <c r="H27" s="69">
        <f>SUMIF(Tableau_Lancer_la_requête_à_partir_de_Excel_Files10256718[Avis Prog],"1-Favorable",Tableau_Lancer_la_requête_à_partir_de_Excel_Files10256718[Total Dpts])</f>
        <v>0</v>
      </c>
      <c r="I27" s="69">
        <f>SUMIF(Tableau_Lancer_la_requête_à_partir_de_Excel_Files10256718[Avis Prog],"2-Favorable sous réserve",Tableau_Lancer_la_requête_à_partir_de_Excel_Files10256718[Total Dpts])</f>
        <v>0</v>
      </c>
      <c r="K27" s="69">
        <f>SUMIF(Tableau_Lancer_la_requête_à_partir_de_Excel_Files10256718[Avis Cofimac],"1-Favorable",Tableau_Lancer_la_requête_à_partir_de_Excel_Files10256718[Total Dpts])</f>
        <v>0</v>
      </c>
      <c r="N27" s="69">
        <f>SUMIF(Tableau_Lancer_la_requête_à_partir_de_Excel_Files10256718[Avis Cofimac],"2-Favorable sous réserve",Tableau_Lancer_la_requête_à_partir_de_Excel_Files10256718[Total Dpts])</f>
        <v>0</v>
      </c>
    </row>
    <row r="28" spans="1:86" hidden="1" x14ac:dyDescent="0.25">
      <c r="D28" s="69" t="s">
        <v>20</v>
      </c>
      <c r="E28" s="69">
        <f t="shared" si="0"/>
        <v>0</v>
      </c>
      <c r="F28" s="69">
        <f t="shared" si="1"/>
        <v>0</v>
      </c>
      <c r="H28" s="69">
        <f>SUMIF(Tableau_Lancer_la_requête_à_partir_de_Excel_Files10256718[Avis Prog],"1-Favorable",Tableau_Lancer_la_requête_à_partir_de_Excel_Files10256718[''03''])</f>
        <v>0</v>
      </c>
      <c r="I28" s="69">
        <f>SUMIF(Tableau_Lancer_la_requête_à_partir_de_Excel_Files10256718[Avis Prog],"2-Favorable sous réserve",Tableau_Lancer_la_requête_à_partir_de_Excel_Files10256718[''03''])</f>
        <v>0</v>
      </c>
      <c r="K28" s="69">
        <f>SUMIF(Tableau_Lancer_la_requête_à_partir_de_Excel_Files10256718[Avis Cofimac],"1-Favorable",Tableau_Lancer_la_requête_à_partir_de_Excel_Files10256718[''03''])</f>
        <v>0</v>
      </c>
      <c r="N28" s="69">
        <f>SUMIF(Tableau_Lancer_la_requête_à_partir_de_Excel_Files10256718[Avis Cofimac],"2-Favorable sous réserve",Tableau_Lancer_la_requête_à_partir_de_Excel_Files10256718[''03''])</f>
        <v>0</v>
      </c>
    </row>
    <row r="29" spans="1:86" hidden="1" x14ac:dyDescent="0.25">
      <c r="D29" s="69" t="s">
        <v>21</v>
      </c>
      <c r="E29" s="69">
        <f t="shared" si="0"/>
        <v>0</v>
      </c>
      <c r="F29" s="69">
        <f t="shared" si="1"/>
        <v>0</v>
      </c>
      <c r="H29" s="69">
        <f>SUMIF(Tableau_Lancer_la_requête_à_partir_de_Excel_Files10256718[Avis Prog],"1-Favorable",Tableau_Lancer_la_requête_à_partir_de_Excel_Files10256718[''07''])</f>
        <v>0</v>
      </c>
      <c r="I29" s="69">
        <f>SUMIF(Tableau_Lancer_la_requête_à_partir_de_Excel_Files10256718[Avis Prog],"2-Favorable sous réserve",Tableau_Lancer_la_requête_à_partir_de_Excel_Files10256718[''07''])</f>
        <v>0</v>
      </c>
      <c r="K29" s="69">
        <f>SUMIF(Tableau_Lancer_la_requête_à_partir_de_Excel_Files10256718[Avis Cofimac],"1-Favorable",Tableau_Lancer_la_requête_à_partir_de_Excel_Files10256718[''07''])</f>
        <v>0</v>
      </c>
      <c r="N29" s="69">
        <f>SUMIF(Tableau_Lancer_la_requête_à_partir_de_Excel_Files10256718[Avis Cofimac],"2-Favorable sous réserve",Tableau_Lancer_la_requête_à_partir_de_Excel_Files10256718[''07''])</f>
        <v>0</v>
      </c>
    </row>
    <row r="30" spans="1:86" hidden="1" x14ac:dyDescent="0.25">
      <c r="D30" s="69" t="s">
        <v>22</v>
      </c>
      <c r="E30" s="69">
        <f t="shared" si="0"/>
        <v>0</v>
      </c>
      <c r="F30" s="69">
        <f t="shared" si="1"/>
        <v>0</v>
      </c>
      <c r="H30" s="69">
        <f>SUMIF(Tableau_Lancer_la_requête_à_partir_de_Excel_Files10256718[Avis Prog],"1-Favorable",Tableau_Lancer_la_requête_à_partir_de_Excel_Files10256718[''11''])</f>
        <v>0</v>
      </c>
      <c r="I30" s="69">
        <f>SUMIF(Tableau_Lancer_la_requête_à_partir_de_Excel_Files10256718[Avis Prog],"2-Favorable sous réserve",Tableau_Lancer_la_requête_à_partir_de_Excel_Files10256718[''11''])</f>
        <v>0</v>
      </c>
      <c r="K30" s="69">
        <f>SUMIF(Tableau_Lancer_la_requête_à_partir_de_Excel_Files10256718[Avis Cofimac],"1-Favorable",Tableau_Lancer_la_requête_à_partir_de_Excel_Files10256718[''11''])</f>
        <v>0</v>
      </c>
      <c r="N30" s="69">
        <f>SUMIF(Tableau_Lancer_la_requête_à_partir_de_Excel_Files10256718[Avis Cofimac],"2-Favorable sous réserve",Tableau_Lancer_la_requête_à_partir_de_Excel_Files10256718[''11''])</f>
        <v>0</v>
      </c>
    </row>
    <row r="31" spans="1:86" hidden="1" x14ac:dyDescent="0.25">
      <c r="D31" s="69" t="s">
        <v>23</v>
      </c>
      <c r="E31" s="69">
        <f t="shared" si="0"/>
        <v>0</v>
      </c>
      <c r="F31" s="69">
        <f t="shared" si="1"/>
        <v>0</v>
      </c>
      <c r="H31" s="69">
        <f>SUMIF(Tableau_Lancer_la_requête_à_partir_de_Excel_Files10256718[Avis Prog],"1-Favorable",Tableau_Lancer_la_requête_à_partir_de_Excel_Files10256718[''12''])</f>
        <v>0</v>
      </c>
      <c r="I31" s="69">
        <f>SUMIF(Tableau_Lancer_la_requête_à_partir_de_Excel_Files10256718[Avis Prog],"2-Favorable sous réserve",Tableau_Lancer_la_requête_à_partir_de_Excel_Files10256718[''12''])</f>
        <v>0</v>
      </c>
      <c r="K31" s="69">
        <f>SUMIF(Tableau_Lancer_la_requête_à_partir_de_Excel_Files10256718[Avis Cofimac],"1-Favorable",Tableau_Lancer_la_requête_à_partir_de_Excel_Files10256718[''12''])</f>
        <v>0</v>
      </c>
      <c r="N31" s="69">
        <f>SUMIF(Tableau_Lancer_la_requête_à_partir_de_Excel_Files10256718[Avis Cofimac],"2-Favorable sous réserve",Tableau_Lancer_la_requête_à_partir_de_Excel_Files10256718[''12''])</f>
        <v>0</v>
      </c>
    </row>
    <row r="32" spans="1:86" hidden="1" x14ac:dyDescent="0.25">
      <c r="D32" s="69" t="s">
        <v>24</v>
      </c>
      <c r="E32" s="69">
        <f t="shared" si="0"/>
        <v>0</v>
      </c>
      <c r="F32" s="69">
        <f t="shared" si="1"/>
        <v>0</v>
      </c>
      <c r="H32" s="69">
        <f>SUMIF(Tableau_Lancer_la_requête_à_partir_de_Excel_Files10256718[Avis Prog],"1-Favorable",Tableau_Lancer_la_requête_à_partir_de_Excel_Files10256718[''15''])</f>
        <v>0</v>
      </c>
      <c r="I32" s="69">
        <f>SUMIF(Tableau_Lancer_la_requête_à_partir_de_Excel_Files10256718[Avis Prog],"2-Favorable sous réserve",Tableau_Lancer_la_requête_à_partir_de_Excel_Files10256718[''15''])</f>
        <v>0</v>
      </c>
      <c r="K32" s="69">
        <f>SUMIF(Tableau_Lancer_la_requête_à_partir_de_Excel_Files10256718[Avis Cofimac],"1-Favorable",Tableau_Lancer_la_requête_à_partir_de_Excel_Files10256718[''15''])</f>
        <v>0</v>
      </c>
      <c r="N32" s="69">
        <f>SUMIF(Tableau_Lancer_la_requête_à_partir_de_Excel_Files10256718[Avis Cofimac],"2-Favorable sous réserve",Tableau_Lancer_la_requête_à_partir_de_Excel_Files10256718[''15''])</f>
        <v>0</v>
      </c>
    </row>
    <row r="33" spans="4:14" hidden="1" x14ac:dyDescent="0.25">
      <c r="D33" s="69" t="s">
        <v>25</v>
      </c>
      <c r="E33" s="69">
        <f t="shared" si="0"/>
        <v>0</v>
      </c>
      <c r="F33" s="69">
        <f t="shared" si="1"/>
        <v>0</v>
      </c>
      <c r="H33" s="69">
        <f>SUMIF(Tableau_Lancer_la_requête_à_partir_de_Excel_Files10256718[Avis Prog],"1-Favorable",Tableau_Lancer_la_requête_à_partir_de_Excel_Files10256718[''19''])</f>
        <v>0</v>
      </c>
      <c r="I33" s="69">
        <f>SUMIF(Tableau_Lancer_la_requête_à_partir_de_Excel_Files10256718[Avis Prog],"2-Favorable sous réserve",Tableau_Lancer_la_requête_à_partir_de_Excel_Files10256718[''19''])</f>
        <v>0</v>
      </c>
      <c r="K33" s="69">
        <f>SUMIF(Tableau_Lancer_la_requête_à_partir_de_Excel_Files10256718[Avis Cofimac],"1-Favorable",Tableau_Lancer_la_requête_à_partir_de_Excel_Files10256718[''19''])</f>
        <v>0</v>
      </c>
      <c r="N33" s="69">
        <f>SUMIF(Tableau_Lancer_la_requête_à_partir_de_Excel_Files10256718[Avis Cofimac],"2-Favorable sous réserve",Tableau_Lancer_la_requête_à_partir_de_Excel_Files10256718[''19''])</f>
        <v>0</v>
      </c>
    </row>
    <row r="34" spans="4:14" hidden="1" x14ac:dyDescent="0.25">
      <c r="D34" s="69" t="s">
        <v>26</v>
      </c>
      <c r="E34" s="69">
        <f t="shared" si="0"/>
        <v>0</v>
      </c>
      <c r="F34" s="69">
        <f t="shared" si="1"/>
        <v>0</v>
      </c>
      <c r="H34" s="69">
        <f>SUMIF(Tableau_Lancer_la_requête_à_partir_de_Excel_Files10256718[Avis Prog],"1-Favorable",Tableau_Lancer_la_requête_à_partir_de_Excel_Files10256718[''21''])</f>
        <v>0</v>
      </c>
      <c r="I34" s="69">
        <f>SUMIF(Tableau_Lancer_la_requête_à_partir_de_Excel_Files10256718[Avis Prog],"2-Favorable sous réserve",Tableau_Lancer_la_requête_à_partir_de_Excel_Files10256718[''21''])</f>
        <v>0</v>
      </c>
      <c r="K34" s="69">
        <f>SUMIF(Tableau_Lancer_la_requête_à_partir_de_Excel_Files10256718[Avis Cofimac],"1-Favorable",Tableau_Lancer_la_requête_à_partir_de_Excel_Files10256718[''21''])</f>
        <v>0</v>
      </c>
      <c r="N34" s="69">
        <f>SUMIF(Tableau_Lancer_la_requête_à_partir_de_Excel_Files10256718[Avis Cofimac],"2-Favorable sous réserve",Tableau_Lancer_la_requête_à_partir_de_Excel_Files10256718[''21''])</f>
        <v>0</v>
      </c>
    </row>
    <row r="35" spans="4:14" hidden="1" x14ac:dyDescent="0.25">
      <c r="D35" s="69" t="s">
        <v>27</v>
      </c>
      <c r="E35" s="69">
        <f t="shared" si="0"/>
        <v>0</v>
      </c>
      <c r="F35" s="69">
        <f t="shared" si="1"/>
        <v>0</v>
      </c>
      <c r="H35" s="69">
        <f>SUMIF(Tableau_Lancer_la_requête_à_partir_de_Excel_Files10256718[Avis Prog],"1-Favorable",Tableau_Lancer_la_requête_à_partir_de_Excel_Files10256718[''23''])</f>
        <v>0</v>
      </c>
      <c r="I35" s="69">
        <f>SUMIF(Tableau_Lancer_la_requête_à_partir_de_Excel_Files10256718[Avis Prog],"2-Favorable sous réserve",Tableau_Lancer_la_requête_à_partir_de_Excel_Files10256718[''23''])</f>
        <v>0</v>
      </c>
      <c r="K35" s="69">
        <f>SUMIF(Tableau_Lancer_la_requête_à_partir_de_Excel_Files10256718[Avis Cofimac],"1-Favorable",Tableau_Lancer_la_requête_à_partir_de_Excel_Files10256718[''23''])</f>
        <v>0</v>
      </c>
      <c r="N35" s="69">
        <f>SUMIF(Tableau_Lancer_la_requête_à_partir_de_Excel_Files10256718[Avis Cofimac],"2-Favorable sous réserve",Tableau_Lancer_la_requête_à_partir_de_Excel_Files10256718[''23''])</f>
        <v>0</v>
      </c>
    </row>
    <row r="36" spans="4:14" hidden="1" x14ac:dyDescent="0.25">
      <c r="D36" s="69" t="s">
        <v>28</v>
      </c>
      <c r="E36" s="69">
        <f t="shared" si="0"/>
        <v>0</v>
      </c>
      <c r="F36" s="69">
        <f t="shared" si="1"/>
        <v>0</v>
      </c>
      <c r="H36" s="69">
        <f>SUMIF(Tableau_Lancer_la_requête_à_partir_de_Excel_Files10256718[Avis Prog],"1-Favorable",Tableau_Lancer_la_requête_à_partir_de_Excel_Files10256718[''30''])</f>
        <v>0</v>
      </c>
      <c r="I36" s="69">
        <f>SUMIF(Tableau_Lancer_la_requête_à_partir_de_Excel_Files10256718[Avis Prog],"2-Favorable sous réserve",Tableau_Lancer_la_requête_à_partir_de_Excel_Files10256718[''30''])</f>
        <v>0</v>
      </c>
      <c r="K36" s="69">
        <f>SUMIF(Tableau_Lancer_la_requête_à_partir_de_Excel_Files10256718[Avis Cofimac],"1-Favorable",Tableau_Lancer_la_requête_à_partir_de_Excel_Files10256718[''30''])</f>
        <v>0</v>
      </c>
      <c r="N36" s="69">
        <f>SUMIF(Tableau_Lancer_la_requête_à_partir_de_Excel_Files10256718[Avis Cofimac],"2-Favorable sous réserve",Tableau_Lancer_la_requête_à_partir_de_Excel_Files10256718[''30''])</f>
        <v>0</v>
      </c>
    </row>
    <row r="37" spans="4:14" hidden="1" x14ac:dyDescent="0.25">
      <c r="D37" s="69" t="s">
        <v>29</v>
      </c>
      <c r="E37" s="69">
        <f t="shared" si="0"/>
        <v>0</v>
      </c>
      <c r="F37" s="69">
        <f t="shared" si="1"/>
        <v>0</v>
      </c>
      <c r="H37" s="69">
        <f>SUMIF(Tableau_Lancer_la_requête_à_partir_de_Excel_Files10256718[Avis Prog],"1-Favorable",Tableau_Lancer_la_requête_à_partir_de_Excel_Files10256718[''34''])</f>
        <v>0</v>
      </c>
      <c r="I37" s="69">
        <f>SUMIF(Tableau_Lancer_la_requête_à_partir_de_Excel_Files10256718[Avis Prog],"2-Favorable sous réserve",Tableau_Lancer_la_requête_à_partir_de_Excel_Files10256718[''34''])</f>
        <v>0</v>
      </c>
      <c r="K37" s="69">
        <f>SUMIF(Tableau_Lancer_la_requête_à_partir_de_Excel_Files10256718[Avis Cofimac],"1-Favorable",Tableau_Lancer_la_requête_à_partir_de_Excel_Files10256718[''34''])</f>
        <v>0</v>
      </c>
      <c r="N37" s="69">
        <f>SUMIF(Tableau_Lancer_la_requête_à_partir_de_Excel_Files10256718[Avis Cofimac],"2-Favorable sous réserve",Tableau_Lancer_la_requête_à_partir_de_Excel_Files10256718[''34''])</f>
        <v>0</v>
      </c>
    </row>
    <row r="38" spans="4:14" hidden="1" x14ac:dyDescent="0.25">
      <c r="D38" s="69" t="s">
        <v>30</v>
      </c>
      <c r="E38" s="69">
        <f t="shared" si="0"/>
        <v>0</v>
      </c>
      <c r="F38" s="69">
        <f t="shared" si="1"/>
        <v>0</v>
      </c>
      <c r="H38" s="69">
        <f>SUMIF(Tableau_Lancer_la_requête_à_partir_de_Excel_Files10256718[Avis Prog],"1-Favorable",Tableau_Lancer_la_requête_à_partir_de_Excel_Files10256718[''42''])</f>
        <v>0</v>
      </c>
      <c r="I38" s="69">
        <f>SUMIF(Tableau_Lancer_la_requête_à_partir_de_Excel_Files10256718[Avis Prog],"2-Favorable sous réserve",Tableau_Lancer_la_requête_à_partir_de_Excel_Files10256718[''42''])</f>
        <v>0</v>
      </c>
      <c r="K38" s="69">
        <f>SUMIF(Tableau_Lancer_la_requête_à_partir_de_Excel_Files10256718[Avis Cofimac],"1-Favorable",Tableau_Lancer_la_requête_à_partir_de_Excel_Files10256718[''42''])</f>
        <v>0</v>
      </c>
      <c r="N38" s="69">
        <f>SUMIF(Tableau_Lancer_la_requête_à_partir_de_Excel_Files10256718[Avis Cofimac],"2-Favorable sous réserve",Tableau_Lancer_la_requête_à_partir_de_Excel_Files10256718[''42''])</f>
        <v>0</v>
      </c>
    </row>
    <row r="39" spans="4:14" hidden="1" x14ac:dyDescent="0.25">
      <c r="D39" s="69" t="s">
        <v>31</v>
      </c>
      <c r="E39" s="69">
        <f t="shared" si="0"/>
        <v>0</v>
      </c>
      <c r="F39" s="69">
        <f t="shared" si="1"/>
        <v>0</v>
      </c>
      <c r="H39" s="69">
        <f>SUMIF(Tableau_Lancer_la_requête_à_partir_de_Excel_Files10256718[Avis Prog],"1-Favorable",Tableau_Lancer_la_requête_à_partir_de_Excel_Files10256718[''43''])</f>
        <v>0</v>
      </c>
      <c r="I39" s="69">
        <f>SUMIF(Tableau_Lancer_la_requête_à_partir_de_Excel_Files10256718[Avis Prog],"2-Favorable sous réserve",Tableau_Lancer_la_requête_à_partir_de_Excel_Files10256718[''43''])</f>
        <v>0</v>
      </c>
      <c r="K39" s="69">
        <f>SUMIF(Tableau_Lancer_la_requête_à_partir_de_Excel_Files10256718[Avis Cofimac],"1-Favorable",Tableau_Lancer_la_requête_à_partir_de_Excel_Files10256718[''43''])</f>
        <v>0</v>
      </c>
      <c r="N39" s="69">
        <f>SUMIF(Tableau_Lancer_la_requête_à_partir_de_Excel_Files10256718[Avis Cofimac],"2-Favorable sous réserve",Tableau_Lancer_la_requête_à_partir_de_Excel_Files10256718[''43''])</f>
        <v>0</v>
      </c>
    </row>
    <row r="40" spans="4:14" hidden="1" x14ac:dyDescent="0.25">
      <c r="D40" s="69" t="s">
        <v>32</v>
      </c>
      <c r="E40" s="69">
        <f t="shared" si="0"/>
        <v>0</v>
      </c>
      <c r="F40" s="69">
        <f t="shared" si="1"/>
        <v>0</v>
      </c>
      <c r="H40" s="69">
        <f>SUMIF(Tableau_Lancer_la_requête_à_partir_de_Excel_Files10256718[Avis Prog],"1-Favorable",Tableau_Lancer_la_requête_à_partir_de_Excel_Files10256718[''46''])</f>
        <v>0</v>
      </c>
      <c r="I40" s="69">
        <f>SUMIF(Tableau_Lancer_la_requête_à_partir_de_Excel_Files10256718[Avis Prog],"2-Favorable sous réserve",Tableau_Lancer_la_requête_à_partir_de_Excel_Files10256718[''46''])</f>
        <v>0</v>
      </c>
      <c r="K40" s="69">
        <f>SUMIF(Tableau_Lancer_la_requête_à_partir_de_Excel_Files10256718[Avis Cofimac],"1-Favorable",Tableau_Lancer_la_requête_à_partir_de_Excel_Files10256718[''46''])</f>
        <v>0</v>
      </c>
      <c r="N40" s="69">
        <f>SUMIF(Tableau_Lancer_la_requête_à_partir_de_Excel_Files10256718[Avis Cofimac],"2-Favorable sous réserve",Tableau_Lancer_la_requête_à_partir_de_Excel_Files10256718[''46''])</f>
        <v>0</v>
      </c>
    </row>
    <row r="41" spans="4:14" hidden="1" x14ac:dyDescent="0.25">
      <c r="D41" s="69" t="s">
        <v>33</v>
      </c>
      <c r="E41" s="69">
        <f t="shared" si="0"/>
        <v>0</v>
      </c>
      <c r="F41" s="69">
        <f t="shared" si="1"/>
        <v>0</v>
      </c>
      <c r="H41" s="69">
        <f>SUMIF(Tableau_Lancer_la_requête_à_partir_de_Excel_Files10256718[Avis Prog],"1-Favorable",Tableau_Lancer_la_requête_à_partir_de_Excel_Files10256718[''48''])</f>
        <v>0</v>
      </c>
      <c r="I41" s="69">
        <f>SUMIF(Tableau_Lancer_la_requête_à_partir_de_Excel_Files10256718[Avis Prog],"2-Favorable sous réserve",Tableau_Lancer_la_requête_à_partir_de_Excel_Files10256718[''48''])</f>
        <v>0</v>
      </c>
      <c r="K41" s="69">
        <f>SUMIF(Tableau_Lancer_la_requête_à_partir_de_Excel_Files10256718[Avis Cofimac],"1-Favorable",Tableau_Lancer_la_requête_à_partir_de_Excel_Files10256718[''48''])</f>
        <v>0</v>
      </c>
      <c r="N41" s="69">
        <f>SUMIF(Tableau_Lancer_la_requête_à_partir_de_Excel_Files10256718[Avis Cofimac],"2-Favorable sous réserve",Tableau_Lancer_la_requête_à_partir_de_Excel_Files10256718[''48''])</f>
        <v>0</v>
      </c>
    </row>
    <row r="42" spans="4:14" hidden="1" x14ac:dyDescent="0.25">
      <c r="D42" s="69" t="s">
        <v>34</v>
      </c>
      <c r="E42" s="69">
        <f t="shared" si="0"/>
        <v>0</v>
      </c>
      <c r="F42" s="69">
        <f t="shared" si="1"/>
        <v>0</v>
      </c>
      <c r="H42" s="69">
        <f>SUMIF(Tableau_Lancer_la_requête_à_partir_de_Excel_Files10256718[Avis Prog],"1-Favorable",Tableau_Lancer_la_requête_à_partir_de_Excel_Files10256718[''58''])</f>
        <v>0</v>
      </c>
      <c r="I42" s="69">
        <f>SUMIF(Tableau_Lancer_la_requête_à_partir_de_Excel_Files10256718[Avis Prog],"2-Favorable sous réserve",Tableau_Lancer_la_requête_à_partir_de_Excel_Files10256718[''58''])</f>
        <v>0</v>
      </c>
      <c r="K42" s="69">
        <f>SUMIF(Tableau_Lancer_la_requête_à_partir_de_Excel_Files10256718[Avis Cofimac],"1-Favorable",Tableau_Lancer_la_requête_à_partir_de_Excel_Files10256718[''58''])</f>
        <v>0</v>
      </c>
      <c r="N42" s="69">
        <f>SUMIF(Tableau_Lancer_la_requête_à_partir_de_Excel_Files10256718[Avis Cofimac],"2-Favorable sous réserve",Tableau_Lancer_la_requête_à_partir_de_Excel_Files10256718[''58''])</f>
        <v>0</v>
      </c>
    </row>
    <row r="43" spans="4:14" hidden="1" x14ac:dyDescent="0.25">
      <c r="D43" s="69" t="s">
        <v>35</v>
      </c>
      <c r="E43" s="69">
        <f t="shared" si="0"/>
        <v>0</v>
      </c>
      <c r="F43" s="69">
        <f t="shared" si="1"/>
        <v>0</v>
      </c>
      <c r="H43" s="69">
        <f>SUMIF(Tableau_Lancer_la_requête_à_partir_de_Excel_Files10256718[Avis Prog],"1-Favorable",Tableau_Lancer_la_requête_à_partir_de_Excel_Files10256718[''63''])</f>
        <v>0</v>
      </c>
      <c r="I43" s="69">
        <f>SUMIF(Tableau_Lancer_la_requête_à_partir_de_Excel_Files10256718[Avis Prog],"2-Favorable sous réserve",Tableau_Lancer_la_requête_à_partir_de_Excel_Files10256718[''63''])</f>
        <v>0</v>
      </c>
      <c r="K43" s="69">
        <f>SUMIF(Tableau_Lancer_la_requête_à_partir_de_Excel_Files10256718[Avis Cofimac],"1-Favorable",Tableau_Lancer_la_requête_à_partir_de_Excel_Files10256718[''63''])</f>
        <v>0</v>
      </c>
      <c r="N43" s="69">
        <f>SUMIF(Tableau_Lancer_la_requête_à_partir_de_Excel_Files10256718[Avis Cofimac],"2-Favorable sous réserve",Tableau_Lancer_la_requête_à_partir_de_Excel_Files10256718[''63''])</f>
        <v>0</v>
      </c>
    </row>
    <row r="44" spans="4:14" hidden="1" x14ac:dyDescent="0.25">
      <c r="D44" s="69" t="s">
        <v>36</v>
      </c>
      <c r="E44" s="69">
        <f t="shared" si="0"/>
        <v>0</v>
      </c>
      <c r="F44" s="69">
        <f t="shared" si="1"/>
        <v>0</v>
      </c>
      <c r="H44" s="69">
        <f>SUMIF(Tableau_Lancer_la_requête_à_partir_de_Excel_Files10256718[Avis Prog],"1-Favorable",Tableau_Lancer_la_requête_à_partir_de_Excel_Files10256718[''69''])</f>
        <v>0</v>
      </c>
      <c r="I44" s="69">
        <f>SUMIF(Tableau_Lancer_la_requête_à_partir_de_Excel_Files10256718[Avis Prog],"2-Favorable sous réserve",Tableau_Lancer_la_requête_à_partir_de_Excel_Files10256718[''69''])</f>
        <v>0</v>
      </c>
      <c r="K44" s="69">
        <f>SUMIF(Tableau_Lancer_la_requête_à_partir_de_Excel_Files10256718[Avis Cofimac],"1-Favorable",Tableau_Lancer_la_requête_à_partir_de_Excel_Files10256718[''69''])</f>
        <v>0</v>
      </c>
      <c r="N44" s="69">
        <f>SUMIF(Tableau_Lancer_la_requête_à_partir_de_Excel_Files10256718[Avis Cofimac],"2-Favorable sous réserve",Tableau_Lancer_la_requête_à_partir_de_Excel_Files10256718[''69''])</f>
        <v>0</v>
      </c>
    </row>
    <row r="45" spans="4:14" hidden="1" x14ac:dyDescent="0.25">
      <c r="D45" s="69" t="s">
        <v>37</v>
      </c>
      <c r="E45" s="69">
        <f t="shared" si="0"/>
        <v>0</v>
      </c>
      <c r="F45" s="69">
        <f t="shared" si="1"/>
        <v>0</v>
      </c>
      <c r="H45" s="69">
        <f>SUMIF(Tableau_Lancer_la_requête_à_partir_de_Excel_Files10256718[Avis Prog],"1-Favorable",Tableau_Lancer_la_requête_à_partir_de_Excel_Files10256718[''71''])</f>
        <v>0</v>
      </c>
      <c r="I45" s="69">
        <f>SUMIF(Tableau_Lancer_la_requête_à_partir_de_Excel_Files10256718[Avis Prog],"2-Favorable sous réserve",Tableau_Lancer_la_requête_à_partir_de_Excel_Files10256718[''71''])</f>
        <v>0</v>
      </c>
      <c r="K45" s="69">
        <f>SUMIF(Tableau_Lancer_la_requête_à_partir_de_Excel_Files10256718[Avis Cofimac],"1-Favorable",Tableau_Lancer_la_requête_à_partir_de_Excel_Files10256718[''71''])</f>
        <v>0</v>
      </c>
      <c r="N45" s="69">
        <f>SUMIF(Tableau_Lancer_la_requête_à_partir_de_Excel_Files10256718[Avis Cofimac],"2-Favorable sous réserve",Tableau_Lancer_la_requête_à_partir_de_Excel_Files10256718[''71''])</f>
        <v>0</v>
      </c>
    </row>
    <row r="46" spans="4:14" hidden="1" x14ac:dyDescent="0.25">
      <c r="D46" s="69" t="s">
        <v>38</v>
      </c>
      <c r="E46" s="69">
        <f t="shared" si="0"/>
        <v>0</v>
      </c>
      <c r="F46" s="69">
        <f t="shared" si="1"/>
        <v>0</v>
      </c>
      <c r="H46" s="69">
        <f>SUMIF(Tableau_Lancer_la_requête_à_partir_de_Excel_Files10256718[Avis Prog],"1-Favorable",Tableau_Lancer_la_requête_à_partir_de_Excel_Files10256718[''81''])</f>
        <v>0</v>
      </c>
      <c r="I46" s="69">
        <f>SUMIF(Tableau_Lancer_la_requête_à_partir_de_Excel_Files10256718[Avis Prog],"2-Favorable sous réserve",Tableau_Lancer_la_requête_à_partir_de_Excel_Files10256718[''81''])</f>
        <v>0</v>
      </c>
      <c r="K46" s="69">
        <f>SUMIF(Tableau_Lancer_la_requête_à_partir_de_Excel_Files10256718[Avis Cofimac],"1-Favorable",Tableau_Lancer_la_requête_à_partir_de_Excel_Files10256718[''81''])</f>
        <v>0</v>
      </c>
      <c r="N46" s="69">
        <f>SUMIF(Tableau_Lancer_la_requête_à_partir_de_Excel_Files10256718[Avis Cofimac],"2-Favorable sous réserve",Tableau_Lancer_la_requête_à_partir_de_Excel_Files10256718[''81''])</f>
        <v>0</v>
      </c>
    </row>
    <row r="47" spans="4:14" hidden="1" x14ac:dyDescent="0.25">
      <c r="D47" s="69" t="s">
        <v>39</v>
      </c>
      <c r="E47" s="69">
        <f t="shared" si="0"/>
        <v>0</v>
      </c>
      <c r="F47" s="69">
        <f t="shared" si="1"/>
        <v>0</v>
      </c>
      <c r="H47" s="69">
        <f>SUMIF(Tableau_Lancer_la_requête_à_partir_de_Excel_Files10256718[Avis Prog],"1-Favorable",Tableau_Lancer_la_requête_à_partir_de_Excel_Files10256718[''82''])</f>
        <v>0</v>
      </c>
      <c r="I47" s="69">
        <f>SUMIF(Tableau_Lancer_la_requête_à_partir_de_Excel_Files10256718[Avis Prog],"2-Favorable sous réserve",Tableau_Lancer_la_requête_à_partir_de_Excel_Files10256718[''82''])</f>
        <v>0</v>
      </c>
      <c r="K47" s="69">
        <f>SUMIF(Tableau_Lancer_la_requête_à_partir_de_Excel_Files10256718[Avis Cofimac],"1-Favorable",Tableau_Lancer_la_requête_à_partir_de_Excel_Files10256718[''82''])</f>
        <v>0</v>
      </c>
      <c r="N47" s="69">
        <f>SUMIF(Tableau_Lancer_la_requête_à_partir_de_Excel_Files10256718[Avis Cofimac],"2-Favorable sous réserve",Tableau_Lancer_la_requête_à_partir_de_Excel_Files10256718[''82''])</f>
        <v>0</v>
      </c>
    </row>
    <row r="48" spans="4:14" hidden="1" x14ac:dyDescent="0.25">
      <c r="D48" s="69" t="s">
        <v>40</v>
      </c>
      <c r="E48" s="69">
        <f t="shared" si="0"/>
        <v>0</v>
      </c>
      <c r="F48" s="69">
        <f t="shared" si="1"/>
        <v>0</v>
      </c>
      <c r="H48" s="69">
        <f>SUMIF(Tableau_Lancer_la_requête_à_partir_de_Excel_Files10256718[Avis Prog],"1-Favorable",Tableau_Lancer_la_requête_à_partir_de_Excel_Files10256718[''87''])</f>
        <v>0</v>
      </c>
      <c r="I48" s="69">
        <f>SUMIF(Tableau_Lancer_la_requête_à_partir_de_Excel_Files10256718[Avis Prog],"2-Favorable sous réserve",Tableau_Lancer_la_requête_à_partir_de_Excel_Files10256718[''87''])</f>
        <v>0</v>
      </c>
      <c r="K48" s="69">
        <f>SUMIF(Tableau_Lancer_la_requête_à_partir_de_Excel_Files10256718[Avis Cofimac],"1-Favorable",Tableau_Lancer_la_requête_à_partir_de_Excel_Files10256718[''87''])</f>
        <v>0</v>
      </c>
      <c r="N48" s="69">
        <f>SUMIF(Tableau_Lancer_la_requête_à_partir_de_Excel_Files10256718[Avis Cofimac],"2-Favorable sous réserve",Tableau_Lancer_la_requête_à_partir_de_Excel_Files10256718[''87''])</f>
        <v>0</v>
      </c>
    </row>
    <row r="49" spans="4:14" hidden="1" x14ac:dyDescent="0.25">
      <c r="D49" s="69" t="s">
        <v>41</v>
      </c>
      <c r="E49" s="69">
        <f t="shared" si="0"/>
        <v>0</v>
      </c>
      <c r="F49" s="69">
        <f t="shared" si="1"/>
        <v>0</v>
      </c>
      <c r="H49" s="69">
        <f>SUMIF(Tableau_Lancer_la_requête_à_partir_de_Excel_Files10256718[Avis Prog],"1-Favorable",Tableau_Lancer_la_requête_à_partir_de_Excel_Files10256718[''89''])</f>
        <v>0</v>
      </c>
      <c r="I49" s="69">
        <f>SUMIF(Tableau_Lancer_la_requête_à_partir_de_Excel_Files10256718[Avis Prog],"2-Favorable sous réserve",Tableau_Lancer_la_requête_à_partir_de_Excel_Files10256718[''89''])</f>
        <v>0</v>
      </c>
      <c r="K49" s="69">
        <f>SUMIF(Tableau_Lancer_la_requête_à_partir_de_Excel_Files10256718[Avis Cofimac],"1-Favorable",Tableau_Lancer_la_requête_à_partir_de_Excel_Files10256718[''89''])</f>
        <v>0</v>
      </c>
      <c r="N49" s="69">
        <f>SUMIF(Tableau_Lancer_la_requête_à_partir_de_Excel_Files10256718[Avis Cofimac],"2-Favorable sous réserve",Tableau_Lancer_la_requête_à_partir_de_Excel_Files10256718[''89''])</f>
        <v>0</v>
      </c>
    </row>
    <row r="50" spans="4:14" hidden="1" x14ac:dyDescent="0.25"/>
    <row r="51" spans="4:14" hidden="1" x14ac:dyDescent="0.25"/>
  </sheetData>
  <mergeCells count="1">
    <mergeCell ref="A1:B1"/>
  </mergeCells>
  <conditionalFormatting sqref="AR7:AS8">
    <cfRule type="cellIs" dxfId="543" priority="1" operator="equal">
      <formula>"2-Favorable sous réserve"</formula>
    </cfRule>
    <cfRule type="cellIs" dxfId="542" priority="2" operator="equal">
      <formula>"6-Retiré/Abandon"</formula>
    </cfRule>
    <cfRule type="cellIs" dxfId="541" priority="3" operator="equal">
      <formula>"5-Défavorable"</formula>
    </cfRule>
    <cfRule type="cellIs" dxfId="540" priority="4" operator="equal">
      <formula>"4-Ajournement"</formula>
    </cfRule>
    <cfRule type="cellIs" dxfId="539" priority="5" operator="equal">
      <formula>"1-Favorable"</formula>
    </cfRule>
  </conditionalFormatting>
  <dataValidations count="2">
    <dataValidation type="list" allowBlank="1" showInputMessage="1" showErrorMessage="1" sqref="AV25">
      <formula1>"1-Favorable,4-Ajournement,5-Défavorable,6-Retiré/Abandon"</formula1>
    </dataValidation>
    <dataValidation type="list" allowBlank="1" showInputMessage="1" showErrorMessage="1" sqref="AS7:AS8">
      <formula1>"1-Favorable,2-Favorable sous réserve,4-Ajournement,5-Défavorable,6-Retiré/Abandon"</formula1>
    </dataValidation>
  </dataValidations>
  <printOptions horizontalCentered="1" verticalCentered="1"/>
  <pageMargins left="0.25" right="0.25" top="0.75" bottom="0.75" header="0.3" footer="0.3"/>
  <pageSetup paperSize="8" scale="49" fitToHeight="0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92"/>
  <sheetViews>
    <sheetView topLeftCell="AR1" zoomScale="80" zoomScaleNormal="80" workbookViewId="0">
      <selection activeCell="AX1" sqref="AX1:CE1048576"/>
    </sheetView>
  </sheetViews>
  <sheetFormatPr baseColWidth="10" defaultRowHeight="15" outlineLevelCol="1" x14ac:dyDescent="0.25"/>
  <cols>
    <col min="1" max="1" width="14.5703125" style="32" customWidth="1"/>
    <col min="2" max="2" width="10.140625" style="32" bestFit="1" customWidth="1"/>
    <col min="3" max="3" width="16.28515625" style="32" bestFit="1" customWidth="1"/>
    <col min="4" max="4" width="39.85546875" style="32" customWidth="1"/>
    <col min="5" max="5" width="46" style="32" customWidth="1"/>
    <col min="6" max="6" width="11.28515625" style="32" hidden="1" customWidth="1"/>
    <col min="7" max="7" width="8" style="32" hidden="1" customWidth="1"/>
    <col min="8" max="8" width="16" style="32" bestFit="1" customWidth="1"/>
    <col min="9" max="9" width="21" style="32" hidden="1" customWidth="1"/>
    <col min="10" max="10" width="13" style="32" hidden="1" customWidth="1"/>
    <col min="11" max="11" width="12.85546875" style="32" bestFit="1" customWidth="1"/>
    <col min="12" max="12" width="16.140625" style="32" customWidth="1"/>
    <col min="13" max="13" width="14.5703125" style="32" customWidth="1"/>
    <col min="14" max="14" width="22.5703125" style="32" hidden="1" customWidth="1" outlineLevel="1"/>
    <col min="15" max="15" width="17.28515625" style="32" hidden="1" customWidth="1" outlineLevel="1" collapsed="1"/>
    <col min="16" max="16" width="14.7109375" style="32" customWidth="1" collapsed="1"/>
    <col min="17" max="20" width="22.5703125" style="32" hidden="1" customWidth="1" outlineLevel="1"/>
    <col min="21" max="21" width="18.85546875" style="32" bestFit="1" customWidth="1" collapsed="1"/>
    <col min="22" max="43" width="22.5703125" style="32" hidden="1" customWidth="1" outlineLevel="1"/>
    <col min="44" max="44" width="16.7109375" style="32" customWidth="1" collapsed="1"/>
    <col min="45" max="45" width="17.7109375" style="32" bestFit="1" customWidth="1"/>
    <col min="46" max="46" width="14.140625" style="32" bestFit="1" customWidth="1"/>
    <col min="47" max="47" width="4.85546875" style="35" hidden="1" customWidth="1"/>
    <col min="48" max="48" width="77.28515625" style="41" customWidth="1"/>
    <col min="49" max="49" width="24.28515625" style="35" customWidth="1"/>
    <col min="50" max="50" width="14.140625" style="32" hidden="1" customWidth="1"/>
    <col min="51" max="51" width="22.5703125" style="32" hidden="1" customWidth="1"/>
    <col min="52" max="52" width="17.28515625" style="32" hidden="1" customWidth="1" outlineLevel="1" collapsed="1"/>
    <col min="53" max="53" width="12.85546875" style="32" hidden="1" customWidth="1" outlineLevel="1"/>
    <col min="54" max="54" width="22.5703125" style="32" hidden="1" customWidth="1" collapsed="1"/>
    <col min="55" max="57" width="22.5703125" style="32" hidden="1" customWidth="1" outlineLevel="1"/>
    <col min="58" max="58" width="18.85546875" style="32" hidden="1" customWidth="1" outlineLevel="1" collapsed="1"/>
    <col min="59" max="59" width="22.5703125" style="32" hidden="1" customWidth="1" collapsed="1"/>
    <col min="60" max="80" width="22.5703125" style="32" hidden="1" customWidth="1" outlineLevel="1"/>
    <col min="81" max="81" width="12.42578125" style="32" hidden="1" customWidth="1" outlineLevel="1" collapsed="1"/>
    <col min="82" max="82" width="14.28515625" style="32" hidden="1" customWidth="1" collapsed="1"/>
    <col min="83" max="83" width="17.42578125" style="32" hidden="1" customWidth="1" collapsed="1"/>
    <col min="84" max="84" width="11.42578125" style="32" customWidth="1" collapsed="1"/>
    <col min="85" max="85" width="11.42578125" style="32" customWidth="1"/>
    <col min="86" max="86" width="15.5703125" style="32" customWidth="1"/>
    <col min="87" max="87" width="36.85546875" style="32" customWidth="1"/>
    <col min="88" max="88" width="10" style="32" customWidth="1"/>
    <col min="89" max="89" width="19.28515625" style="32" customWidth="1"/>
    <col min="90" max="90" width="21.5703125" style="32" customWidth="1" collapsed="1"/>
    <col min="91" max="91" width="9.7109375" style="36" customWidth="1" collapsed="1"/>
    <col min="92" max="112" width="9.7109375" style="36" customWidth="1"/>
    <col min="113" max="113" width="12" style="32" customWidth="1" collapsed="1"/>
    <col min="114" max="114" width="14.28515625" style="32" bestFit="1" customWidth="1" collapsed="1"/>
    <col min="115" max="115" width="17.42578125" style="32" bestFit="1" customWidth="1"/>
    <col min="116" max="116" width="17" style="32" bestFit="1" customWidth="1"/>
    <col min="117" max="117" width="14.7109375" style="32" bestFit="1" customWidth="1"/>
    <col min="118" max="16384" width="11.42578125" style="32"/>
  </cols>
  <sheetData>
    <row r="1" spans="1:112" ht="18.75" x14ac:dyDescent="0.3">
      <c r="D1" s="33" t="s">
        <v>73</v>
      </c>
      <c r="E1" s="34">
        <f>Feuil1!A2</f>
        <v>42832</v>
      </c>
      <c r="H1" s="34"/>
    </row>
    <row r="5" spans="1:112" x14ac:dyDescent="0.25">
      <c r="C5" s="37" t="s">
        <v>74</v>
      </c>
    </row>
    <row r="6" spans="1:112" s="39" customFormat="1" ht="60" x14ac:dyDescent="0.25">
      <c r="A6" s="38" t="s">
        <v>0</v>
      </c>
      <c r="B6" s="38" t="s">
        <v>122</v>
      </c>
      <c r="C6" s="38" t="s">
        <v>7</v>
      </c>
      <c r="D6" s="38" t="s">
        <v>1</v>
      </c>
      <c r="E6" s="38" t="s">
        <v>2</v>
      </c>
      <c r="F6" s="38" t="s">
        <v>3</v>
      </c>
      <c r="G6" s="38" t="s">
        <v>12</v>
      </c>
      <c r="H6" s="38" t="s">
        <v>13</v>
      </c>
      <c r="I6" s="38" t="s">
        <v>11</v>
      </c>
      <c r="J6" s="38" t="s">
        <v>6</v>
      </c>
      <c r="K6" s="38" t="s">
        <v>5</v>
      </c>
      <c r="L6" s="38" t="s">
        <v>4</v>
      </c>
      <c r="M6" s="38" t="s">
        <v>44</v>
      </c>
      <c r="N6" s="38" t="s">
        <v>14</v>
      </c>
      <c r="O6" s="38" t="s">
        <v>15</v>
      </c>
      <c r="P6" s="38" t="s">
        <v>45</v>
      </c>
      <c r="Q6" s="38" t="s">
        <v>18</v>
      </c>
      <c r="R6" s="38" t="s">
        <v>16</v>
      </c>
      <c r="S6" s="38" t="s">
        <v>17</v>
      </c>
      <c r="T6" s="38" t="s">
        <v>19</v>
      </c>
      <c r="U6" s="38" t="s">
        <v>46</v>
      </c>
      <c r="V6" s="38" t="s">
        <v>20</v>
      </c>
      <c r="W6" s="38" t="s">
        <v>21</v>
      </c>
      <c r="X6" s="38" t="s">
        <v>22</v>
      </c>
      <c r="Y6" s="38" t="s">
        <v>23</v>
      </c>
      <c r="Z6" s="38" t="s">
        <v>24</v>
      </c>
      <c r="AA6" s="38" t="s">
        <v>25</v>
      </c>
      <c r="AB6" s="38" t="s">
        <v>26</v>
      </c>
      <c r="AC6" s="38" t="s">
        <v>27</v>
      </c>
      <c r="AD6" s="38" t="s">
        <v>28</v>
      </c>
      <c r="AE6" s="38" t="s">
        <v>29</v>
      </c>
      <c r="AF6" s="38" t="s">
        <v>30</v>
      </c>
      <c r="AG6" s="38" t="s">
        <v>31</v>
      </c>
      <c r="AH6" s="38" t="s">
        <v>32</v>
      </c>
      <c r="AI6" s="38" t="s">
        <v>33</v>
      </c>
      <c r="AJ6" s="38" t="s">
        <v>34</v>
      </c>
      <c r="AK6" s="38" t="s">
        <v>35</v>
      </c>
      <c r="AL6" s="38" t="s">
        <v>36</v>
      </c>
      <c r="AM6" s="38" t="s">
        <v>37</v>
      </c>
      <c r="AN6" s="38" t="s">
        <v>38</v>
      </c>
      <c r="AO6" s="38" t="s">
        <v>39</v>
      </c>
      <c r="AP6" s="38" t="s">
        <v>40</v>
      </c>
      <c r="AQ6" s="38" t="s">
        <v>41</v>
      </c>
      <c r="AR6" s="38" t="s">
        <v>42</v>
      </c>
      <c r="AS6" s="38" t="s">
        <v>43</v>
      </c>
      <c r="AT6" s="38" t="s">
        <v>54</v>
      </c>
      <c r="AV6" s="118" t="s">
        <v>10</v>
      </c>
      <c r="AX6" s="39" t="s">
        <v>60</v>
      </c>
      <c r="AY6" s="38" t="s">
        <v>44</v>
      </c>
      <c r="AZ6" s="38" t="s">
        <v>14</v>
      </c>
      <c r="BA6" s="38" t="s">
        <v>15</v>
      </c>
      <c r="BB6" s="38" t="s">
        <v>45</v>
      </c>
      <c r="BC6" s="38" t="s">
        <v>18</v>
      </c>
      <c r="BD6" s="38" t="s">
        <v>16</v>
      </c>
      <c r="BE6" s="38" t="s">
        <v>17</v>
      </c>
      <c r="BF6" s="38" t="s">
        <v>19</v>
      </c>
      <c r="BG6" s="38" t="s">
        <v>46</v>
      </c>
      <c r="BH6" s="38" t="s">
        <v>20</v>
      </c>
      <c r="BI6" s="38" t="s">
        <v>21</v>
      </c>
      <c r="BJ6" s="38" t="s">
        <v>22</v>
      </c>
      <c r="BK6" s="38" t="s">
        <v>23</v>
      </c>
      <c r="BL6" s="38" t="s">
        <v>24</v>
      </c>
      <c r="BM6" s="38" t="s">
        <v>25</v>
      </c>
      <c r="BN6" s="38" t="s">
        <v>26</v>
      </c>
      <c r="BO6" s="38" t="s">
        <v>27</v>
      </c>
      <c r="BP6" s="38" t="s">
        <v>28</v>
      </c>
      <c r="BQ6" s="38" t="s">
        <v>29</v>
      </c>
      <c r="BR6" s="38" t="s">
        <v>30</v>
      </c>
      <c r="BS6" s="38" t="s">
        <v>31</v>
      </c>
      <c r="BT6" s="38" t="s">
        <v>32</v>
      </c>
      <c r="BU6" s="38" t="s">
        <v>33</v>
      </c>
      <c r="BV6" s="38" t="s">
        <v>34</v>
      </c>
      <c r="BW6" s="38" t="s">
        <v>35</v>
      </c>
      <c r="BX6" s="38" t="s">
        <v>36</v>
      </c>
      <c r="BY6" s="38" t="s">
        <v>37</v>
      </c>
      <c r="BZ6" s="38" t="s">
        <v>38</v>
      </c>
      <c r="CA6" s="38" t="s">
        <v>39</v>
      </c>
      <c r="CB6" s="38" t="s">
        <v>40</v>
      </c>
      <c r="CC6" s="38" t="s">
        <v>41</v>
      </c>
      <c r="CD6" s="38" t="s">
        <v>42</v>
      </c>
      <c r="CE6" s="39" t="s">
        <v>61</v>
      </c>
    </row>
    <row r="7" spans="1:112" x14ac:dyDescent="0.25">
      <c r="A7" s="38" t="s">
        <v>89</v>
      </c>
      <c r="B7" s="40" t="s">
        <v>244</v>
      </c>
      <c r="C7" s="40" t="s">
        <v>228</v>
      </c>
      <c r="D7" s="41" t="s">
        <v>229</v>
      </c>
      <c r="E7" s="41" t="s">
        <v>230</v>
      </c>
      <c r="F7" s="42">
        <v>347741.62</v>
      </c>
      <c r="G7" s="42">
        <v>347741.62</v>
      </c>
      <c r="H7" s="42">
        <f>IF(Tableau_Lancer_la_requête_à_partir_de_Excel_Files3[[#This Row],[Coût total Eligible FEDER]]="",Tableau_Lancer_la_requête_à_partir_de_Excel_Files3[[#This Row],[Coût total déposé]],Tableau_Lancer_la_requête_à_partir_de_Excel_Files3[[#This Row],[Coût total Eligible FEDER]])</f>
        <v>347741.62</v>
      </c>
      <c r="I7" s="42">
        <f>Tableau_Lancer_la_requête_à_partir_de_Excel_Files3[[#This Row],[Aide Massif Obtenu]]+Tableau_Lancer_la_requête_à_partir_de_Excel_Files3[[#This Row],[''Autre Public'']]</f>
        <v>230279</v>
      </c>
      <c r="J7" s="43">
        <f>Tableau_Lancer_la_requête_à_partir_de_Excel_Files3[[#This Row],[Aide Publique Obtenue]]/Tableau_Lancer_la_requête_à_partir_de_Excel_Files3[[#This Row],[Coût total]]</f>
        <v>0.66221293844550444</v>
      </c>
      <c r="K7" s="42">
        <f>Tableau_Lancer_la_requête_à_partir_de_Excel_Files3[[#This Row],[Etat]]+Tableau_Lancer_la_requête_à_partir_de_Excel_Files3[[#This Row],[Régions]]+Tableau_Lancer_la_requête_à_partir_de_Excel_Files3[[#This Row],[Départements]]+Tableau_Lancer_la_requête_à_partir_de_Excel_Files3[[#This Row],[''FEDER'']]</f>
        <v>208645</v>
      </c>
      <c r="L7" s="43">
        <f>Tableau_Lancer_la_requête_à_partir_de_Excel_Files3[[#This Row],[Aide Massif Obtenu]]/Tableau_Lancer_la_requête_à_partir_de_Excel_Files3[[#This Row],[Coût total]]</f>
        <v>0.60000008051955356</v>
      </c>
      <c r="M7" s="44">
        <f>Tableau_Lancer_la_requête_à_partir_de_Excel_Files3[[#This Row],[''FNADT'']]+Tableau_Lancer_la_requête_à_partir_de_Excel_Files3[[#This Row],[''Agriculture'']]</f>
        <v>90892</v>
      </c>
      <c r="N7" s="42">
        <v>90892</v>
      </c>
      <c r="O7" s="42"/>
      <c r="P7" s="44">
        <f>Tableau_Lancer_la_requête_à_partir_de_Excel_Files3[[#This Row],[''ALPC'']]+Tableau_Lancer_la_requête_à_partir_de_Excel_Files3[[#This Row],[''AURA'']]+Tableau_Lancer_la_requête_à_partir_de_Excel_Files3[[#This Row],[''BFC'']]+Tableau_Lancer_la_requête_à_partir_de_Excel_Files3[[#This Row],[''LRMP'']]</f>
        <v>20279</v>
      </c>
      <c r="Q7" s="42"/>
      <c r="R7" s="42">
        <v>20279</v>
      </c>
      <c r="S7" s="42"/>
      <c r="T7" s="42"/>
      <c r="U7" s="44">
        <f>Tableau_Lancer_la_requête_à_partir_de_Excel_Files3[[#This Row],[''03'']]+Tableau_Lancer_la_requête_à_partir_de_Excel_Files3[[#This Row],[''07'']]+Tableau_Lancer_la_requête_à_partir_de_Excel_Files3[[#This Row],[''11'']]+Tableau_Lancer_la_requête_à_partir_de_Excel_Files3[[#This Row],[''12'']]+Tableau_Lancer_la_requête_à_partir_de_Excel_Files3[[#This Row],[''15'']]+Tableau_Lancer_la_requête_à_partir_de_Excel_Files3[[#This Row],[''21'']]+Tableau_Lancer_la_requête_à_partir_de_Excel_Files3[[#This Row],[''19'']]+Tableau_Lancer_la_requête_à_partir_de_Excel_Files3[[#This Row],[''23'']]+Tableau_Lancer_la_requête_à_partir_de_Excel_Files3[[#This Row],[''30'']]+Tableau_Lancer_la_requête_à_partir_de_Excel_Files3[[#This Row],[''34'']]+Tableau_Lancer_la_requête_à_partir_de_Excel_Files3[[#This Row],[''42'']]+Tableau_Lancer_la_requête_à_partir_de_Excel_Files3[[#This Row],[''43'']]+Tableau_Lancer_la_requête_à_partir_de_Excel_Files3[[#This Row],[''46'']]+Tableau_Lancer_la_requête_à_partir_de_Excel_Files3[[#This Row],[''48'']]+Tableau_Lancer_la_requête_à_partir_de_Excel_Files3[[#This Row],[''58'']]+Tableau_Lancer_la_requête_à_partir_de_Excel_Files3[[#This Row],[''63'']]+Tableau_Lancer_la_requête_à_partir_de_Excel_Files3[[#This Row],[''69'']]+Tableau_Lancer_la_requête_à_partir_de_Excel_Files3[[#This Row],[''71'']]+Tableau_Lancer_la_requête_à_partir_de_Excel_Files3[[#This Row],[''81'']]+Tableau_Lancer_la_requête_à_partir_de_Excel_Files3[[#This Row],[''82'']]+Tableau_Lancer_la_requête_à_partir_de_Excel_Files3[[#This Row],[''87'']]+Tableau_Lancer_la_requête_à_partir_de_Excel_Files3[[#This Row],[''89'']]</f>
        <v>0</v>
      </c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>
        <v>97474</v>
      </c>
      <c r="AS7" s="42">
        <v>21634</v>
      </c>
      <c r="AT7" s="45" t="s">
        <v>231</v>
      </c>
      <c r="AU7" s="32"/>
      <c r="AV7" s="119"/>
      <c r="AX7" s="35" t="s">
        <v>111</v>
      </c>
      <c r="AY7" s="44">
        <f t="shared" ref="AY7:AY23" si="0">SUM(AZ7:BA7)</f>
        <v>0</v>
      </c>
      <c r="AZ7" s="44"/>
      <c r="BA7" s="44"/>
      <c r="BB7" s="44">
        <f t="shared" ref="BB7:BB23" si="1">SUM(BC7:BF7)</f>
        <v>0</v>
      </c>
      <c r="BC7" s="44"/>
      <c r="BD7" s="44"/>
      <c r="BE7" s="44"/>
      <c r="BF7" s="44"/>
      <c r="BG7" s="44">
        <f t="shared" ref="BG7:BG23" si="2">SUM(BH7:CC7)</f>
        <v>5000</v>
      </c>
      <c r="BH7" s="44"/>
      <c r="BI7" s="44"/>
      <c r="BJ7" s="44"/>
      <c r="BK7" s="44">
        <v>5000</v>
      </c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32" t="str">
        <f>VLOOKUP(Tableau3[[#This Row],[NumSym]],Tableau_Lancer_la_requête_à_partir_de_Excel_Files3[[ID_Synergie]:[Avis Prog]],44)</f>
        <v>1-Favorable</v>
      </c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</row>
    <row r="8" spans="1:112" x14ac:dyDescent="0.25">
      <c r="A8" s="38" t="s">
        <v>89</v>
      </c>
      <c r="B8" s="40" t="s">
        <v>244</v>
      </c>
      <c r="C8" s="40" t="s">
        <v>233</v>
      </c>
      <c r="D8" s="41" t="s">
        <v>234</v>
      </c>
      <c r="E8" s="41" t="s">
        <v>235</v>
      </c>
      <c r="F8" s="42">
        <v>84000</v>
      </c>
      <c r="G8" s="42">
        <v>60266.58</v>
      </c>
      <c r="H8" s="42">
        <f>IF(Tableau_Lancer_la_requête_à_partir_de_Excel_Files3[[#This Row],[Coût total Eligible FEDER]]="",Tableau_Lancer_la_requête_à_partir_de_Excel_Files3[[#This Row],[Coût total déposé]],Tableau_Lancer_la_requête_à_partir_de_Excel_Files3[[#This Row],[Coût total Eligible FEDER]])</f>
        <v>60266.58</v>
      </c>
      <c r="I8" s="42">
        <f>Tableau_Lancer_la_requête_à_partir_de_Excel_Files3[[#This Row],[Aide Massif Obtenu]]+Tableau_Lancer_la_requête_à_partir_de_Excel_Files3[[#This Row],[''Autre Public'']]</f>
        <v>47856.75</v>
      </c>
      <c r="J8" s="43">
        <f>Tableau_Lancer_la_requête_à_partir_de_Excel_Files3[[#This Row],[Aide Publique Obtenue]]/Tableau_Lancer_la_requête_à_partir_de_Excel_Files3[[#This Row],[Coût total]]</f>
        <v>0.79408438308594909</v>
      </c>
      <c r="K8" s="42">
        <f>Tableau_Lancer_la_requête_à_partir_de_Excel_Files3[[#This Row],[Etat]]+Tableau_Lancer_la_requête_à_partir_de_Excel_Files3[[#This Row],[Régions]]+Tableau_Lancer_la_requête_à_partir_de_Excel_Files3[[#This Row],[Départements]]+Tableau_Lancer_la_requête_à_partir_de_Excel_Files3[[#This Row],[''FEDER'']]</f>
        <v>37686.75</v>
      </c>
      <c r="L8" s="43">
        <f>Tableau_Lancer_la_requête_à_partir_de_Excel_Files3[[#This Row],[Aide Massif Obtenu]]/Tableau_Lancer_la_requête_à_partir_de_Excel_Files3[[#This Row],[Coût total]]</f>
        <v>0.62533414041413993</v>
      </c>
      <c r="M8" s="44">
        <f>Tableau_Lancer_la_requête_à_partir_de_Excel_Files3[[#This Row],[''FNADT'']]+Tableau_Lancer_la_requête_à_partir_de_Excel_Files3[[#This Row],[''Agriculture'']]</f>
        <v>0</v>
      </c>
      <c r="N8" s="42"/>
      <c r="O8" s="42"/>
      <c r="P8" s="44">
        <f>Tableau_Lancer_la_requête_à_partir_de_Excel_Files3[[#This Row],[''ALPC'']]+Tableau_Lancer_la_requête_à_partir_de_Excel_Files3[[#This Row],[''AURA'']]+Tableau_Lancer_la_requête_à_partir_de_Excel_Files3[[#This Row],[''BFC'']]+Tableau_Lancer_la_requête_à_partir_de_Excel_Files3[[#This Row],[''LRMP'']]</f>
        <v>6500</v>
      </c>
      <c r="Q8" s="42"/>
      <c r="R8" s="42"/>
      <c r="S8" s="42"/>
      <c r="T8" s="42">
        <v>6500</v>
      </c>
      <c r="U8" s="44">
        <f>Tableau_Lancer_la_requête_à_partir_de_Excel_Files3[[#This Row],[''03'']]+Tableau_Lancer_la_requête_à_partir_de_Excel_Files3[[#This Row],[''07'']]+Tableau_Lancer_la_requête_à_partir_de_Excel_Files3[[#This Row],[''11'']]+Tableau_Lancer_la_requête_à_partir_de_Excel_Files3[[#This Row],[''12'']]+Tableau_Lancer_la_requête_à_partir_de_Excel_Files3[[#This Row],[''15'']]+Tableau_Lancer_la_requête_à_partir_de_Excel_Files3[[#This Row],[''21'']]+Tableau_Lancer_la_requête_à_partir_de_Excel_Files3[[#This Row],[''19'']]+Tableau_Lancer_la_requête_à_partir_de_Excel_Files3[[#This Row],[''23'']]+Tableau_Lancer_la_requête_à_partir_de_Excel_Files3[[#This Row],[''30'']]+Tableau_Lancer_la_requête_à_partir_de_Excel_Files3[[#This Row],[''34'']]+Tableau_Lancer_la_requête_à_partir_de_Excel_Files3[[#This Row],[''42'']]+Tableau_Lancer_la_requête_à_partir_de_Excel_Files3[[#This Row],[''43'']]+Tableau_Lancer_la_requête_à_partir_de_Excel_Files3[[#This Row],[''46'']]+Tableau_Lancer_la_requête_à_partir_de_Excel_Files3[[#This Row],[''48'']]+Tableau_Lancer_la_requête_à_partir_de_Excel_Files3[[#This Row],[''58'']]+Tableau_Lancer_la_requête_à_partir_de_Excel_Files3[[#This Row],[''63'']]+Tableau_Lancer_la_requête_à_partir_de_Excel_Files3[[#This Row],[''69'']]+Tableau_Lancer_la_requête_à_partir_de_Excel_Files3[[#This Row],[''71'']]+Tableau_Lancer_la_requête_à_partir_de_Excel_Files3[[#This Row],[''81'']]+Tableau_Lancer_la_requête_à_partir_de_Excel_Files3[[#This Row],[''82'']]+Tableau_Lancer_la_requête_à_partir_de_Excel_Files3[[#This Row],[''87'']]+Tableau_Lancer_la_requête_à_partir_de_Excel_Files3[[#This Row],[''89'']]</f>
        <v>1053.75</v>
      </c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>
        <v>1053.75</v>
      </c>
      <c r="AJ8" s="42"/>
      <c r="AK8" s="42"/>
      <c r="AL8" s="42"/>
      <c r="AM8" s="42"/>
      <c r="AN8" s="42"/>
      <c r="AO8" s="42"/>
      <c r="AP8" s="42"/>
      <c r="AQ8" s="42"/>
      <c r="AR8" s="42">
        <v>30133</v>
      </c>
      <c r="AS8" s="42">
        <v>10170</v>
      </c>
      <c r="AT8" s="101" t="s">
        <v>231</v>
      </c>
      <c r="AU8" s="32"/>
      <c r="AV8" s="120"/>
      <c r="AX8" s="35" t="s">
        <v>228</v>
      </c>
      <c r="AY8" s="44">
        <f t="shared" si="0"/>
        <v>0</v>
      </c>
      <c r="AZ8" s="44"/>
      <c r="BA8" s="44"/>
      <c r="BB8" s="44">
        <f t="shared" si="1"/>
        <v>-14314.12</v>
      </c>
      <c r="BC8" s="44"/>
      <c r="BD8" s="44">
        <v>-14314.12</v>
      </c>
      <c r="BE8" s="44"/>
      <c r="BF8" s="44"/>
      <c r="BG8" s="44">
        <f t="shared" si="2"/>
        <v>0</v>
      </c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>
        <v>-2526</v>
      </c>
      <c r="CE8" s="32" t="str">
        <f>VLOOKUP(Tableau3[[#This Row],[NumSym]],Tableau_Lancer_la_requête_à_partir_de_Excel_Files3[[ID_Synergie]:[Avis Prog]],44)</f>
        <v>1-Favorable</v>
      </c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</row>
    <row r="9" spans="1:112" ht="45.75" thickBot="1" x14ac:dyDescent="0.3">
      <c r="A9" s="38" t="s">
        <v>89</v>
      </c>
      <c r="B9" s="40" t="s">
        <v>196</v>
      </c>
      <c r="C9" s="40" t="s">
        <v>111</v>
      </c>
      <c r="D9" s="41" t="s">
        <v>112</v>
      </c>
      <c r="E9" s="41" t="s">
        <v>113</v>
      </c>
      <c r="F9" s="42">
        <v>326111.99</v>
      </c>
      <c r="G9" s="42">
        <v>324324.89</v>
      </c>
      <c r="H9" s="42">
        <f>IF(Tableau_Lancer_la_requête_à_partir_de_Excel_Files3[[#This Row],[Coût total Eligible FEDER]]="",Tableau_Lancer_la_requête_à_partir_de_Excel_Files3[[#This Row],[Coût total déposé]],Tableau_Lancer_la_requête_à_partir_de_Excel_Files3[[#This Row],[Coût total Eligible FEDER]])</f>
        <v>324324.89</v>
      </c>
      <c r="I9" s="42">
        <f>Tableau_Lancer_la_requête_à_partir_de_Excel_Files3[[#This Row],[Aide Massif Obtenu]]+Tableau_Lancer_la_requête_à_partir_de_Excel_Files3[[#This Row],[''Autre Public'']]</f>
        <v>227995.6</v>
      </c>
      <c r="J9" s="43">
        <f>Tableau_Lancer_la_requête_à_partir_de_Excel_Files3[[#This Row],[Aide Publique Obtenue]]/Tableau_Lancer_la_requête_à_partir_de_Excel_Files3[[#This Row],[Coût total]]</f>
        <v>0.70298520720996771</v>
      </c>
      <c r="K9" s="42">
        <f>Tableau_Lancer_la_requête_à_partir_de_Excel_Files3[[#This Row],[Etat]]+Tableau_Lancer_la_requête_à_partir_de_Excel_Files3[[#This Row],[Régions]]+Tableau_Lancer_la_requête_à_partir_de_Excel_Files3[[#This Row],[Départements]]+Tableau_Lancer_la_requête_à_partir_de_Excel_Files3[[#This Row],[''FEDER'']]</f>
        <v>209995.6</v>
      </c>
      <c r="L9" s="43">
        <f>Tableau_Lancer_la_requête_à_partir_de_Excel_Files3[[#This Row],[Aide Massif Obtenu]]/Tableau_Lancer_la_requête_à_partir_de_Excel_Files3[[#This Row],[Coût total]]</f>
        <v>0.64748530401104887</v>
      </c>
      <c r="M9" s="44">
        <f>Tableau_Lancer_la_requête_à_partir_de_Excel_Files3[[#This Row],[''FNADT'']]+Tableau_Lancer_la_requête_à_partir_de_Excel_Files3[[#This Row],[''Agriculture'']]</f>
        <v>37833.599999999999</v>
      </c>
      <c r="N9" s="42">
        <v>37833.599999999999</v>
      </c>
      <c r="O9" s="42"/>
      <c r="P9" s="44">
        <f>Tableau_Lancer_la_requête_à_partir_de_Excel_Files3[[#This Row],[''ALPC'']]+Tableau_Lancer_la_requête_à_partir_de_Excel_Files3[[#This Row],[''AURA'']]+Tableau_Lancer_la_requête_à_partir_de_Excel_Files3[[#This Row],[''BFC'']]+Tableau_Lancer_la_requête_à_partir_de_Excel_Files3[[#This Row],[''LRMP'']]</f>
        <v>0</v>
      </c>
      <c r="Q9" s="42"/>
      <c r="R9" s="42"/>
      <c r="S9" s="42"/>
      <c r="T9" s="42">
        <v>0</v>
      </c>
      <c r="U9" s="44">
        <f>Tableau_Lancer_la_requête_à_partir_de_Excel_Files3[[#This Row],[''03'']]+Tableau_Lancer_la_requête_à_partir_de_Excel_Files3[[#This Row],[''07'']]+Tableau_Lancer_la_requête_à_partir_de_Excel_Files3[[#This Row],[''11'']]+Tableau_Lancer_la_requête_à_partir_de_Excel_Files3[[#This Row],[''12'']]+Tableau_Lancer_la_requête_à_partir_de_Excel_Files3[[#This Row],[''15'']]+Tableau_Lancer_la_requête_à_partir_de_Excel_Files3[[#This Row],[''21'']]+Tableau_Lancer_la_requête_à_partir_de_Excel_Files3[[#This Row],[''19'']]+Tableau_Lancer_la_requête_à_partir_de_Excel_Files3[[#This Row],[''23'']]+Tableau_Lancer_la_requête_à_partir_de_Excel_Files3[[#This Row],[''30'']]+Tableau_Lancer_la_requête_à_partir_de_Excel_Files3[[#This Row],[''34'']]+Tableau_Lancer_la_requête_à_partir_de_Excel_Files3[[#This Row],[''42'']]+Tableau_Lancer_la_requête_à_partir_de_Excel_Files3[[#This Row],[''43'']]+Tableau_Lancer_la_requête_à_partir_de_Excel_Files3[[#This Row],[''46'']]+Tableau_Lancer_la_requête_à_partir_de_Excel_Files3[[#This Row],[''48'']]+Tableau_Lancer_la_requête_à_partir_de_Excel_Files3[[#This Row],[''58'']]+Tableau_Lancer_la_requête_à_partir_de_Excel_Files3[[#This Row],[''63'']]+Tableau_Lancer_la_requête_à_partir_de_Excel_Files3[[#This Row],[''69'']]+Tableau_Lancer_la_requête_à_partir_de_Excel_Files3[[#This Row],[''71'']]+Tableau_Lancer_la_requête_à_partir_de_Excel_Files3[[#This Row],[''81'']]+Tableau_Lancer_la_requête_à_partir_de_Excel_Files3[[#This Row],[''82'']]+Tableau_Lancer_la_requête_à_partir_de_Excel_Files3[[#This Row],[''87'']]+Tableau_Lancer_la_requête_à_partir_de_Excel_Files3[[#This Row],[''89'']]</f>
        <v>10000</v>
      </c>
      <c r="V9" s="42"/>
      <c r="W9" s="42"/>
      <c r="X9" s="42"/>
      <c r="Y9" s="42">
        <v>10000</v>
      </c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>
        <v>162162</v>
      </c>
      <c r="AS9" s="42">
        <v>18000</v>
      </c>
      <c r="AT9" s="101" t="s">
        <v>231</v>
      </c>
      <c r="AU9" s="32"/>
      <c r="AV9" s="119"/>
      <c r="AX9" s="35"/>
      <c r="AY9" s="44">
        <f t="shared" si="0"/>
        <v>0</v>
      </c>
      <c r="AZ9" s="44"/>
      <c r="BA9" s="44"/>
      <c r="BB9" s="44">
        <f t="shared" si="1"/>
        <v>0</v>
      </c>
      <c r="BC9" s="44"/>
      <c r="BD9" s="44"/>
      <c r="BE9" s="44"/>
      <c r="BF9" s="44"/>
      <c r="BG9" s="44">
        <f t="shared" si="2"/>
        <v>0</v>
      </c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32" t="e">
        <f>VLOOKUP(Tableau3[[#This Row],[NumSym]],Tableau_Lancer_la_requête_à_partir_de_Excel_Files3[[ID_Synergie]:[Avis Prog]],44)</f>
        <v>#N/A</v>
      </c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</row>
    <row r="10" spans="1:112" ht="15.75" thickTop="1" x14ac:dyDescent="0.25">
      <c r="A10" s="41" t="s">
        <v>8</v>
      </c>
      <c r="B10" s="41"/>
      <c r="C10" s="41">
        <f>SUBTOTAL(103,Tableau_Lancer_la_requête_à_partir_de_Excel_Files3[ID_Synergie])</f>
        <v>3</v>
      </c>
      <c r="D10" s="41"/>
      <c r="E10" s="41"/>
      <c r="F10" s="42">
        <f>SUBTOTAL(109,Tableau_Lancer_la_requête_à_partir_de_Excel_Files3[Coût total déposé])</f>
        <v>757853.61</v>
      </c>
      <c r="G10" s="42"/>
      <c r="H10" s="42">
        <f>SUBTOTAL(109,Tableau_Lancer_la_requête_à_partir_de_Excel_Files3[Coût total])</f>
        <v>732333.09000000008</v>
      </c>
      <c r="I10" s="42">
        <f>SUBTOTAL(109,Tableau_Lancer_la_requête_à_partir_de_Excel_Files3[Aide Publique Obtenue])</f>
        <v>506131.35</v>
      </c>
      <c r="J10" s="42"/>
      <c r="K10" s="42">
        <f>SUBTOTAL(109,Tableau_Lancer_la_requête_à_partir_de_Excel_Files3[Aide Massif Obtenu])</f>
        <v>456327.35</v>
      </c>
      <c r="L10" s="41"/>
      <c r="M10" s="42">
        <f>SUBTOTAL(109,Tableau_Lancer_la_requête_à_partir_de_Excel_Files3[Etat])</f>
        <v>128725.6</v>
      </c>
      <c r="N10" s="42"/>
      <c r="O10" s="42"/>
      <c r="P10" s="42">
        <f>SUBTOTAL(109,Tableau_Lancer_la_requête_à_partir_de_Excel_Files3[Régions])</f>
        <v>26779</v>
      </c>
      <c r="Q10" s="42"/>
      <c r="R10" s="42"/>
      <c r="S10" s="42"/>
      <c r="T10" s="42"/>
      <c r="U10" s="42">
        <f>SUBTOTAL(109,Tableau_Lancer_la_requête_à_partir_de_Excel_Files3[Départements])</f>
        <v>11053.75</v>
      </c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>
        <f>SUBTOTAL(109,Tableau_Lancer_la_requête_à_partir_de_Excel_Files3[''FEDER''])</f>
        <v>289769</v>
      </c>
      <c r="AS10" s="42">
        <f>SUBTOTAL(109,Tableau_Lancer_la_requête_à_partir_de_Excel_Files3[''Autre Public''])</f>
        <v>49804</v>
      </c>
      <c r="AT10" s="41"/>
      <c r="AU10" s="32"/>
      <c r="AV10" s="121"/>
      <c r="AX10" s="35"/>
      <c r="AY10" s="44">
        <f t="shared" si="0"/>
        <v>0</v>
      </c>
      <c r="AZ10" s="44"/>
      <c r="BA10" s="44"/>
      <c r="BB10" s="44">
        <f t="shared" si="1"/>
        <v>0</v>
      </c>
      <c r="BC10" s="44"/>
      <c r="BD10" s="44"/>
      <c r="BE10" s="44"/>
      <c r="BF10" s="44"/>
      <c r="BG10" s="44">
        <f t="shared" si="2"/>
        <v>0</v>
      </c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32" t="e">
        <f>VLOOKUP(Tableau3[[#This Row],[NumSym]],Tableau_Lancer_la_requête_à_partir_de_Excel_Files3[[ID_Synergie]:[Avis Prog]],44)</f>
        <v>#N/A</v>
      </c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</row>
    <row r="11" spans="1:112" x14ac:dyDescent="0.25">
      <c r="AU11" s="32"/>
      <c r="AV11" s="102"/>
      <c r="AX11" s="35"/>
      <c r="AY11" s="44">
        <f t="shared" si="0"/>
        <v>0</v>
      </c>
      <c r="AZ11" s="44"/>
      <c r="BA11" s="44"/>
      <c r="BB11" s="44">
        <f t="shared" si="1"/>
        <v>0</v>
      </c>
      <c r="BC11" s="44"/>
      <c r="BD11" s="44"/>
      <c r="BE11" s="44"/>
      <c r="BF11" s="44"/>
      <c r="BG11" s="44">
        <f t="shared" si="2"/>
        <v>0</v>
      </c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32" t="e">
        <f>VLOOKUP(Tableau3[[#This Row],[NumSym]],Tableau_Lancer_la_requête_à_partir_de_Excel_Files3[[ID_Synergie]:[Avis Prog]],44)</f>
        <v>#N/A</v>
      </c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</row>
    <row r="12" spans="1:112" x14ac:dyDescent="0.25">
      <c r="AU12" s="32"/>
      <c r="AV12" s="102"/>
      <c r="AX12" s="35"/>
      <c r="AY12" s="44">
        <f t="shared" si="0"/>
        <v>0</v>
      </c>
      <c r="AZ12" s="44"/>
      <c r="BA12" s="44"/>
      <c r="BB12" s="44">
        <f t="shared" si="1"/>
        <v>0</v>
      </c>
      <c r="BC12" s="44"/>
      <c r="BD12" s="44"/>
      <c r="BE12" s="44"/>
      <c r="BF12" s="44"/>
      <c r="BG12" s="44">
        <f t="shared" si="2"/>
        <v>0</v>
      </c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32" t="e">
        <f>VLOOKUP(Tableau3[[#This Row],[NumSym]],Tableau_Lancer_la_requête_à_partir_de_Excel_Files3[[ID_Synergie]:[Avis Prog]],44)</f>
        <v>#N/A</v>
      </c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</row>
    <row r="13" spans="1:112" x14ac:dyDescent="0.25">
      <c r="AU13" s="32"/>
      <c r="AV13" s="102"/>
      <c r="AX13" s="35"/>
      <c r="AY13" s="44">
        <f t="shared" si="0"/>
        <v>0</v>
      </c>
      <c r="AZ13" s="44"/>
      <c r="BA13" s="44"/>
      <c r="BB13" s="44">
        <f t="shared" si="1"/>
        <v>0</v>
      </c>
      <c r="BC13" s="44"/>
      <c r="BD13" s="44"/>
      <c r="BE13" s="44"/>
      <c r="BF13" s="44"/>
      <c r="BG13" s="44">
        <f t="shared" si="2"/>
        <v>0</v>
      </c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32" t="e">
        <f>VLOOKUP(Tableau3[[#This Row],[NumSym]],Tableau_Lancer_la_requête_à_partir_de_Excel_Files3[[ID_Synergie]:[Avis Prog]],44)</f>
        <v>#N/A</v>
      </c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</row>
    <row r="14" spans="1:112" x14ac:dyDescent="0.25">
      <c r="AU14" s="32"/>
      <c r="AV14" s="103"/>
      <c r="AX14" s="35"/>
      <c r="AY14" s="44">
        <f t="shared" si="0"/>
        <v>0</v>
      </c>
      <c r="AZ14" s="42"/>
      <c r="BA14" s="42"/>
      <c r="BB14" s="44">
        <f t="shared" si="1"/>
        <v>0</v>
      </c>
      <c r="BC14" s="42"/>
      <c r="BD14" s="42"/>
      <c r="BE14" s="42"/>
      <c r="BF14" s="42"/>
      <c r="BG14" s="44">
        <f t="shared" si="2"/>
        <v>0</v>
      </c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32" t="e">
        <f>VLOOKUP(Tableau3[[#This Row],[NumSym]],Tableau_Lancer_la_requête_à_partir_de_Excel_Files3[[ID_Synergie]:[Avis Prog]],44)</f>
        <v>#N/A</v>
      </c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</row>
    <row r="15" spans="1:112" x14ac:dyDescent="0.25">
      <c r="AV15" s="103"/>
      <c r="AX15" s="44"/>
      <c r="AY15" s="44">
        <f t="shared" si="0"/>
        <v>0</v>
      </c>
      <c r="BA15" s="44"/>
      <c r="BB15" s="44">
        <f t="shared" si="1"/>
        <v>0</v>
      </c>
      <c r="BF15" s="44"/>
      <c r="BG15" s="44">
        <f t="shared" si="2"/>
        <v>0</v>
      </c>
      <c r="CE15" s="32" t="e">
        <f>VLOOKUP(Tableau3[[#This Row],[NumSym]],Tableau_Lancer_la_requête_à_partir_de_Excel_Files3[[ID_Synergie]:[Avis Prog]],44)</f>
        <v>#N/A</v>
      </c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</row>
    <row r="16" spans="1:112" x14ac:dyDescent="0.25">
      <c r="AV16" s="103"/>
      <c r="AX16" s="44"/>
      <c r="AY16" s="44">
        <f t="shared" si="0"/>
        <v>0</v>
      </c>
      <c r="BA16" s="44"/>
      <c r="BB16" s="44">
        <f t="shared" si="1"/>
        <v>0</v>
      </c>
      <c r="BF16" s="44"/>
      <c r="BG16" s="44">
        <f t="shared" si="2"/>
        <v>0</v>
      </c>
      <c r="CE16" s="32" t="e">
        <f>VLOOKUP(Tableau3[[#This Row],[NumSym]],Tableau_Lancer_la_requête_à_partir_de_Excel_Files3[[ID_Synergie]:[Avis Prog]],44)</f>
        <v>#N/A</v>
      </c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</row>
    <row r="17" spans="48:112" x14ac:dyDescent="0.25">
      <c r="AV17" s="32"/>
      <c r="AW17" s="36"/>
      <c r="AX17" s="44"/>
      <c r="AY17" s="44">
        <f t="shared" si="0"/>
        <v>0</v>
      </c>
      <c r="BA17" s="44"/>
      <c r="BB17" s="44">
        <f t="shared" si="1"/>
        <v>0</v>
      </c>
      <c r="BF17" s="44"/>
      <c r="BG17" s="44">
        <f t="shared" si="2"/>
        <v>0</v>
      </c>
      <c r="CE17" s="32" t="e">
        <f>VLOOKUP(Tableau3[[#This Row],[NumSym]],Tableau_Lancer_la_requête_à_partir_de_Excel_Files3[[ID_Synergie]:[Avis Prog]],44)</f>
        <v>#N/A</v>
      </c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</row>
    <row r="18" spans="48:112" x14ac:dyDescent="0.25">
      <c r="AV18" s="32"/>
      <c r="AW18" s="36"/>
      <c r="AX18" s="44"/>
      <c r="AY18" s="44">
        <f t="shared" si="0"/>
        <v>0</v>
      </c>
      <c r="BA18" s="44"/>
      <c r="BB18" s="44">
        <f t="shared" si="1"/>
        <v>0</v>
      </c>
      <c r="BF18" s="44"/>
      <c r="BG18" s="44">
        <f t="shared" si="2"/>
        <v>0</v>
      </c>
      <c r="CE18" s="32" t="e">
        <f>VLOOKUP(Tableau3[[#This Row],[NumSym]],Tableau_Lancer_la_requête_à_partir_de_Excel_Files3[[ID_Synergie]:[Avis Prog]],44)</f>
        <v>#N/A</v>
      </c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</row>
    <row r="19" spans="48:112" x14ac:dyDescent="0.25">
      <c r="AV19" s="32"/>
      <c r="AW19" s="36"/>
      <c r="AX19" s="44"/>
      <c r="AY19" s="44">
        <f t="shared" si="0"/>
        <v>0</v>
      </c>
      <c r="BA19" s="44"/>
      <c r="BB19" s="44">
        <f t="shared" si="1"/>
        <v>0</v>
      </c>
      <c r="BF19" s="44"/>
      <c r="BG19" s="44">
        <f t="shared" si="2"/>
        <v>0</v>
      </c>
      <c r="CE19" s="32" t="e">
        <f>VLOOKUP(Tableau3[[#This Row],[NumSym]],Tableau_Lancer_la_requête_à_partir_de_Excel_Files3[[ID_Synergie]:[Avis Prog]],44)</f>
        <v>#N/A</v>
      </c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</row>
    <row r="20" spans="48:112" x14ac:dyDescent="0.25">
      <c r="AV20" s="32"/>
      <c r="AW20" s="36"/>
      <c r="AX20" s="44"/>
      <c r="AY20" s="44">
        <f t="shared" si="0"/>
        <v>0</v>
      </c>
      <c r="BA20" s="44"/>
      <c r="BB20" s="44">
        <f t="shared" si="1"/>
        <v>0</v>
      </c>
      <c r="BF20" s="44"/>
      <c r="BG20" s="44">
        <f t="shared" si="2"/>
        <v>0</v>
      </c>
      <c r="CE20" s="32" t="e">
        <f>VLOOKUP(Tableau3[[#This Row],[NumSym]],Tableau_Lancer_la_requête_à_partir_de_Excel_Files3[[ID_Synergie]:[Avis Prog]],44)</f>
        <v>#N/A</v>
      </c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</row>
    <row r="21" spans="48:112" x14ac:dyDescent="0.25">
      <c r="AV21" s="103"/>
      <c r="AX21" s="44"/>
      <c r="AY21" s="44">
        <f t="shared" si="0"/>
        <v>0</v>
      </c>
      <c r="BA21" s="44"/>
      <c r="BB21" s="44">
        <f t="shared" si="1"/>
        <v>0</v>
      </c>
      <c r="BF21" s="44"/>
      <c r="BG21" s="44">
        <f t="shared" si="2"/>
        <v>0</v>
      </c>
      <c r="CE21" s="32" t="e">
        <f>VLOOKUP(Tableau3[[#This Row],[NumSym]],Tableau_Lancer_la_requête_à_partir_de_Excel_Files3[[ID_Synergie]:[Avis Prog]],44)</f>
        <v>#N/A</v>
      </c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</row>
    <row r="22" spans="48:112" x14ac:dyDescent="0.25">
      <c r="AV22" s="104"/>
      <c r="AX22" s="44"/>
      <c r="AY22" s="44">
        <f t="shared" si="0"/>
        <v>0</v>
      </c>
      <c r="BA22" s="44"/>
      <c r="BB22" s="44">
        <f t="shared" si="1"/>
        <v>0</v>
      </c>
      <c r="BF22" s="44"/>
      <c r="BG22" s="44">
        <f t="shared" si="2"/>
        <v>0</v>
      </c>
      <c r="CE22" s="32" t="e">
        <f>VLOOKUP(Tableau3[[#This Row],[NumSym]],Tableau_Lancer_la_requête_à_partir_de_Excel_Files3[[ID_Synergie]:[Avis Prog]],44)</f>
        <v>#N/A</v>
      </c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</row>
    <row r="23" spans="48:112" x14ac:dyDescent="0.25">
      <c r="AX23" s="44"/>
      <c r="AY23" s="44">
        <f t="shared" si="0"/>
        <v>0</v>
      </c>
      <c r="BA23" s="44"/>
      <c r="BB23" s="44">
        <f t="shared" si="1"/>
        <v>0</v>
      </c>
      <c r="BF23" s="44"/>
      <c r="BG23" s="44">
        <f t="shared" si="2"/>
        <v>0</v>
      </c>
      <c r="CE23" s="32" t="e">
        <f>VLOOKUP(Tableau3[[#This Row],[NumSym]],Tableau_Lancer_la_requête_à_partir_de_Excel_Files3[[ID_Synergie]:[Avis Prog]],44)</f>
        <v>#N/A</v>
      </c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</row>
    <row r="24" spans="48:112" x14ac:dyDescent="0.25">
      <c r="AX24" s="46" t="s">
        <v>8</v>
      </c>
      <c r="AY24" s="44">
        <f>SUBTOTAL(109,Tableau3[Etat])</f>
        <v>0</v>
      </c>
      <c r="AZ24" s="44">
        <f>SUBTOTAL(109,Tableau3[''FNADT''])</f>
        <v>0</v>
      </c>
      <c r="BA24" s="44">
        <f>SUBTOTAL(109,Tableau3[''Agriculture''])</f>
        <v>0</v>
      </c>
      <c r="BB24" s="44">
        <f>SUBTOTAL(109,Tableau3[Régions])</f>
        <v>-14314.12</v>
      </c>
      <c r="BC24" s="44">
        <f>SUBTOTAL(109,Tableau3[''ALPC''])</f>
        <v>0</v>
      </c>
      <c r="BD24" s="44">
        <f>SUBTOTAL(109,Tableau3[''AURA''])</f>
        <v>-14314.12</v>
      </c>
      <c r="BE24" s="44">
        <f>SUBTOTAL(109,Tableau3[''BFC''])</f>
        <v>0</v>
      </c>
      <c r="BF24" s="44">
        <f>SUBTOTAL(109,Tableau3[''LRMP''])</f>
        <v>0</v>
      </c>
      <c r="BG24" s="44">
        <f>SUBTOTAL(109,Tableau3[Départements])</f>
        <v>5000</v>
      </c>
      <c r="BH24" s="44">
        <f>SUBTOTAL(109,Tableau3[''03''])</f>
        <v>0</v>
      </c>
      <c r="BI24" s="44">
        <f>SUBTOTAL(109,Tableau3[''07''])</f>
        <v>0</v>
      </c>
      <c r="BJ24" s="44">
        <f>SUBTOTAL(109,Tableau3[''11''])</f>
        <v>0</v>
      </c>
      <c r="BK24" s="44">
        <f>SUBTOTAL(109,Tableau3[''12''])</f>
        <v>5000</v>
      </c>
      <c r="BL24" s="44">
        <f>SUBTOTAL(109,Tableau3[''15''])</f>
        <v>0</v>
      </c>
      <c r="BM24" s="44">
        <f>SUBTOTAL(109,Tableau3[''19''])</f>
        <v>0</v>
      </c>
      <c r="BN24" s="44">
        <f>SUBTOTAL(109,Tableau3[''21''])</f>
        <v>0</v>
      </c>
      <c r="BO24" s="44">
        <f>SUBTOTAL(109,Tableau3[''23''])</f>
        <v>0</v>
      </c>
      <c r="BP24" s="44">
        <f>SUBTOTAL(109,Tableau3[''30''])</f>
        <v>0</v>
      </c>
      <c r="BQ24" s="44">
        <f>SUBTOTAL(109,Tableau3[''34''])</f>
        <v>0</v>
      </c>
      <c r="BR24" s="44">
        <f>SUBTOTAL(109,Tableau3[''42''])</f>
        <v>0</v>
      </c>
      <c r="BS24" s="44">
        <f>SUBTOTAL(109,Tableau3[''43''])</f>
        <v>0</v>
      </c>
      <c r="BT24" s="44">
        <f>SUBTOTAL(109,Tableau3[''46''])</f>
        <v>0</v>
      </c>
      <c r="BU24" s="44">
        <f>SUBTOTAL(109,Tableau3[''48''])</f>
        <v>0</v>
      </c>
      <c r="BV24" s="44">
        <f>SUBTOTAL(109,Tableau3[''58''])</f>
        <v>0</v>
      </c>
      <c r="BW24" s="44">
        <f>SUBTOTAL(109,Tableau3[''63''])</f>
        <v>0</v>
      </c>
      <c r="BX24" s="44">
        <f>SUBTOTAL(109,Tableau3[''69''])</f>
        <v>0</v>
      </c>
      <c r="BY24" s="44">
        <f>SUBTOTAL(109,Tableau3[''71''])</f>
        <v>0</v>
      </c>
      <c r="BZ24" s="44">
        <f>SUBTOTAL(109,Tableau3[''81''])</f>
        <v>0</v>
      </c>
      <c r="CA24" s="44">
        <f>SUBTOTAL(109,Tableau3[''82''])</f>
        <v>0</v>
      </c>
      <c r="CB24" s="44">
        <f>SUBTOTAL(109,Tableau3[''87''])</f>
        <v>0</v>
      </c>
      <c r="CC24" s="44">
        <f>SUBTOTAL(109,Tableau3[''89''])</f>
        <v>0</v>
      </c>
      <c r="CD24" s="44">
        <f>SUBTOTAL(109,Tableau3[''FEDER''])</f>
        <v>-2526</v>
      </c>
      <c r="CE24" s="32">
        <f>SUBTOTAL(103,Tableau3[Avis])</f>
        <v>17</v>
      </c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</row>
    <row r="25" spans="48:112" x14ac:dyDescent="0.25"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</row>
    <row r="26" spans="48:112" x14ac:dyDescent="0.25"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</row>
    <row r="27" spans="48:112" x14ac:dyDescent="0.25"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</row>
    <row r="28" spans="48:112" x14ac:dyDescent="0.25"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</row>
    <row r="29" spans="48:112" x14ac:dyDescent="0.25"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</row>
    <row r="30" spans="48:112" x14ac:dyDescent="0.25">
      <c r="BB30" s="32" t="s">
        <v>80</v>
      </c>
      <c r="BG30" s="32" t="s">
        <v>79</v>
      </c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</row>
    <row r="31" spans="48:112" x14ac:dyDescent="0.25">
      <c r="AY31" s="35" t="s">
        <v>55</v>
      </c>
      <c r="AZ31" s="47">
        <f>SUMIF(Tableau_Lancer_la_requête_à_partir_de_Excel_Files3[Avis Prog],"1-Favorable",Tableau3[''FEDER''])</f>
        <v>-2526</v>
      </c>
      <c r="BB31" s="32">
        <f>SUMIF(Tableau3[Avis],"1-Favorable",Tableau3[''FEDER''])</f>
        <v>-2526</v>
      </c>
      <c r="BG31" s="32">
        <f>SUMIF(Tableau3[Avis],"0",Tableau3[''FEDER''])</f>
        <v>0</v>
      </c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</row>
    <row r="32" spans="48:112" x14ac:dyDescent="0.25">
      <c r="AY32" s="35" t="s">
        <v>44</v>
      </c>
      <c r="AZ32" s="47">
        <f>SUMIF(Tableau_Lancer_la_requête_à_partir_de_Excel_Files3[Avis Prog],"1-Favorable",Tableau3[Etat])</f>
        <v>0</v>
      </c>
      <c r="BB32" s="32">
        <f>SUMIF(Tableau3[Avis],"1-Favorable",Tableau3[Etat])</f>
        <v>0</v>
      </c>
      <c r="BG32" s="32">
        <f>SUMIF(Tableau3[Avis],"0",Tableau3[Etat])</f>
        <v>0</v>
      </c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</row>
    <row r="33" spans="51:112" x14ac:dyDescent="0.25">
      <c r="AY33" s="35" t="s">
        <v>45</v>
      </c>
      <c r="AZ33" s="47">
        <f>SUMIF(Tableau_Lancer_la_requête_à_partir_de_Excel_Files3[Avis Prog],"1-Favorable",Tableau3[Régions])</f>
        <v>-14314.12</v>
      </c>
      <c r="BB33" s="32">
        <f>SUMIF(Tableau3[Avis],"1-Favorable",Tableau3[Régions])</f>
        <v>-14314.12</v>
      </c>
      <c r="BG33" s="32">
        <f>SUMIF(Tableau3[Avis],"0",Tableau3[Régions])</f>
        <v>0</v>
      </c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</row>
    <row r="34" spans="51:112" x14ac:dyDescent="0.25">
      <c r="AY34" s="47" t="s">
        <v>56</v>
      </c>
      <c r="AZ34" s="47">
        <f>SUMIF(Tableau_Lancer_la_requête_à_partir_de_Excel_Files3[Avis Prog],"1-Favorable",Tableau3[''ALPC''])</f>
        <v>0</v>
      </c>
      <c r="BB34" s="32">
        <f>SUMIF(Tableau3[Avis],"1-Favorable",Tableau3[''ALPC''])</f>
        <v>0</v>
      </c>
      <c r="BG34" s="32">
        <f>SUMIF(Tableau3[Avis],"0",Tableau3[''ALPC''])</f>
        <v>0</v>
      </c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</row>
    <row r="35" spans="51:112" x14ac:dyDescent="0.25">
      <c r="AY35" s="47" t="s">
        <v>57</v>
      </c>
      <c r="AZ35" s="47">
        <f>SUMIF(Tableau_Lancer_la_requête_à_partir_de_Excel_Files3[Avis Prog],"1-Favorable",Tableau3[''AURA''])</f>
        <v>-14314.12</v>
      </c>
      <c r="BB35" s="32">
        <f>SUMIF(Tableau3[Avis],"1-Favorable",Tableau3[''AURA''])</f>
        <v>-14314.12</v>
      </c>
      <c r="BG35" s="32">
        <f>SUMIF(Tableau3[Avis],"0",Tableau3[''AURA''])</f>
        <v>0</v>
      </c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</row>
    <row r="36" spans="51:112" x14ac:dyDescent="0.25">
      <c r="AY36" s="47" t="s">
        <v>58</v>
      </c>
      <c r="AZ36" s="47">
        <f>SUMIF(Tableau_Lancer_la_requête_à_partir_de_Excel_Files3[Avis Prog],"1-Favorable",Tableau3[''BFC''])</f>
        <v>0</v>
      </c>
      <c r="BB36" s="32">
        <f>SUMIF(Tableau3[Avis],"1-Favorable",Tableau3[''BFC''])</f>
        <v>0</v>
      </c>
      <c r="BG36" s="32">
        <f>SUMIF(Tableau3[Avis],"0",Tableau3[''BFC''])</f>
        <v>0</v>
      </c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</row>
    <row r="37" spans="51:112" x14ac:dyDescent="0.25">
      <c r="AY37" s="47" t="s">
        <v>59</v>
      </c>
      <c r="AZ37" s="47">
        <f>SUMIF(Tableau_Lancer_la_requête_à_partir_de_Excel_Files3[Avis Prog],"1-Favorable",Tableau3[''LRMP''])</f>
        <v>0</v>
      </c>
      <c r="BB37" s="32">
        <f>SUMIF(Tableau3[Avis],"1-Favorable",Tableau3[''LRMP''])</f>
        <v>0</v>
      </c>
      <c r="BG37" s="32">
        <f>SUMIF(Tableau3[Avis],"0",Tableau3[''LRMP''])</f>
        <v>0</v>
      </c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</row>
    <row r="38" spans="51:112" x14ac:dyDescent="0.25">
      <c r="AY38" s="35" t="s">
        <v>46</v>
      </c>
      <c r="AZ38" s="47">
        <f>SUMIF(Tableau_Lancer_la_requête_à_partir_de_Excel_Files3[Avis Prog],"1-Favorable",Tableau3[Départements])</f>
        <v>5000</v>
      </c>
      <c r="BB38" s="32">
        <f>SUMIF(Tableau3[Avis],"1-Favorable",Tableau3[Départements])</f>
        <v>5000</v>
      </c>
      <c r="BG38" s="32">
        <f>SUMIF(Tableau3[Avis],"0",Tableau3[Départements])</f>
        <v>0</v>
      </c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</row>
    <row r="39" spans="51:112" x14ac:dyDescent="0.25">
      <c r="AY39" s="35" t="s">
        <v>20</v>
      </c>
      <c r="AZ39" s="47">
        <f>SUMIF(Tableau_Lancer_la_requête_à_partir_de_Excel_Files3[Avis Prog],"1-Favorable",Tableau3[''03''])</f>
        <v>0</v>
      </c>
      <c r="BB39" s="32">
        <f>SUMIF(Tableau3[Avis],"1-Favorable",Tableau3[''03''])</f>
        <v>0</v>
      </c>
      <c r="BG39" s="32">
        <f>SUMIF(Tableau3[Avis],"0",Tableau3[''03''])</f>
        <v>0</v>
      </c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</row>
    <row r="40" spans="51:112" x14ac:dyDescent="0.25">
      <c r="AY40" s="35" t="s">
        <v>22</v>
      </c>
      <c r="AZ40" s="47">
        <f>SUMIF(Tableau_Lancer_la_requête_à_partir_de_Excel_Files3[Avis Prog],"1-Favorable",Tableau3[''11''])</f>
        <v>0</v>
      </c>
      <c r="BB40" s="32">
        <f>SUMIF(Tableau3[Avis],"1-Favorable",Tableau3[''11''])</f>
        <v>0</v>
      </c>
      <c r="BG40" s="32">
        <f>SUMIF(Tableau3[Avis],"0",Tableau3[''11''])</f>
        <v>0</v>
      </c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</row>
    <row r="41" spans="51:112" x14ac:dyDescent="0.25">
      <c r="AY41" s="35" t="s">
        <v>23</v>
      </c>
      <c r="AZ41" s="47">
        <f>SUMIF(Tableau_Lancer_la_requête_à_partir_de_Excel_Files3[Avis Prog],"1-Favorable",Tableau3[''12''])</f>
        <v>5000</v>
      </c>
      <c r="BB41" s="32">
        <f>SUMIF(Tableau3[Avis],"1-Favorable",Tableau3[''12''])</f>
        <v>5000</v>
      </c>
      <c r="BG41" s="32">
        <f>SUMIF(Tableau3[Avis],"0",Tableau3[''12''])</f>
        <v>0</v>
      </c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</row>
    <row r="42" spans="51:112" x14ac:dyDescent="0.25">
      <c r="AY42" s="35" t="s">
        <v>24</v>
      </c>
      <c r="AZ42" s="47">
        <f>SUMIF(Tableau_Lancer_la_requête_à_partir_de_Excel_Files3[Avis Prog],"1-Favorable",Tableau3[''15''])</f>
        <v>0</v>
      </c>
      <c r="BB42" s="32">
        <f>SUMIF(Tableau3[Avis],"1-Favorable",Tableau3[''15''])</f>
        <v>0</v>
      </c>
      <c r="BG42" s="32">
        <f>SUMIF(Tableau3[Avis],"0",Tableau3[''15''])</f>
        <v>0</v>
      </c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</row>
    <row r="43" spans="51:112" x14ac:dyDescent="0.25">
      <c r="AY43" s="35" t="s">
        <v>25</v>
      </c>
      <c r="AZ43" s="47">
        <f>SUMIF(Tableau_Lancer_la_requête_à_partir_de_Excel_Files3[Avis Prog],"1-Favorable",Tableau3[''19''])</f>
        <v>0</v>
      </c>
      <c r="BB43" s="32">
        <f>SUMIF(Tableau3[Avis],"1-Favorable",Tableau3[''19''])</f>
        <v>0</v>
      </c>
      <c r="BG43" s="32">
        <f>SUMIF(Tableau3[Avis],"0",Tableau3[''19''])</f>
        <v>0</v>
      </c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</row>
    <row r="44" spans="51:112" x14ac:dyDescent="0.25">
      <c r="AY44" s="35" t="s">
        <v>26</v>
      </c>
      <c r="AZ44" s="47">
        <f>SUMIF(Tableau_Lancer_la_requête_à_partir_de_Excel_Files3[Avis Prog],"1-Favorable",Tableau3[''21''])</f>
        <v>0</v>
      </c>
      <c r="BB44" s="32">
        <f>SUMIF(Tableau3[Avis],"1-Favorable",Tableau3[''21''])</f>
        <v>0</v>
      </c>
      <c r="BG44" s="32">
        <f>SUMIF(Tableau3[Avis],"0",Tableau3[''21''])</f>
        <v>0</v>
      </c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</row>
    <row r="45" spans="51:112" x14ac:dyDescent="0.25">
      <c r="AY45" s="35" t="s">
        <v>27</v>
      </c>
      <c r="AZ45" s="47">
        <f>SUMIF(Tableau_Lancer_la_requête_à_partir_de_Excel_Files3[Avis Prog],"1-Favorable",Tableau3[''23''])</f>
        <v>0</v>
      </c>
      <c r="BB45" s="32">
        <f>SUMIF(Tableau3[Avis],"1-Favorable",Tableau3[''23''])</f>
        <v>0</v>
      </c>
      <c r="BG45" s="32">
        <f>SUMIF(Tableau3[Avis],"0",Tableau3[''23''])</f>
        <v>0</v>
      </c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</row>
    <row r="46" spans="51:112" x14ac:dyDescent="0.25">
      <c r="AY46" s="35" t="s">
        <v>28</v>
      </c>
      <c r="AZ46" s="47">
        <f>SUMIF(Tableau_Lancer_la_requête_à_partir_de_Excel_Files3[Avis Prog],"1-Favorable",Tableau3[''30''])</f>
        <v>0</v>
      </c>
      <c r="BB46" s="32">
        <f>SUMIF(Tableau3[Avis],"1-Favorable",Tableau3[''30''])</f>
        <v>0</v>
      </c>
      <c r="BG46" s="32">
        <f>SUMIF(Tableau3[Avis],"0",Tableau3[''30''])</f>
        <v>0</v>
      </c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</row>
    <row r="47" spans="51:112" x14ac:dyDescent="0.25">
      <c r="AY47" s="35" t="s">
        <v>29</v>
      </c>
      <c r="AZ47" s="47">
        <f>SUMIF(Tableau_Lancer_la_requête_à_partir_de_Excel_Files3[Avis Prog],"1-Favorable",Tableau3[''34''])</f>
        <v>0</v>
      </c>
      <c r="BB47" s="32">
        <f>SUMIF(Tableau3[Avis],"1-Favorable",Tableau3[''34''])</f>
        <v>0</v>
      </c>
      <c r="BG47" s="32">
        <f>SUMIF(Tableau3[Avis],"0",Tableau3[''34''])</f>
        <v>0</v>
      </c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</row>
    <row r="48" spans="51:112" x14ac:dyDescent="0.25">
      <c r="AY48" s="35" t="s">
        <v>30</v>
      </c>
      <c r="AZ48" s="47">
        <f>SUMIF(Tableau_Lancer_la_requête_à_partir_de_Excel_Files3[Avis Prog],"1-Favorable",Tableau3[''42''])</f>
        <v>0</v>
      </c>
      <c r="BB48" s="32">
        <f>SUMIF(Tableau3[Avis],"1-Favorable",Tableau3[''42''])</f>
        <v>0</v>
      </c>
      <c r="BG48" s="32">
        <f>SUMIF(Tableau3[Avis],"0",Tableau3[''42''])</f>
        <v>0</v>
      </c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</row>
    <row r="49" spans="51:112" x14ac:dyDescent="0.25">
      <c r="AY49" s="35" t="s">
        <v>31</v>
      </c>
      <c r="AZ49" s="47">
        <f>SUMIF(Tableau_Lancer_la_requête_à_partir_de_Excel_Files3[Avis Prog],"1-Favorable",Tableau3[''43''])</f>
        <v>0</v>
      </c>
      <c r="BB49" s="32">
        <f>SUMIF(Tableau3[Avis],"1-Favorable",Tableau3[''43''])</f>
        <v>0</v>
      </c>
      <c r="BG49" s="32">
        <f>SUMIF(Tableau3[Avis],"0",Tableau3[''43''])</f>
        <v>0</v>
      </c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</row>
    <row r="50" spans="51:112" x14ac:dyDescent="0.25">
      <c r="AY50" s="35" t="s">
        <v>32</v>
      </c>
      <c r="AZ50" s="47">
        <f>SUMIF(Tableau_Lancer_la_requête_à_partir_de_Excel_Files3[Avis Prog],"1-Favorable",Tableau3[''46''])</f>
        <v>0</v>
      </c>
      <c r="BB50" s="32">
        <f>SUMIF(Tableau3[Avis],"1-Favorable",Tableau3[''46''])</f>
        <v>0</v>
      </c>
      <c r="BG50" s="32">
        <f>SUMIF(Tableau3[Avis],"0",Tableau3[''46''])</f>
        <v>0</v>
      </c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</row>
    <row r="51" spans="51:112" x14ac:dyDescent="0.25">
      <c r="AY51" s="35" t="s">
        <v>33</v>
      </c>
      <c r="AZ51" s="47">
        <f>SUMIF(Tableau_Lancer_la_requête_à_partir_de_Excel_Files3[Avis Prog],"1-Favorable",Tableau3[''48''])</f>
        <v>0</v>
      </c>
      <c r="BB51" s="32">
        <f>SUMIF(Tableau3[Avis],"1-Favorable",Tableau3[''48''])</f>
        <v>0</v>
      </c>
      <c r="BG51" s="32">
        <f>SUMIF(Tableau3[Avis],"0",Tableau3[''48''])</f>
        <v>0</v>
      </c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</row>
    <row r="52" spans="51:112" x14ac:dyDescent="0.25">
      <c r="AY52" s="35" t="s">
        <v>34</v>
      </c>
      <c r="AZ52" s="47">
        <f>SUMIF(Tableau_Lancer_la_requête_à_partir_de_Excel_Files3[Avis Prog],"1-Favorable",Tableau3[''58''])</f>
        <v>0</v>
      </c>
      <c r="BB52" s="32">
        <f>SUMIF(Tableau3[Avis],"1-Favorable",Tableau3[''58''])</f>
        <v>0</v>
      </c>
      <c r="BG52" s="32">
        <f>SUMIF(Tableau3[Avis],"0",Tableau3[''58''])</f>
        <v>0</v>
      </c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</row>
    <row r="53" spans="51:112" x14ac:dyDescent="0.25">
      <c r="AY53" s="35" t="s">
        <v>35</v>
      </c>
      <c r="AZ53" s="47">
        <f>SUMIF(Tableau_Lancer_la_requête_à_partir_de_Excel_Files3[Avis Prog],"1-Favorable",Tableau3[''63''])</f>
        <v>0</v>
      </c>
      <c r="BB53" s="32">
        <f>SUMIF(Tableau3[Avis],"1-Favorable",Tableau3[''63''])</f>
        <v>0</v>
      </c>
      <c r="BG53" s="32">
        <f>SUMIF(Tableau3[Avis],"0",Tableau3[''63''])</f>
        <v>0</v>
      </c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</row>
    <row r="54" spans="51:112" x14ac:dyDescent="0.25">
      <c r="AY54" s="35" t="s">
        <v>36</v>
      </c>
      <c r="AZ54" s="47">
        <f>SUMIF(Tableau_Lancer_la_requête_à_partir_de_Excel_Files3[Avis Prog],"1-Favorable",Tableau3[''69''])</f>
        <v>0</v>
      </c>
      <c r="BB54" s="32">
        <f>SUMIF(Tableau3[Avis],"1-Favorable",Tableau3[''69''])</f>
        <v>0</v>
      </c>
      <c r="BG54" s="32">
        <f>SUMIF(Tableau3[Avis],"0",Tableau3[''69''])</f>
        <v>0</v>
      </c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</row>
    <row r="55" spans="51:112" x14ac:dyDescent="0.25">
      <c r="AY55" s="35" t="s">
        <v>37</v>
      </c>
      <c r="AZ55" s="47">
        <f>SUMIF(Tableau_Lancer_la_requête_à_partir_de_Excel_Files3[Avis Prog],"1-Favorable",Tableau3[''71''])</f>
        <v>0</v>
      </c>
      <c r="BB55" s="32">
        <f>SUMIF(Tableau3[Avis],"1-Favorable",Tableau3[''71''])</f>
        <v>0</v>
      </c>
      <c r="BG55" s="32">
        <f>SUMIF(Tableau3[Avis],"0",Tableau3[''71''])</f>
        <v>0</v>
      </c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</row>
    <row r="56" spans="51:112" x14ac:dyDescent="0.25">
      <c r="AY56" s="35" t="s">
        <v>38</v>
      </c>
      <c r="AZ56" s="47">
        <f>SUMIF(Tableau_Lancer_la_requête_à_partir_de_Excel_Files3[Avis Prog],"1-Favorable",Tableau3[''81''])</f>
        <v>0</v>
      </c>
      <c r="BB56" s="32">
        <f>SUMIF(Tableau3[Avis],"1-Favorable",Tableau3[''81''])</f>
        <v>0</v>
      </c>
      <c r="BG56" s="32">
        <f>SUMIF(Tableau3[Avis],"0",Tableau3[''81''])</f>
        <v>0</v>
      </c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</row>
    <row r="57" spans="51:112" x14ac:dyDescent="0.25">
      <c r="AY57" s="35" t="s">
        <v>39</v>
      </c>
      <c r="AZ57" s="47">
        <f>SUMIF(Tableau_Lancer_la_requête_à_partir_de_Excel_Files3[Avis Prog],"1-Favorable",Tableau3[''82''])</f>
        <v>0</v>
      </c>
      <c r="BB57" s="32">
        <f>SUMIF(Tableau3[Avis],"1-Favorable",Tableau3[''82''])</f>
        <v>0</v>
      </c>
      <c r="BG57" s="32">
        <f>SUMIF(Tableau3[Avis],"0",Tableau3[''82''])</f>
        <v>0</v>
      </c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</row>
    <row r="58" spans="51:112" x14ac:dyDescent="0.25">
      <c r="AY58" s="35" t="s">
        <v>40</v>
      </c>
      <c r="AZ58" s="47">
        <f>SUMIF(Tableau_Lancer_la_requête_à_partir_de_Excel_Files3[Avis Prog],"1-Favorable",Tableau3[''87''])</f>
        <v>0</v>
      </c>
      <c r="BB58" s="32">
        <f>SUMIF(Tableau3[Avis],"1-Favorable",Tableau3[''87''])</f>
        <v>0</v>
      </c>
      <c r="BG58" s="32">
        <f>SUMIF(Tableau3[Avis],"0",Tableau3[''87''])</f>
        <v>0</v>
      </c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</row>
    <row r="59" spans="51:112" x14ac:dyDescent="0.25">
      <c r="AY59" s="35" t="s">
        <v>41</v>
      </c>
      <c r="AZ59" s="47">
        <f>SUMIF(Tableau_Lancer_la_requête_à_partir_de_Excel_Files3[Avis Prog],"1-Favorable",Tableau3[''89''])</f>
        <v>0</v>
      </c>
      <c r="BB59" s="32">
        <f>SUMIF(Tableau3[Avis],"1-Favorable",Tableau3[''89''])</f>
        <v>0</v>
      </c>
      <c r="BG59" s="32">
        <f>SUMIF(Tableau3[Avis],"0",Tableau3[''89''])</f>
        <v>0</v>
      </c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</row>
    <row r="60" spans="51:112" x14ac:dyDescent="0.25"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</row>
    <row r="61" spans="51:112" x14ac:dyDescent="0.25"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</row>
    <row r="62" spans="51:112" x14ac:dyDescent="0.25"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</row>
    <row r="63" spans="51:112" x14ac:dyDescent="0.25"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</row>
    <row r="64" spans="51:112" x14ac:dyDescent="0.25"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</row>
    <row r="65" spans="84:112" x14ac:dyDescent="0.25"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</row>
    <row r="66" spans="84:112" x14ac:dyDescent="0.25"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</row>
    <row r="67" spans="84:112" x14ac:dyDescent="0.25"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</row>
    <row r="68" spans="84:112" x14ac:dyDescent="0.25"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</row>
    <row r="69" spans="84:112" x14ac:dyDescent="0.25"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</row>
    <row r="70" spans="84:112" x14ac:dyDescent="0.25"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</row>
    <row r="71" spans="84:112" x14ac:dyDescent="0.25"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</row>
    <row r="72" spans="84:112" x14ac:dyDescent="0.25">
      <c r="CF72" s="36"/>
      <c r="CG72" s="36"/>
      <c r="CH72" s="36"/>
      <c r="CI72" s="36"/>
      <c r="CJ72" s="36"/>
      <c r="CK72" s="36"/>
      <c r="CL72" s="36"/>
      <c r="DB72" s="32"/>
      <c r="DC72" s="32"/>
      <c r="DD72" s="32"/>
      <c r="DE72" s="32"/>
      <c r="DF72" s="32"/>
      <c r="DG72" s="32"/>
      <c r="DH72" s="32"/>
    </row>
    <row r="73" spans="84:112" x14ac:dyDescent="0.25">
      <c r="CF73" s="36"/>
      <c r="CG73" s="36"/>
      <c r="CH73" s="36"/>
      <c r="CI73" s="36"/>
      <c r="CJ73" s="36"/>
      <c r="CK73" s="36"/>
      <c r="CL73" s="36"/>
      <c r="DB73" s="32"/>
      <c r="DC73" s="32"/>
      <c r="DD73" s="32"/>
      <c r="DE73" s="32"/>
      <c r="DF73" s="32"/>
      <c r="DG73" s="32"/>
      <c r="DH73" s="32"/>
    </row>
    <row r="74" spans="84:112" x14ac:dyDescent="0.25">
      <c r="CF74" s="36"/>
      <c r="CG74" s="36"/>
      <c r="CH74" s="36"/>
      <c r="CI74" s="36"/>
      <c r="CJ74" s="36"/>
      <c r="CK74" s="36"/>
      <c r="CL74" s="36"/>
      <c r="DB74" s="32"/>
      <c r="DC74" s="32"/>
      <c r="DD74" s="32"/>
      <c r="DE74" s="32"/>
      <c r="DF74" s="32"/>
      <c r="DG74" s="32"/>
      <c r="DH74" s="32"/>
    </row>
    <row r="75" spans="84:112" x14ac:dyDescent="0.25">
      <c r="CF75" s="36"/>
      <c r="CG75" s="36"/>
      <c r="CH75" s="36"/>
      <c r="CI75" s="36"/>
      <c r="CJ75" s="36"/>
      <c r="CK75" s="36"/>
      <c r="CL75" s="36"/>
      <c r="DB75" s="32"/>
      <c r="DC75" s="32"/>
      <c r="DD75" s="32"/>
      <c r="DE75" s="32"/>
      <c r="DF75" s="32"/>
      <c r="DG75" s="32"/>
      <c r="DH75" s="32"/>
    </row>
    <row r="76" spans="84:112" x14ac:dyDescent="0.25">
      <c r="CF76" s="36"/>
      <c r="CG76" s="36"/>
      <c r="CH76" s="36"/>
      <c r="CI76" s="36"/>
      <c r="CJ76" s="36"/>
      <c r="CK76" s="36"/>
      <c r="CL76" s="36"/>
      <c r="DB76" s="32"/>
      <c r="DC76" s="32"/>
      <c r="DD76" s="32"/>
      <c r="DE76" s="32"/>
      <c r="DF76" s="32"/>
      <c r="DG76" s="32"/>
      <c r="DH76" s="32"/>
    </row>
    <row r="77" spans="84:112" x14ac:dyDescent="0.25">
      <c r="CF77" s="36"/>
      <c r="CG77" s="36"/>
      <c r="CH77" s="36"/>
      <c r="CI77" s="36"/>
      <c r="CJ77" s="36"/>
      <c r="CK77" s="36"/>
      <c r="CL77" s="36"/>
      <c r="DB77" s="32"/>
      <c r="DC77" s="32"/>
      <c r="DD77" s="32"/>
      <c r="DE77" s="32"/>
      <c r="DF77" s="32"/>
      <c r="DG77" s="32"/>
      <c r="DH77" s="32"/>
    </row>
    <row r="78" spans="84:112" x14ac:dyDescent="0.25">
      <c r="CF78" s="36"/>
      <c r="CG78" s="36"/>
      <c r="CH78" s="36"/>
      <c r="CI78" s="36"/>
      <c r="CJ78" s="36"/>
      <c r="CK78" s="36"/>
      <c r="CL78" s="36"/>
      <c r="DB78" s="32"/>
      <c r="DC78" s="32"/>
      <c r="DD78" s="32"/>
      <c r="DE78" s="32"/>
      <c r="DF78" s="32"/>
      <c r="DG78" s="32"/>
      <c r="DH78" s="32"/>
    </row>
    <row r="79" spans="84:112" x14ac:dyDescent="0.25">
      <c r="CF79" s="36"/>
      <c r="CG79" s="36"/>
      <c r="CH79" s="36"/>
      <c r="CI79" s="36"/>
      <c r="CJ79" s="36"/>
      <c r="CK79" s="36"/>
      <c r="CL79" s="36"/>
      <c r="DB79" s="32"/>
      <c r="DC79" s="32"/>
      <c r="DD79" s="32"/>
      <c r="DE79" s="32"/>
      <c r="DF79" s="32"/>
      <c r="DG79" s="32"/>
      <c r="DH79" s="32"/>
    </row>
    <row r="80" spans="84:112" x14ac:dyDescent="0.25">
      <c r="CF80" s="36"/>
      <c r="CG80" s="36"/>
      <c r="CH80" s="36"/>
      <c r="CI80" s="36"/>
      <c r="CJ80" s="36"/>
      <c r="CK80" s="36"/>
      <c r="CL80" s="36"/>
      <c r="DB80" s="32"/>
      <c r="DC80" s="32"/>
      <c r="DD80" s="32"/>
      <c r="DE80" s="32"/>
      <c r="DF80" s="32"/>
      <c r="DG80" s="32"/>
      <c r="DH80" s="32"/>
    </row>
    <row r="81" spans="84:112" x14ac:dyDescent="0.25">
      <c r="CF81" s="36"/>
      <c r="CG81" s="36"/>
      <c r="CH81" s="36"/>
      <c r="CI81" s="36"/>
      <c r="CJ81" s="36"/>
      <c r="CK81" s="36"/>
      <c r="CL81" s="36"/>
      <c r="DB81" s="32"/>
      <c r="DC81" s="32"/>
      <c r="DD81" s="32"/>
      <c r="DE81" s="32"/>
      <c r="DF81" s="32"/>
      <c r="DG81" s="32"/>
      <c r="DH81" s="32"/>
    </row>
    <row r="82" spans="84:112" x14ac:dyDescent="0.25">
      <c r="CF82" s="36"/>
      <c r="CG82" s="36"/>
      <c r="CH82" s="36"/>
      <c r="CI82" s="36"/>
      <c r="CJ82" s="36"/>
      <c r="CK82" s="36"/>
      <c r="CL82" s="36"/>
      <c r="DB82" s="32"/>
      <c r="DC82" s="32"/>
      <c r="DD82" s="32"/>
      <c r="DE82" s="32"/>
      <c r="DF82" s="32"/>
      <c r="DG82" s="32"/>
      <c r="DH82" s="32"/>
    </row>
    <row r="83" spans="84:112" x14ac:dyDescent="0.25">
      <c r="CF83" s="36"/>
      <c r="CG83" s="36"/>
      <c r="CH83" s="36"/>
      <c r="CI83" s="36"/>
      <c r="CJ83" s="36"/>
      <c r="CK83" s="36"/>
      <c r="CL83" s="36"/>
      <c r="DB83" s="32"/>
      <c r="DC83" s="32"/>
      <c r="DD83" s="32"/>
      <c r="DE83" s="32"/>
      <c r="DF83" s="32"/>
      <c r="DG83" s="32"/>
      <c r="DH83" s="32"/>
    </row>
    <row r="84" spans="84:112" x14ac:dyDescent="0.25">
      <c r="CF84" s="36"/>
      <c r="CG84" s="36"/>
      <c r="CH84" s="36"/>
      <c r="CI84" s="36"/>
      <c r="CJ84" s="36"/>
      <c r="CK84" s="36"/>
      <c r="CL84" s="36"/>
      <c r="DB84" s="32"/>
      <c r="DC84" s="32"/>
      <c r="DD84" s="32"/>
      <c r="DE84" s="32"/>
      <c r="DF84" s="32"/>
      <c r="DG84" s="32"/>
      <c r="DH84" s="32"/>
    </row>
    <row r="85" spans="84:112" x14ac:dyDescent="0.25">
      <c r="CF85" s="36"/>
      <c r="CG85" s="36"/>
      <c r="CH85" s="36"/>
      <c r="CI85" s="36"/>
      <c r="CJ85" s="36"/>
      <c r="CK85" s="36"/>
      <c r="CL85" s="36"/>
      <c r="DB85" s="32"/>
      <c r="DC85" s="32"/>
      <c r="DD85" s="32"/>
      <c r="DE85" s="32"/>
      <c r="DF85" s="32"/>
      <c r="DG85" s="32"/>
      <c r="DH85" s="32"/>
    </row>
    <row r="86" spans="84:112" x14ac:dyDescent="0.25">
      <c r="CF86" s="36"/>
      <c r="CG86" s="36"/>
      <c r="CH86" s="36"/>
      <c r="CI86" s="36"/>
      <c r="CJ86" s="36"/>
      <c r="CK86" s="36"/>
      <c r="CL86" s="36"/>
      <c r="DB86" s="32"/>
      <c r="DC86" s="32"/>
      <c r="DD86" s="32"/>
      <c r="DE86" s="32"/>
      <c r="DF86" s="32"/>
      <c r="DG86" s="32"/>
      <c r="DH86" s="32"/>
    </row>
    <row r="87" spans="84:112" x14ac:dyDescent="0.25">
      <c r="CF87" s="36"/>
      <c r="CG87" s="36"/>
      <c r="CH87" s="36"/>
      <c r="CI87" s="36"/>
      <c r="CJ87" s="36"/>
      <c r="CK87" s="36"/>
      <c r="CL87" s="36"/>
      <c r="DB87" s="32"/>
      <c r="DC87" s="32"/>
      <c r="DD87" s="32"/>
      <c r="DE87" s="32"/>
      <c r="DF87" s="32"/>
      <c r="DG87" s="32"/>
      <c r="DH87" s="32"/>
    </row>
    <row r="88" spans="84:112" x14ac:dyDescent="0.25">
      <c r="CF88" s="36"/>
      <c r="CG88" s="36"/>
      <c r="CH88" s="36"/>
      <c r="CI88" s="36"/>
      <c r="CJ88" s="36"/>
      <c r="CK88" s="36"/>
      <c r="CL88" s="36"/>
      <c r="DB88" s="32"/>
      <c r="DC88" s="32"/>
      <c r="DD88" s="32"/>
      <c r="DE88" s="32"/>
      <c r="DF88" s="32"/>
      <c r="DG88" s="32"/>
      <c r="DH88" s="32"/>
    </row>
    <row r="89" spans="84:112" x14ac:dyDescent="0.25">
      <c r="CF89" s="36"/>
      <c r="CG89" s="36"/>
      <c r="CH89" s="36"/>
      <c r="CI89" s="36"/>
      <c r="CJ89" s="36"/>
      <c r="CK89" s="36"/>
      <c r="CL89" s="36"/>
      <c r="DB89" s="32"/>
      <c r="DC89" s="32"/>
      <c r="DD89" s="32"/>
      <c r="DE89" s="32"/>
      <c r="DF89" s="32"/>
      <c r="DG89" s="32"/>
      <c r="DH89" s="32"/>
    </row>
    <row r="90" spans="84:112" x14ac:dyDescent="0.25">
      <c r="CF90" s="36"/>
      <c r="CG90" s="36"/>
      <c r="CH90" s="36"/>
      <c r="CI90" s="36"/>
      <c r="CJ90" s="36"/>
      <c r="CK90" s="36"/>
      <c r="CL90" s="36"/>
      <c r="DB90" s="32"/>
      <c r="DC90" s="32"/>
      <c r="DD90" s="32"/>
      <c r="DE90" s="32"/>
      <c r="DF90" s="32"/>
      <c r="DG90" s="32"/>
      <c r="DH90" s="32"/>
    </row>
    <row r="91" spans="84:112" x14ac:dyDescent="0.25">
      <c r="CF91" s="36"/>
      <c r="CG91" s="36"/>
      <c r="CH91" s="36"/>
      <c r="CI91" s="36"/>
      <c r="CJ91" s="36"/>
      <c r="CK91" s="36"/>
      <c r="CL91" s="36"/>
      <c r="DB91" s="32"/>
      <c r="DC91" s="32"/>
      <c r="DD91" s="32"/>
      <c r="DE91" s="32"/>
      <c r="DF91" s="32"/>
      <c r="DG91" s="32"/>
      <c r="DH91" s="32"/>
    </row>
    <row r="92" spans="84:112" x14ac:dyDescent="0.25">
      <c r="CF92" s="36"/>
      <c r="CG92" s="36"/>
      <c r="CH92" s="36"/>
      <c r="CI92" s="36"/>
      <c r="CJ92" s="36"/>
      <c r="CK92" s="36"/>
      <c r="CL92" s="36"/>
      <c r="DB92" s="32"/>
      <c r="DC92" s="32"/>
      <c r="DD92" s="32"/>
      <c r="DE92" s="32"/>
      <c r="DF92" s="32"/>
      <c r="DG92" s="32"/>
      <c r="DH92" s="32"/>
    </row>
  </sheetData>
  <conditionalFormatting sqref="I11:I1048576">
    <cfRule type="cellIs" dxfId="443" priority="47" operator="greaterThan">
      <formula>0</formula>
    </cfRule>
    <cfRule type="cellIs" dxfId="442" priority="48" operator="lessThan">
      <formula>0</formula>
    </cfRule>
  </conditionalFormatting>
  <conditionalFormatting sqref="AV11:AV16 AV21 AT6:AT10">
    <cfRule type="cellIs" dxfId="441" priority="41" operator="equal">
      <formula>"6-Retiré/Abandon"</formula>
    </cfRule>
    <cfRule type="cellIs" dxfId="440" priority="42" operator="equal">
      <formula>"5-Défavorable"</formula>
    </cfRule>
    <cfRule type="cellIs" dxfId="439" priority="43" operator="equal">
      <formula>"4-Ajournement"</formula>
    </cfRule>
    <cfRule type="cellIs" dxfId="438" priority="44" operator="equal">
      <formula>"1-Favorable"</formula>
    </cfRule>
  </conditionalFormatting>
  <conditionalFormatting sqref="AV22">
    <cfRule type="cellIs" dxfId="437" priority="9" operator="equal">
      <formula>"6-Retiré/Abandon"</formula>
    </cfRule>
    <cfRule type="cellIs" dxfId="436" priority="10" operator="equal">
      <formula>"5-Défavorable"</formula>
    </cfRule>
    <cfRule type="cellIs" dxfId="435" priority="11" operator="equal">
      <formula>"4-Ajournement"</formula>
    </cfRule>
    <cfRule type="cellIs" dxfId="434" priority="12" operator="equal">
      <formula>"1-Favorable"</formula>
    </cfRule>
  </conditionalFormatting>
  <dataValidations count="1">
    <dataValidation type="list" allowBlank="1" showInputMessage="1" showErrorMessage="1" sqref="AT7:AT9">
      <formula1>"1-Favorable,4-Ajournement,5-Défavorable,6-Retiré/Abandon"</formula1>
    </dataValidation>
  </dataValidations>
  <printOptions horizontalCentered="1" verticalCentered="1"/>
  <pageMargins left="0.25" right="0.25" top="0.75" bottom="0.75" header="0.3" footer="0.3"/>
  <pageSetup paperSize="8" scale="44" fitToHeight="0" orientation="landscape" r:id="rId1"/>
  <drawing r:id="rId2"/>
  <tableParts count="2">
    <tablePart r:id="rId3"/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92"/>
  <sheetViews>
    <sheetView zoomScale="80" zoomScaleNormal="80" workbookViewId="0">
      <selection activeCell="E2" sqref="E2"/>
    </sheetView>
  </sheetViews>
  <sheetFormatPr baseColWidth="10" defaultRowHeight="15" outlineLevelCol="1" x14ac:dyDescent="0.25"/>
  <cols>
    <col min="1" max="1" width="14.5703125" style="32" customWidth="1"/>
    <col min="2" max="2" width="12.140625" style="32" hidden="1" customWidth="1"/>
    <col min="3" max="3" width="16.28515625" style="32" bestFit="1" customWidth="1"/>
    <col min="4" max="4" width="39.85546875" style="32" customWidth="1"/>
    <col min="5" max="5" width="46" style="32" customWidth="1"/>
    <col min="6" max="6" width="7.28515625" style="32" hidden="1" customWidth="1"/>
    <col min="7" max="7" width="20.85546875" style="32" hidden="1" customWidth="1"/>
    <col min="8" max="8" width="16" style="32" bestFit="1" customWidth="1"/>
    <col min="9" max="9" width="21" style="32" hidden="1" customWidth="1"/>
    <col min="10" max="10" width="13" style="32" hidden="1" customWidth="1"/>
    <col min="11" max="11" width="16.5703125" style="32" hidden="1" customWidth="1"/>
    <col min="12" max="12" width="16.140625" style="32" customWidth="1"/>
    <col min="13" max="13" width="14.5703125" style="32" customWidth="1"/>
    <col min="14" max="14" width="22.5703125" style="32" hidden="1" customWidth="1" outlineLevel="1"/>
    <col min="15" max="15" width="17.28515625" style="32" hidden="1" customWidth="1" outlineLevel="1" collapsed="1"/>
    <col min="16" max="16" width="14.7109375" style="32" customWidth="1" collapsed="1"/>
    <col min="17" max="20" width="22.5703125" style="32" hidden="1" customWidth="1" outlineLevel="1"/>
    <col min="21" max="21" width="18.85546875" style="32" bestFit="1" customWidth="1" collapsed="1"/>
    <col min="22" max="43" width="22.5703125" style="32" hidden="1" customWidth="1" outlineLevel="1"/>
    <col min="44" max="44" width="16.7109375" style="32" customWidth="1" collapsed="1"/>
    <col min="45" max="45" width="17.7109375" style="32" bestFit="1" customWidth="1"/>
    <col min="46" max="46" width="14.140625" style="32" bestFit="1" customWidth="1"/>
    <col min="47" max="47" width="2.42578125" style="35" customWidth="1"/>
    <col min="48" max="48" width="77.28515625" style="41" customWidth="1"/>
    <col min="49" max="49" width="24.28515625" style="35" hidden="1" customWidth="1"/>
    <col min="50" max="50" width="14.140625" style="32" hidden="1" customWidth="1"/>
    <col min="51" max="51" width="22.5703125" style="32" hidden="1" customWidth="1"/>
    <col min="52" max="52" width="17.28515625" style="32" hidden="1" customWidth="1" outlineLevel="1" collapsed="1"/>
    <col min="53" max="53" width="12.85546875" style="32" hidden="1" customWidth="1" outlineLevel="1"/>
    <col min="54" max="54" width="22.5703125" style="32" hidden="1" customWidth="1" collapsed="1"/>
    <col min="55" max="57" width="22.5703125" style="32" hidden="1" customWidth="1" outlineLevel="1"/>
    <col min="58" max="58" width="18.85546875" style="32" hidden="1" customWidth="1" outlineLevel="1" collapsed="1"/>
    <col min="59" max="59" width="22.5703125" style="32" hidden="1" customWidth="1" collapsed="1"/>
    <col min="60" max="80" width="22.5703125" style="32" hidden="1" customWidth="1" outlineLevel="1"/>
    <col min="81" max="81" width="12.42578125" style="32" hidden="1" customWidth="1" outlineLevel="1" collapsed="1"/>
    <col min="82" max="82" width="14.28515625" style="32" hidden="1" customWidth="1" collapsed="1"/>
    <col min="83" max="83" width="17.42578125" style="32" hidden="1" customWidth="1" collapsed="1"/>
    <col min="84" max="84" width="11.42578125" style="32" hidden="1" customWidth="1" collapsed="1"/>
    <col min="85" max="85" width="11.42578125" style="32" customWidth="1"/>
    <col min="86" max="86" width="15.5703125" style="32" customWidth="1"/>
    <col min="87" max="87" width="36.85546875" style="32" customWidth="1"/>
    <col min="88" max="88" width="10" style="32" customWidth="1"/>
    <col min="89" max="89" width="19.28515625" style="32" customWidth="1"/>
    <col min="90" max="90" width="21.5703125" style="32" customWidth="1" collapsed="1"/>
    <col min="91" max="91" width="9.7109375" style="36" customWidth="1" collapsed="1"/>
    <col min="92" max="112" width="9.7109375" style="36" customWidth="1"/>
    <col min="113" max="113" width="12" style="32" customWidth="1" collapsed="1"/>
    <col min="114" max="114" width="14.28515625" style="32" bestFit="1" customWidth="1" collapsed="1"/>
    <col min="115" max="115" width="17.42578125" style="32" bestFit="1" customWidth="1"/>
    <col min="116" max="116" width="17" style="32" bestFit="1" customWidth="1"/>
    <col min="117" max="117" width="14.7109375" style="32" bestFit="1" customWidth="1"/>
    <col min="118" max="16384" width="11.42578125" style="32"/>
  </cols>
  <sheetData>
    <row r="1" spans="1:112" ht="18.75" x14ac:dyDescent="0.3">
      <c r="D1" s="33" t="s">
        <v>73</v>
      </c>
      <c r="E1" s="34">
        <f>Feuil1!A2</f>
        <v>42832</v>
      </c>
      <c r="H1" s="34"/>
    </row>
    <row r="5" spans="1:112" x14ac:dyDescent="0.25">
      <c r="C5" s="37" t="s">
        <v>97</v>
      </c>
    </row>
    <row r="6" spans="1:112" s="39" customFormat="1" ht="60" x14ac:dyDescent="0.25">
      <c r="A6" s="38" t="s">
        <v>0</v>
      </c>
      <c r="B6" s="38" t="s">
        <v>9</v>
      </c>
      <c r="C6" s="38" t="s">
        <v>7</v>
      </c>
      <c r="D6" s="38" t="s">
        <v>1</v>
      </c>
      <c r="E6" s="38" t="s">
        <v>2</v>
      </c>
      <c r="F6" s="38" t="s">
        <v>3</v>
      </c>
      <c r="G6" s="38" t="s">
        <v>12</v>
      </c>
      <c r="H6" s="38" t="s">
        <v>13</v>
      </c>
      <c r="I6" s="38" t="s">
        <v>11</v>
      </c>
      <c r="J6" s="38" t="s">
        <v>6</v>
      </c>
      <c r="K6" s="38" t="s">
        <v>5</v>
      </c>
      <c r="L6" s="38" t="s">
        <v>4</v>
      </c>
      <c r="M6" s="38" t="s">
        <v>44</v>
      </c>
      <c r="N6" s="38" t="s">
        <v>14</v>
      </c>
      <c r="O6" s="38" t="s">
        <v>15</v>
      </c>
      <c r="P6" s="38" t="s">
        <v>45</v>
      </c>
      <c r="Q6" s="38" t="s">
        <v>18</v>
      </c>
      <c r="R6" s="38" t="s">
        <v>16</v>
      </c>
      <c r="S6" s="38" t="s">
        <v>17</v>
      </c>
      <c r="T6" s="38" t="s">
        <v>19</v>
      </c>
      <c r="U6" s="38" t="s">
        <v>46</v>
      </c>
      <c r="V6" s="38" t="s">
        <v>20</v>
      </c>
      <c r="W6" s="38" t="s">
        <v>21</v>
      </c>
      <c r="X6" s="38" t="s">
        <v>22</v>
      </c>
      <c r="Y6" s="38" t="s">
        <v>23</v>
      </c>
      <c r="Z6" s="38" t="s">
        <v>24</v>
      </c>
      <c r="AA6" s="38" t="s">
        <v>25</v>
      </c>
      <c r="AB6" s="38" t="s">
        <v>26</v>
      </c>
      <c r="AC6" s="38" t="s">
        <v>27</v>
      </c>
      <c r="AD6" s="38" t="s">
        <v>28</v>
      </c>
      <c r="AE6" s="38" t="s">
        <v>29</v>
      </c>
      <c r="AF6" s="38" t="s">
        <v>30</v>
      </c>
      <c r="AG6" s="38" t="s">
        <v>31</v>
      </c>
      <c r="AH6" s="38" t="s">
        <v>32</v>
      </c>
      <c r="AI6" s="38" t="s">
        <v>33</v>
      </c>
      <c r="AJ6" s="38" t="s">
        <v>34</v>
      </c>
      <c r="AK6" s="38" t="s">
        <v>35</v>
      </c>
      <c r="AL6" s="38" t="s">
        <v>36</v>
      </c>
      <c r="AM6" s="38" t="s">
        <v>37</v>
      </c>
      <c r="AN6" s="38" t="s">
        <v>38</v>
      </c>
      <c r="AO6" s="38" t="s">
        <v>39</v>
      </c>
      <c r="AP6" s="38" t="s">
        <v>40</v>
      </c>
      <c r="AQ6" s="38" t="s">
        <v>41</v>
      </c>
      <c r="AR6" s="38" t="s">
        <v>42</v>
      </c>
      <c r="AS6" s="38" t="s">
        <v>43</v>
      </c>
      <c r="AT6" s="38" t="s">
        <v>54</v>
      </c>
      <c r="AV6" s="84" t="s">
        <v>10</v>
      </c>
      <c r="AX6" s="39" t="s">
        <v>60</v>
      </c>
      <c r="AY6" s="38" t="s">
        <v>44</v>
      </c>
      <c r="AZ6" s="38" t="s">
        <v>14</v>
      </c>
      <c r="BA6" s="38" t="s">
        <v>15</v>
      </c>
      <c r="BB6" s="38" t="s">
        <v>45</v>
      </c>
      <c r="BC6" s="38" t="s">
        <v>18</v>
      </c>
      <c r="BD6" s="38" t="s">
        <v>16</v>
      </c>
      <c r="BE6" s="38" t="s">
        <v>17</v>
      </c>
      <c r="BF6" s="38" t="s">
        <v>19</v>
      </c>
      <c r="BG6" s="38" t="s">
        <v>46</v>
      </c>
      <c r="BH6" s="38" t="s">
        <v>20</v>
      </c>
      <c r="BI6" s="38" t="s">
        <v>21</v>
      </c>
      <c r="BJ6" s="38" t="s">
        <v>22</v>
      </c>
      <c r="BK6" s="38" t="s">
        <v>23</v>
      </c>
      <c r="BL6" s="38" t="s">
        <v>24</v>
      </c>
      <c r="BM6" s="38" t="s">
        <v>25</v>
      </c>
      <c r="BN6" s="38" t="s">
        <v>26</v>
      </c>
      <c r="BO6" s="38" t="s">
        <v>27</v>
      </c>
      <c r="BP6" s="38" t="s">
        <v>28</v>
      </c>
      <c r="BQ6" s="38" t="s">
        <v>29</v>
      </c>
      <c r="BR6" s="38" t="s">
        <v>30</v>
      </c>
      <c r="BS6" s="38" t="s">
        <v>31</v>
      </c>
      <c r="BT6" s="38" t="s">
        <v>32</v>
      </c>
      <c r="BU6" s="38" t="s">
        <v>33</v>
      </c>
      <c r="BV6" s="38" t="s">
        <v>34</v>
      </c>
      <c r="BW6" s="38" t="s">
        <v>35</v>
      </c>
      <c r="BX6" s="38" t="s">
        <v>36</v>
      </c>
      <c r="BY6" s="38" t="s">
        <v>37</v>
      </c>
      <c r="BZ6" s="38" t="s">
        <v>38</v>
      </c>
      <c r="CA6" s="38" t="s">
        <v>39</v>
      </c>
      <c r="CB6" s="38" t="s">
        <v>40</v>
      </c>
      <c r="CC6" s="38" t="s">
        <v>41</v>
      </c>
      <c r="CD6" s="38" t="s">
        <v>42</v>
      </c>
      <c r="CE6" s="39" t="s">
        <v>61</v>
      </c>
    </row>
    <row r="7" spans="1:112" ht="15.75" thickBot="1" x14ac:dyDescent="0.3">
      <c r="A7" s="38"/>
      <c r="B7" s="40"/>
      <c r="C7" s="40"/>
      <c r="D7" s="41"/>
      <c r="E7" s="41"/>
      <c r="F7" s="42"/>
      <c r="G7" s="42"/>
      <c r="H7" s="42"/>
      <c r="I7" s="42"/>
      <c r="J7" s="43"/>
      <c r="K7" s="42"/>
      <c r="L7" s="43"/>
      <c r="M7" s="44"/>
      <c r="N7" s="42"/>
      <c r="O7" s="42"/>
      <c r="P7" s="44"/>
      <c r="Q7" s="42"/>
      <c r="R7" s="42"/>
      <c r="S7" s="42"/>
      <c r="T7" s="42"/>
      <c r="U7" s="44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5"/>
      <c r="AU7" s="32"/>
      <c r="AV7" s="67"/>
      <c r="AX7" s="35"/>
      <c r="AY7" s="44">
        <f t="shared" ref="AY7:AY23" si="0">SUM(AZ7:BA7)</f>
        <v>0</v>
      </c>
      <c r="AZ7" s="44"/>
      <c r="BA7" s="44"/>
      <c r="BB7" s="44">
        <f t="shared" ref="BB7:BB23" si="1">SUM(BC7:BF7)</f>
        <v>0</v>
      </c>
      <c r="BC7" s="44"/>
      <c r="BD7" s="44"/>
      <c r="BE7" s="44"/>
      <c r="BF7" s="44"/>
      <c r="BG7" s="44">
        <f t="shared" ref="BG7:BG23" si="2">SUM(BH7:CC7)</f>
        <v>0</v>
      </c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32" t="e">
        <f>VLOOKUP(Tableau317[[#This Row],[NumSym]],Tableau_Lancer_la_requête_à_partir_de_Excel_Files316[[ID_Synergie]:[Avis Prog]],44)</f>
        <v>#N/A</v>
      </c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</row>
    <row r="8" spans="1:112" ht="15.75" thickTop="1" x14ac:dyDescent="0.25">
      <c r="A8" s="41" t="s">
        <v>8</v>
      </c>
      <c r="B8" s="41"/>
      <c r="C8" s="41">
        <f>SUBTOTAL(103,Tableau_Lancer_la_requête_à_partir_de_Excel_Files316[ID_Synergie])</f>
        <v>0</v>
      </c>
      <c r="D8" s="41"/>
      <c r="E8" s="41"/>
      <c r="F8" s="42">
        <f>SUBTOTAL(109,Tableau_Lancer_la_requête_à_partir_de_Excel_Files316[Coût total déposé])</f>
        <v>0</v>
      </c>
      <c r="G8" s="42"/>
      <c r="H8" s="42">
        <f>SUBTOTAL(109,Tableau_Lancer_la_requête_à_partir_de_Excel_Files316[Coût total])</f>
        <v>0</v>
      </c>
      <c r="I8" s="42">
        <f>SUBTOTAL(109,Tableau_Lancer_la_requête_à_partir_de_Excel_Files316[Aide Publique Obtenue])</f>
        <v>0</v>
      </c>
      <c r="J8" s="42"/>
      <c r="K8" s="42">
        <f>SUBTOTAL(109,Tableau_Lancer_la_requête_à_partir_de_Excel_Files316[Aide Massif Obtenu])</f>
        <v>0</v>
      </c>
      <c r="L8" s="41"/>
      <c r="M8" s="42">
        <f>SUBTOTAL(109,Tableau_Lancer_la_requête_à_partir_de_Excel_Files316[Etat])</f>
        <v>0</v>
      </c>
      <c r="N8" s="42"/>
      <c r="O8" s="42"/>
      <c r="P8" s="42">
        <f>SUBTOTAL(109,Tableau_Lancer_la_requête_à_partir_de_Excel_Files316[Régions])</f>
        <v>0</v>
      </c>
      <c r="Q8" s="42"/>
      <c r="R8" s="42"/>
      <c r="S8" s="42"/>
      <c r="T8" s="42"/>
      <c r="U8" s="42">
        <f>SUBTOTAL(109,Tableau_Lancer_la_requête_à_partir_de_Excel_Files316[Départements])</f>
        <v>0</v>
      </c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>
        <f>SUBTOTAL(109,Tableau_Lancer_la_requête_à_partir_de_Excel_Files316[''FEDER''])</f>
        <v>0</v>
      </c>
      <c r="AS8" s="42"/>
      <c r="AT8" s="41"/>
      <c r="AU8" s="32"/>
      <c r="AV8" s="66"/>
      <c r="AX8" s="35"/>
      <c r="AY8" s="44">
        <f t="shared" si="0"/>
        <v>0</v>
      </c>
      <c r="AZ8" s="44"/>
      <c r="BA8" s="44"/>
      <c r="BB8" s="44">
        <f t="shared" si="1"/>
        <v>0</v>
      </c>
      <c r="BC8" s="44"/>
      <c r="BD8" s="44"/>
      <c r="BE8" s="44"/>
      <c r="BF8" s="44"/>
      <c r="BG8" s="44">
        <f t="shared" si="2"/>
        <v>0</v>
      </c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32" t="e">
        <f>VLOOKUP(Tableau317[[#This Row],[NumSym]],Tableau_Lancer_la_requête_à_partir_de_Excel_Files316[[ID_Synergie]:[Avis Prog]],44)</f>
        <v>#N/A</v>
      </c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</row>
    <row r="9" spans="1:112" x14ac:dyDescent="0.25">
      <c r="AU9" s="32"/>
      <c r="AX9" s="35"/>
      <c r="AY9" s="44">
        <f t="shared" si="0"/>
        <v>0</v>
      </c>
      <c r="AZ9" s="44"/>
      <c r="BA9" s="44"/>
      <c r="BB9" s="44">
        <f t="shared" si="1"/>
        <v>0</v>
      </c>
      <c r="BC9" s="44"/>
      <c r="BD9" s="44"/>
      <c r="BE9" s="44"/>
      <c r="BF9" s="44"/>
      <c r="BG9" s="44">
        <f t="shared" si="2"/>
        <v>0</v>
      </c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32" t="e">
        <f>VLOOKUP(Tableau317[[#This Row],[NumSym]],Tableau_Lancer_la_requête_à_partir_de_Excel_Files316[[ID_Synergie]:[Avis Prog]],44)</f>
        <v>#N/A</v>
      </c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</row>
    <row r="10" spans="1:112" x14ac:dyDescent="0.25">
      <c r="AU10" s="32"/>
      <c r="AX10" s="35"/>
      <c r="AY10" s="44">
        <f t="shared" si="0"/>
        <v>0</v>
      </c>
      <c r="AZ10" s="44"/>
      <c r="BA10" s="44"/>
      <c r="BB10" s="44">
        <f t="shared" si="1"/>
        <v>0</v>
      </c>
      <c r="BC10" s="44"/>
      <c r="BD10" s="44"/>
      <c r="BE10" s="44"/>
      <c r="BF10" s="44"/>
      <c r="BG10" s="44">
        <f t="shared" si="2"/>
        <v>0</v>
      </c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32" t="e">
        <f>VLOOKUP(Tableau317[[#This Row],[NumSym]],Tableau_Lancer_la_requête_à_partir_de_Excel_Files316[[ID_Synergie]:[Avis Prog]],44)</f>
        <v>#N/A</v>
      </c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</row>
    <row r="11" spans="1:112" x14ac:dyDescent="0.25">
      <c r="AU11" s="32"/>
      <c r="AX11" s="35"/>
      <c r="AY11" s="44">
        <f t="shared" si="0"/>
        <v>0</v>
      </c>
      <c r="AZ11" s="44"/>
      <c r="BA11" s="44"/>
      <c r="BB11" s="44">
        <f t="shared" si="1"/>
        <v>0</v>
      </c>
      <c r="BC11" s="44"/>
      <c r="BD11" s="44"/>
      <c r="BE11" s="44"/>
      <c r="BF11" s="44"/>
      <c r="BG11" s="44">
        <f t="shared" si="2"/>
        <v>0</v>
      </c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32" t="e">
        <f>VLOOKUP(Tableau317[[#This Row],[NumSym]],Tableau_Lancer_la_requête_à_partir_de_Excel_Files316[[ID_Synergie]:[Avis Prog]],44)</f>
        <v>#N/A</v>
      </c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</row>
    <row r="12" spans="1:112" x14ac:dyDescent="0.25">
      <c r="AU12" s="32"/>
      <c r="AX12" s="35"/>
      <c r="AY12" s="44">
        <f t="shared" si="0"/>
        <v>0</v>
      </c>
      <c r="AZ12" s="44"/>
      <c r="BA12" s="44"/>
      <c r="BB12" s="44">
        <f t="shared" si="1"/>
        <v>0</v>
      </c>
      <c r="BC12" s="44"/>
      <c r="BD12" s="44"/>
      <c r="BE12" s="44"/>
      <c r="BF12" s="44"/>
      <c r="BG12" s="44">
        <f t="shared" si="2"/>
        <v>0</v>
      </c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32" t="e">
        <f>VLOOKUP(Tableau317[[#This Row],[NumSym]],Tableau_Lancer_la_requête_à_partir_de_Excel_Files316[[ID_Synergie]:[Avis Prog]],44)</f>
        <v>#N/A</v>
      </c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</row>
    <row r="13" spans="1:112" x14ac:dyDescent="0.25">
      <c r="AU13" s="32"/>
      <c r="AX13" s="35"/>
      <c r="AY13" s="44">
        <f t="shared" si="0"/>
        <v>0</v>
      </c>
      <c r="AZ13" s="44"/>
      <c r="BA13" s="44"/>
      <c r="BB13" s="44">
        <f t="shared" si="1"/>
        <v>0</v>
      </c>
      <c r="BC13" s="44"/>
      <c r="BD13" s="44"/>
      <c r="BE13" s="44"/>
      <c r="BF13" s="44"/>
      <c r="BG13" s="44">
        <f t="shared" si="2"/>
        <v>0</v>
      </c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32" t="e">
        <f>VLOOKUP(Tableau317[[#This Row],[NumSym]],Tableau_Lancer_la_requête_à_partir_de_Excel_Files316[[ID_Synergie]:[Avis Prog]],44)</f>
        <v>#N/A</v>
      </c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</row>
    <row r="14" spans="1:112" x14ac:dyDescent="0.25">
      <c r="AU14" s="32"/>
      <c r="AX14" s="35"/>
      <c r="AY14" s="44"/>
      <c r="AZ14" s="42"/>
      <c r="BA14" s="42"/>
      <c r="BB14" s="44"/>
      <c r="BC14" s="42"/>
      <c r="BD14" s="42"/>
      <c r="BE14" s="42"/>
      <c r="BF14" s="42"/>
      <c r="BG14" s="44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</row>
    <row r="15" spans="1:112" x14ac:dyDescent="0.25">
      <c r="AX15" s="44"/>
      <c r="AY15" s="44">
        <f t="shared" si="0"/>
        <v>0</v>
      </c>
      <c r="BA15" s="44"/>
      <c r="BB15" s="44">
        <f t="shared" si="1"/>
        <v>0</v>
      </c>
      <c r="BF15" s="44"/>
      <c r="BG15" s="44">
        <f t="shared" si="2"/>
        <v>0</v>
      </c>
      <c r="CE15" s="32" t="e">
        <f>VLOOKUP(Tableau317[[#This Row],[NumSym]],Tableau_Lancer_la_requête_à_partir_de_Excel_Files316[[ID_Synergie]:[Avis Prog]],44)</f>
        <v>#N/A</v>
      </c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</row>
    <row r="16" spans="1:112" x14ac:dyDescent="0.25">
      <c r="AX16" s="44"/>
      <c r="AY16" s="44">
        <f t="shared" si="0"/>
        <v>0</v>
      </c>
      <c r="BA16" s="44"/>
      <c r="BB16" s="44">
        <f t="shared" si="1"/>
        <v>0</v>
      </c>
      <c r="BF16" s="44"/>
      <c r="BG16" s="44">
        <f t="shared" si="2"/>
        <v>0</v>
      </c>
      <c r="CE16" s="32" t="e">
        <f>VLOOKUP(Tableau317[[#This Row],[NumSym]],Tableau_Lancer_la_requête_à_partir_de_Excel_Files316[[ID_Synergie]:[Avis Prog]],44)</f>
        <v>#N/A</v>
      </c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</row>
    <row r="17" spans="50:112" x14ac:dyDescent="0.25">
      <c r="AX17" s="44"/>
      <c r="AY17" s="44">
        <f t="shared" si="0"/>
        <v>0</v>
      </c>
      <c r="BA17" s="44"/>
      <c r="BB17" s="44">
        <f t="shared" si="1"/>
        <v>0</v>
      </c>
      <c r="BF17" s="44"/>
      <c r="BG17" s="44">
        <f t="shared" si="2"/>
        <v>0</v>
      </c>
      <c r="CE17" s="32" t="e">
        <f>VLOOKUP(Tableau317[[#This Row],[NumSym]],Tableau_Lancer_la_requête_à_partir_de_Excel_Files316[[ID_Synergie]:[Avis Prog]],44)</f>
        <v>#N/A</v>
      </c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</row>
    <row r="18" spans="50:112" x14ac:dyDescent="0.25">
      <c r="AX18" s="44"/>
      <c r="AY18" s="44">
        <f t="shared" si="0"/>
        <v>0</v>
      </c>
      <c r="BA18" s="44"/>
      <c r="BB18" s="44">
        <f t="shared" si="1"/>
        <v>0</v>
      </c>
      <c r="BF18" s="44"/>
      <c r="BG18" s="44">
        <f t="shared" si="2"/>
        <v>0</v>
      </c>
      <c r="CE18" s="32" t="e">
        <f>VLOOKUP(Tableau317[[#This Row],[NumSym]],Tableau_Lancer_la_requête_à_partir_de_Excel_Files316[[ID_Synergie]:[Avis Prog]],44)</f>
        <v>#N/A</v>
      </c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</row>
    <row r="19" spans="50:112" x14ac:dyDescent="0.25">
      <c r="AX19" s="44"/>
      <c r="AY19" s="44">
        <f t="shared" si="0"/>
        <v>0</v>
      </c>
      <c r="BA19" s="44"/>
      <c r="BB19" s="44">
        <f t="shared" si="1"/>
        <v>0</v>
      </c>
      <c r="BF19" s="44"/>
      <c r="BG19" s="44">
        <f t="shared" si="2"/>
        <v>0</v>
      </c>
      <c r="CE19" s="32" t="e">
        <f>VLOOKUP(Tableau317[[#This Row],[NumSym]],Tableau_Lancer_la_requête_à_partir_de_Excel_Files316[[ID_Synergie]:[Avis Prog]],44)</f>
        <v>#N/A</v>
      </c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</row>
    <row r="20" spans="50:112" x14ac:dyDescent="0.25">
      <c r="AX20" s="44"/>
      <c r="AY20" s="44">
        <f t="shared" si="0"/>
        <v>0</v>
      </c>
      <c r="BA20" s="44"/>
      <c r="BB20" s="44">
        <f t="shared" si="1"/>
        <v>0</v>
      </c>
      <c r="BF20" s="44"/>
      <c r="BG20" s="44">
        <f t="shared" si="2"/>
        <v>0</v>
      </c>
      <c r="CE20" s="32" t="e">
        <f>VLOOKUP(Tableau317[[#This Row],[NumSym]],Tableau_Lancer_la_requête_à_partir_de_Excel_Files316[[ID_Synergie]:[Avis Prog]],44)</f>
        <v>#N/A</v>
      </c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</row>
    <row r="21" spans="50:112" x14ac:dyDescent="0.25">
      <c r="AX21" s="44"/>
      <c r="AY21" s="44">
        <f t="shared" si="0"/>
        <v>0</v>
      </c>
      <c r="BA21" s="44"/>
      <c r="BB21" s="44">
        <f t="shared" si="1"/>
        <v>0</v>
      </c>
      <c r="BF21" s="44"/>
      <c r="BG21" s="44">
        <f t="shared" si="2"/>
        <v>0</v>
      </c>
      <c r="CE21" s="32" t="e">
        <f>VLOOKUP(Tableau317[[#This Row],[NumSym]],Tableau_Lancer_la_requête_à_partir_de_Excel_Files316[[ID_Synergie]:[Avis Prog]],44)</f>
        <v>#N/A</v>
      </c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</row>
    <row r="22" spans="50:112" x14ac:dyDescent="0.25">
      <c r="AX22" s="44"/>
      <c r="AY22" s="44">
        <f t="shared" si="0"/>
        <v>0</v>
      </c>
      <c r="BA22" s="44"/>
      <c r="BB22" s="44">
        <f t="shared" si="1"/>
        <v>0</v>
      </c>
      <c r="BF22" s="44"/>
      <c r="BG22" s="44">
        <f t="shared" si="2"/>
        <v>0</v>
      </c>
      <c r="CE22" s="32" t="e">
        <f>VLOOKUP(Tableau317[[#This Row],[NumSym]],Tableau_Lancer_la_requête_à_partir_de_Excel_Files316[[ID_Synergie]:[Avis Prog]],44)</f>
        <v>#N/A</v>
      </c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</row>
    <row r="23" spans="50:112" x14ac:dyDescent="0.25">
      <c r="AX23" s="44"/>
      <c r="AY23" s="44">
        <f t="shared" si="0"/>
        <v>0</v>
      </c>
      <c r="BA23" s="44"/>
      <c r="BB23" s="44">
        <f t="shared" si="1"/>
        <v>0</v>
      </c>
      <c r="BF23" s="44"/>
      <c r="BG23" s="44">
        <f t="shared" si="2"/>
        <v>0</v>
      </c>
      <c r="CE23" s="32" t="e">
        <f>VLOOKUP(Tableau317[[#This Row],[NumSym]],Tableau_Lancer_la_requête_à_partir_de_Excel_Files316[[ID_Synergie]:[Avis Prog]],44)</f>
        <v>#N/A</v>
      </c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</row>
    <row r="24" spans="50:112" x14ac:dyDescent="0.25">
      <c r="AX24" s="46" t="s">
        <v>8</v>
      </c>
      <c r="AY24" s="44">
        <f>SUBTOTAL(109,Tableau317[Etat])</f>
        <v>0</v>
      </c>
      <c r="AZ24" s="44">
        <f>SUBTOTAL(109,Tableau317[''FNADT''])</f>
        <v>0</v>
      </c>
      <c r="BA24" s="44">
        <f>SUBTOTAL(109,Tableau317[''Agriculture''])</f>
        <v>0</v>
      </c>
      <c r="BB24" s="44">
        <f>SUBTOTAL(109,Tableau317[Régions])</f>
        <v>0</v>
      </c>
      <c r="BC24" s="44">
        <f>SUBTOTAL(109,Tableau317[''ALPC''])</f>
        <v>0</v>
      </c>
      <c r="BD24" s="44">
        <f>SUBTOTAL(109,Tableau317[''AURA''])</f>
        <v>0</v>
      </c>
      <c r="BE24" s="44">
        <f>SUBTOTAL(109,Tableau317[''BFC''])</f>
        <v>0</v>
      </c>
      <c r="BF24" s="44">
        <f>SUBTOTAL(109,Tableau317[''LRMP''])</f>
        <v>0</v>
      </c>
      <c r="BG24" s="44">
        <f>SUBTOTAL(109,Tableau317[Départements])</f>
        <v>0</v>
      </c>
      <c r="BH24" s="44">
        <f>SUBTOTAL(109,Tableau317[''03''])</f>
        <v>0</v>
      </c>
      <c r="BI24" s="44">
        <f>SUBTOTAL(109,Tableau317[''07''])</f>
        <v>0</v>
      </c>
      <c r="BJ24" s="44">
        <f>SUBTOTAL(109,Tableau317[''11''])</f>
        <v>0</v>
      </c>
      <c r="BK24" s="44">
        <f>SUBTOTAL(109,Tableau317[''12''])</f>
        <v>0</v>
      </c>
      <c r="BL24" s="44">
        <f>SUBTOTAL(109,Tableau317[''15''])</f>
        <v>0</v>
      </c>
      <c r="BM24" s="44">
        <f>SUBTOTAL(109,Tableau317[''19''])</f>
        <v>0</v>
      </c>
      <c r="BN24" s="44">
        <f>SUBTOTAL(109,Tableau317[''21''])</f>
        <v>0</v>
      </c>
      <c r="BO24" s="44">
        <f>SUBTOTAL(109,Tableau317[''23''])</f>
        <v>0</v>
      </c>
      <c r="BP24" s="44">
        <f>SUBTOTAL(109,Tableau317[''30''])</f>
        <v>0</v>
      </c>
      <c r="BQ24" s="44">
        <f>SUBTOTAL(109,Tableau317[''34''])</f>
        <v>0</v>
      </c>
      <c r="BR24" s="44">
        <f>SUBTOTAL(109,Tableau317[''42''])</f>
        <v>0</v>
      </c>
      <c r="BS24" s="44">
        <f>SUBTOTAL(109,Tableau317[''43''])</f>
        <v>0</v>
      </c>
      <c r="BT24" s="44">
        <f>SUBTOTAL(109,Tableau317[''46''])</f>
        <v>0</v>
      </c>
      <c r="BU24" s="44">
        <f>SUBTOTAL(109,Tableau317[''48''])</f>
        <v>0</v>
      </c>
      <c r="BV24" s="44">
        <f>SUBTOTAL(109,Tableau317[''58''])</f>
        <v>0</v>
      </c>
      <c r="BW24" s="44">
        <f>SUBTOTAL(109,Tableau317[''63''])</f>
        <v>0</v>
      </c>
      <c r="BX24" s="44">
        <f>SUBTOTAL(109,Tableau317[''69''])</f>
        <v>0</v>
      </c>
      <c r="BY24" s="44">
        <f>SUBTOTAL(109,Tableau317[''71''])</f>
        <v>0</v>
      </c>
      <c r="BZ24" s="44">
        <f>SUBTOTAL(109,Tableau317[''81''])</f>
        <v>0</v>
      </c>
      <c r="CA24" s="44">
        <f>SUBTOTAL(109,Tableau317[''82''])</f>
        <v>0</v>
      </c>
      <c r="CB24" s="44">
        <f>SUBTOTAL(109,Tableau317[''87''])</f>
        <v>0</v>
      </c>
      <c r="CC24" s="44">
        <f>SUBTOTAL(109,Tableau317[''89''])</f>
        <v>0</v>
      </c>
      <c r="CD24" s="44">
        <f>SUBTOTAL(109,Tableau317[''FEDER''])</f>
        <v>0</v>
      </c>
      <c r="CE24" s="32">
        <f>SUBTOTAL(103,Tableau317[Avis])</f>
        <v>16</v>
      </c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</row>
    <row r="25" spans="50:112" x14ac:dyDescent="0.25"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</row>
    <row r="26" spans="50:112" x14ac:dyDescent="0.25"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</row>
    <row r="27" spans="50:112" x14ac:dyDescent="0.25"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</row>
    <row r="28" spans="50:112" x14ac:dyDescent="0.25"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</row>
    <row r="29" spans="50:112" x14ac:dyDescent="0.25"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</row>
    <row r="30" spans="50:112" x14ac:dyDescent="0.25">
      <c r="BB30" s="32" t="s">
        <v>80</v>
      </c>
      <c r="BG30" s="32" t="s">
        <v>79</v>
      </c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</row>
    <row r="31" spans="50:112" x14ac:dyDescent="0.25">
      <c r="AY31" s="35" t="s">
        <v>55</v>
      </c>
      <c r="AZ31" s="47">
        <f>SUMIF(Tableau_Lancer_la_requête_à_partir_de_Excel_Files316[Avis Prog],"1-Favorable",Tableau317[''FEDER''])</f>
        <v>0</v>
      </c>
      <c r="BB31" s="32">
        <f>SUMIF(Tableau317[Avis],"1-Favorable",Tableau317[''FEDER''])</f>
        <v>0</v>
      </c>
      <c r="BG31" s="32">
        <f>SUMIF(Tableau317[Avis],"0",Tableau317[''FEDER''])</f>
        <v>0</v>
      </c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</row>
    <row r="32" spans="50:112" x14ac:dyDescent="0.25">
      <c r="AY32" s="35" t="s">
        <v>44</v>
      </c>
      <c r="AZ32" s="47">
        <f>SUMIF(Tableau_Lancer_la_requête_à_partir_de_Excel_Files316[Avis Prog],"1-Favorable",Tableau317[Etat])</f>
        <v>0</v>
      </c>
      <c r="BB32" s="32">
        <f>SUMIF(Tableau317[Avis],"1-Favorable",Tableau317[Etat])</f>
        <v>0</v>
      </c>
      <c r="BG32" s="32">
        <f>SUMIF(Tableau317[Avis],"0",Tableau317[Etat])</f>
        <v>0</v>
      </c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</row>
    <row r="33" spans="51:112" x14ac:dyDescent="0.25">
      <c r="AY33" s="35" t="s">
        <v>45</v>
      </c>
      <c r="AZ33" s="47">
        <f>SUMIF(Tableau_Lancer_la_requête_à_partir_de_Excel_Files316[Avis Prog],"1-Favorable",Tableau317[Régions])</f>
        <v>0</v>
      </c>
      <c r="BB33" s="32">
        <f>SUMIF(Tableau317[Avis],"1-Favorable",Tableau317[Régions])</f>
        <v>0</v>
      </c>
      <c r="BG33" s="32">
        <f>SUMIF(Tableau317[Avis],"0",Tableau317[Régions])</f>
        <v>0</v>
      </c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</row>
    <row r="34" spans="51:112" x14ac:dyDescent="0.25">
      <c r="AY34" s="47" t="s">
        <v>56</v>
      </c>
      <c r="AZ34" s="47">
        <f>SUMIF(Tableau_Lancer_la_requête_à_partir_de_Excel_Files316[Avis Prog],"1-Favorable",Tableau317[''ALPC''])</f>
        <v>0</v>
      </c>
      <c r="BB34" s="32">
        <f>SUMIF(Tableau317[Avis],"1-Favorable",Tableau317[''ALPC''])</f>
        <v>0</v>
      </c>
      <c r="BG34" s="32">
        <f>SUMIF(Tableau317[Avis],"0",Tableau317[''ALPC''])</f>
        <v>0</v>
      </c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</row>
    <row r="35" spans="51:112" x14ac:dyDescent="0.25">
      <c r="AY35" s="47" t="s">
        <v>57</v>
      </c>
      <c r="AZ35" s="47">
        <f>SUMIF(Tableau_Lancer_la_requête_à_partir_de_Excel_Files316[Avis Prog],"1-Favorable",Tableau317[''AURA''])</f>
        <v>0</v>
      </c>
      <c r="BB35" s="32">
        <f>SUMIF(Tableau317[Avis],"1-Favorable",Tableau317[''AURA''])</f>
        <v>0</v>
      </c>
      <c r="BG35" s="32">
        <f>SUMIF(Tableau317[Avis],"0",Tableau317[''AURA''])</f>
        <v>0</v>
      </c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</row>
    <row r="36" spans="51:112" x14ac:dyDescent="0.25">
      <c r="AY36" s="47" t="s">
        <v>58</v>
      </c>
      <c r="AZ36" s="47">
        <f>SUMIF(Tableau_Lancer_la_requête_à_partir_de_Excel_Files316[Avis Prog],"1-Favorable",Tableau317[''BFC''])</f>
        <v>0</v>
      </c>
      <c r="BB36" s="32">
        <f>SUMIF(Tableau317[Avis],"1-Favorable",Tableau317[''BFC''])</f>
        <v>0</v>
      </c>
      <c r="BG36" s="32">
        <f>SUMIF(Tableau317[Avis],"0",Tableau317[''BFC''])</f>
        <v>0</v>
      </c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</row>
    <row r="37" spans="51:112" x14ac:dyDescent="0.25">
      <c r="AY37" s="47" t="s">
        <v>59</v>
      </c>
      <c r="AZ37" s="47">
        <f>SUMIF(Tableau_Lancer_la_requête_à_partir_de_Excel_Files316[Avis Prog],"1-Favorable",Tableau317[''LRMP''])</f>
        <v>0</v>
      </c>
      <c r="BB37" s="32">
        <f>SUMIF(Tableau317[Avis],"1-Favorable",Tableau317[''LRMP''])</f>
        <v>0</v>
      </c>
      <c r="BG37" s="32">
        <f>SUMIF(Tableau317[Avis],"0",Tableau317[''LRMP''])</f>
        <v>0</v>
      </c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</row>
    <row r="38" spans="51:112" x14ac:dyDescent="0.25">
      <c r="AY38" s="35" t="s">
        <v>46</v>
      </c>
      <c r="AZ38" s="47">
        <f>SUMIF(Tableau_Lancer_la_requête_à_partir_de_Excel_Files316[Avis Prog],"1-Favorable",Tableau317[Départements])</f>
        <v>0</v>
      </c>
      <c r="BB38" s="32">
        <f>SUMIF(Tableau317[Avis],"1-Favorable",Tableau317[Départements])</f>
        <v>0</v>
      </c>
      <c r="BG38" s="32">
        <f>SUMIF(Tableau317[Avis],"0",Tableau317[Départements])</f>
        <v>0</v>
      </c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</row>
    <row r="39" spans="51:112" x14ac:dyDescent="0.25">
      <c r="AY39" s="35" t="s">
        <v>20</v>
      </c>
      <c r="AZ39" s="47">
        <f>SUMIF(Tableau_Lancer_la_requête_à_partir_de_Excel_Files316[Avis Prog],"1-Favorable",Tableau317[''03''])</f>
        <v>0</v>
      </c>
      <c r="BB39" s="32">
        <f>SUMIF(Tableau317[Avis],"1-Favorable",Tableau317[''03''])</f>
        <v>0</v>
      </c>
      <c r="BG39" s="32">
        <f>SUMIF(Tableau317[Avis],"0",Tableau317[''03''])</f>
        <v>0</v>
      </c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</row>
    <row r="40" spans="51:112" x14ac:dyDescent="0.25">
      <c r="AY40" s="35" t="s">
        <v>22</v>
      </c>
      <c r="AZ40" s="47">
        <f>SUMIF(Tableau_Lancer_la_requête_à_partir_de_Excel_Files316[Avis Prog],"1-Favorable",Tableau317[''11''])</f>
        <v>0</v>
      </c>
      <c r="BB40" s="32">
        <f>SUMIF(Tableau317[Avis],"1-Favorable",Tableau317[''11''])</f>
        <v>0</v>
      </c>
      <c r="BG40" s="32">
        <f>SUMIF(Tableau317[Avis],"0",Tableau317[''11''])</f>
        <v>0</v>
      </c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</row>
    <row r="41" spans="51:112" x14ac:dyDescent="0.25">
      <c r="AY41" s="35" t="s">
        <v>23</v>
      </c>
      <c r="AZ41" s="47">
        <f>SUMIF(Tableau_Lancer_la_requête_à_partir_de_Excel_Files316[Avis Prog],"1-Favorable",Tableau317[''12''])</f>
        <v>0</v>
      </c>
      <c r="BB41" s="32">
        <f>SUMIF(Tableau317[Avis],"1-Favorable",Tableau317[''12''])</f>
        <v>0</v>
      </c>
      <c r="BG41" s="32">
        <f>SUMIF(Tableau317[Avis],"0",Tableau317[''12''])</f>
        <v>0</v>
      </c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</row>
    <row r="42" spans="51:112" x14ac:dyDescent="0.25">
      <c r="AY42" s="35" t="s">
        <v>24</v>
      </c>
      <c r="AZ42" s="47">
        <f>SUMIF(Tableau_Lancer_la_requête_à_partir_de_Excel_Files316[Avis Prog],"1-Favorable",Tableau317[''15''])</f>
        <v>0</v>
      </c>
      <c r="BB42" s="32">
        <f>SUMIF(Tableau317[Avis],"1-Favorable",Tableau317[''15''])</f>
        <v>0</v>
      </c>
      <c r="BG42" s="32">
        <f>SUMIF(Tableau317[Avis],"0",Tableau317[''15''])</f>
        <v>0</v>
      </c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</row>
    <row r="43" spans="51:112" x14ac:dyDescent="0.25">
      <c r="AY43" s="35" t="s">
        <v>25</v>
      </c>
      <c r="AZ43" s="47">
        <f>SUMIF(Tableau_Lancer_la_requête_à_partir_de_Excel_Files316[Avis Prog],"1-Favorable",Tableau317[''19''])</f>
        <v>0</v>
      </c>
      <c r="BB43" s="32">
        <f>SUMIF(Tableau317[Avis],"1-Favorable",Tableau317[''19''])</f>
        <v>0</v>
      </c>
      <c r="BG43" s="32">
        <f>SUMIF(Tableau317[Avis],"0",Tableau317[''19''])</f>
        <v>0</v>
      </c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</row>
    <row r="44" spans="51:112" x14ac:dyDescent="0.25">
      <c r="AY44" s="35" t="s">
        <v>26</v>
      </c>
      <c r="AZ44" s="47">
        <f>SUMIF(Tableau_Lancer_la_requête_à_partir_de_Excel_Files316[Avis Prog],"1-Favorable",Tableau317[''21''])</f>
        <v>0</v>
      </c>
      <c r="BB44" s="32">
        <f>SUMIF(Tableau317[Avis],"1-Favorable",Tableau317[''21''])</f>
        <v>0</v>
      </c>
      <c r="BG44" s="32">
        <f>SUMIF(Tableau317[Avis],"0",Tableau317[''21''])</f>
        <v>0</v>
      </c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</row>
    <row r="45" spans="51:112" x14ac:dyDescent="0.25">
      <c r="AY45" s="35" t="s">
        <v>27</v>
      </c>
      <c r="AZ45" s="47">
        <f>SUMIF(Tableau_Lancer_la_requête_à_partir_de_Excel_Files316[Avis Prog],"1-Favorable",Tableau317[''23''])</f>
        <v>0</v>
      </c>
      <c r="BB45" s="32">
        <f>SUMIF(Tableau317[Avis],"1-Favorable",Tableau317[''23''])</f>
        <v>0</v>
      </c>
      <c r="BG45" s="32">
        <f>SUMIF(Tableau317[Avis],"0",Tableau317[''23''])</f>
        <v>0</v>
      </c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</row>
    <row r="46" spans="51:112" x14ac:dyDescent="0.25">
      <c r="AY46" s="35" t="s">
        <v>28</v>
      </c>
      <c r="AZ46" s="47">
        <f>SUMIF(Tableau_Lancer_la_requête_à_partir_de_Excel_Files316[Avis Prog],"1-Favorable",Tableau317[''30''])</f>
        <v>0</v>
      </c>
      <c r="BB46" s="32">
        <f>SUMIF(Tableau317[Avis],"1-Favorable",Tableau317[''30''])</f>
        <v>0</v>
      </c>
      <c r="BG46" s="32">
        <f>SUMIF(Tableau317[Avis],"0",Tableau317[''30''])</f>
        <v>0</v>
      </c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</row>
    <row r="47" spans="51:112" x14ac:dyDescent="0.25">
      <c r="AY47" s="35" t="s">
        <v>29</v>
      </c>
      <c r="AZ47" s="47">
        <f>SUMIF(Tableau_Lancer_la_requête_à_partir_de_Excel_Files316[Avis Prog],"1-Favorable",Tableau317[''34''])</f>
        <v>0</v>
      </c>
      <c r="BB47" s="32">
        <f>SUMIF(Tableau317[Avis],"1-Favorable",Tableau317[''34''])</f>
        <v>0</v>
      </c>
      <c r="BG47" s="32">
        <f>SUMIF(Tableau317[Avis],"0",Tableau317[''34''])</f>
        <v>0</v>
      </c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</row>
    <row r="48" spans="51:112" x14ac:dyDescent="0.25">
      <c r="AY48" s="35" t="s">
        <v>30</v>
      </c>
      <c r="AZ48" s="47">
        <f>SUMIF(Tableau_Lancer_la_requête_à_partir_de_Excel_Files316[Avis Prog],"1-Favorable",Tableau317[''42''])</f>
        <v>0</v>
      </c>
      <c r="BB48" s="32">
        <f>SUMIF(Tableau317[Avis],"1-Favorable",Tableau317[''42''])</f>
        <v>0</v>
      </c>
      <c r="BG48" s="32">
        <f>SUMIF(Tableau317[Avis],"0",Tableau317[''42''])</f>
        <v>0</v>
      </c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</row>
    <row r="49" spans="51:112" x14ac:dyDescent="0.25">
      <c r="AY49" s="35" t="s">
        <v>31</v>
      </c>
      <c r="AZ49" s="47">
        <f>SUMIF(Tableau_Lancer_la_requête_à_partir_de_Excel_Files316[Avis Prog],"1-Favorable",Tableau317[''43''])</f>
        <v>0</v>
      </c>
      <c r="BB49" s="32">
        <f>SUMIF(Tableau317[Avis],"1-Favorable",Tableau317[''43''])</f>
        <v>0</v>
      </c>
      <c r="BG49" s="32">
        <f>SUMIF(Tableau317[Avis],"0",Tableau317[''43''])</f>
        <v>0</v>
      </c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</row>
    <row r="50" spans="51:112" x14ac:dyDescent="0.25">
      <c r="AY50" s="35" t="s">
        <v>32</v>
      </c>
      <c r="AZ50" s="47">
        <f>SUMIF(Tableau_Lancer_la_requête_à_partir_de_Excel_Files316[Avis Prog],"1-Favorable",Tableau317[''46''])</f>
        <v>0</v>
      </c>
      <c r="BB50" s="32">
        <f>SUMIF(Tableau317[Avis],"1-Favorable",Tableau317[''46''])</f>
        <v>0</v>
      </c>
      <c r="BG50" s="32">
        <f>SUMIF(Tableau317[Avis],"0",Tableau317[''46''])</f>
        <v>0</v>
      </c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</row>
    <row r="51" spans="51:112" x14ac:dyDescent="0.25">
      <c r="AY51" s="35" t="s">
        <v>33</v>
      </c>
      <c r="AZ51" s="47">
        <f>SUMIF(Tableau_Lancer_la_requête_à_partir_de_Excel_Files316[Avis Prog],"1-Favorable",Tableau317[''48''])</f>
        <v>0</v>
      </c>
      <c r="BB51" s="32">
        <f>SUMIF(Tableau317[Avis],"1-Favorable",Tableau317[''48''])</f>
        <v>0</v>
      </c>
      <c r="BG51" s="32">
        <f>SUMIF(Tableau317[Avis],"0",Tableau317[''48''])</f>
        <v>0</v>
      </c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</row>
    <row r="52" spans="51:112" x14ac:dyDescent="0.25">
      <c r="AY52" s="35" t="s">
        <v>34</v>
      </c>
      <c r="AZ52" s="47">
        <f>SUMIF(Tableau_Lancer_la_requête_à_partir_de_Excel_Files316[Avis Prog],"1-Favorable",Tableau317[''58''])</f>
        <v>0</v>
      </c>
      <c r="BB52" s="32">
        <f>SUMIF(Tableau317[Avis],"1-Favorable",Tableau317[''58''])</f>
        <v>0</v>
      </c>
      <c r="BG52" s="32">
        <f>SUMIF(Tableau317[Avis],"0",Tableau317[''58''])</f>
        <v>0</v>
      </c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</row>
    <row r="53" spans="51:112" x14ac:dyDescent="0.25">
      <c r="AY53" s="35" t="s">
        <v>35</v>
      </c>
      <c r="AZ53" s="47">
        <f>SUMIF(Tableau_Lancer_la_requête_à_partir_de_Excel_Files316[Avis Prog],"1-Favorable",Tableau317[''63''])</f>
        <v>0</v>
      </c>
      <c r="BB53" s="32">
        <f>SUMIF(Tableau317[Avis],"1-Favorable",Tableau317[''63''])</f>
        <v>0</v>
      </c>
      <c r="BG53" s="32">
        <f>SUMIF(Tableau317[Avis],"0",Tableau317[''63''])</f>
        <v>0</v>
      </c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</row>
    <row r="54" spans="51:112" x14ac:dyDescent="0.25">
      <c r="AY54" s="35" t="s">
        <v>36</v>
      </c>
      <c r="AZ54" s="47">
        <f>SUMIF(Tableau_Lancer_la_requête_à_partir_de_Excel_Files316[Avis Prog],"1-Favorable",Tableau317[''69''])</f>
        <v>0</v>
      </c>
      <c r="BB54" s="32">
        <f>SUMIF(Tableau317[Avis],"1-Favorable",Tableau317[''69''])</f>
        <v>0</v>
      </c>
      <c r="BG54" s="32">
        <f>SUMIF(Tableau317[Avis],"0",Tableau317[''69''])</f>
        <v>0</v>
      </c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</row>
    <row r="55" spans="51:112" x14ac:dyDescent="0.25">
      <c r="AY55" s="35" t="s">
        <v>37</v>
      </c>
      <c r="AZ55" s="47">
        <f>SUMIF(Tableau_Lancer_la_requête_à_partir_de_Excel_Files316[Avis Prog],"1-Favorable",Tableau317[''71''])</f>
        <v>0</v>
      </c>
      <c r="BB55" s="32">
        <f>SUMIF(Tableau317[Avis],"1-Favorable",Tableau317[''71''])</f>
        <v>0</v>
      </c>
      <c r="BG55" s="32">
        <f>SUMIF(Tableau317[Avis],"0",Tableau317[''71''])</f>
        <v>0</v>
      </c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</row>
    <row r="56" spans="51:112" x14ac:dyDescent="0.25">
      <c r="AY56" s="35" t="s">
        <v>38</v>
      </c>
      <c r="AZ56" s="47">
        <f>SUMIF(Tableau_Lancer_la_requête_à_partir_de_Excel_Files316[Avis Prog],"1-Favorable",Tableau317[''81''])</f>
        <v>0</v>
      </c>
      <c r="BB56" s="32">
        <f>SUMIF(Tableau317[Avis],"1-Favorable",Tableau317[''81''])</f>
        <v>0</v>
      </c>
      <c r="BG56" s="32">
        <f>SUMIF(Tableau317[Avis],"0",Tableau317[''81''])</f>
        <v>0</v>
      </c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</row>
    <row r="57" spans="51:112" x14ac:dyDescent="0.25">
      <c r="AY57" s="35" t="s">
        <v>39</v>
      </c>
      <c r="AZ57" s="47">
        <f>SUMIF(Tableau_Lancer_la_requête_à_partir_de_Excel_Files316[Avis Prog],"1-Favorable",Tableau317[''82''])</f>
        <v>0</v>
      </c>
      <c r="BB57" s="32">
        <f>SUMIF(Tableau317[Avis],"1-Favorable",Tableau317[''82''])</f>
        <v>0</v>
      </c>
      <c r="BG57" s="32">
        <f>SUMIF(Tableau317[Avis],"0",Tableau317[''82''])</f>
        <v>0</v>
      </c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</row>
    <row r="58" spans="51:112" x14ac:dyDescent="0.25">
      <c r="AY58" s="35" t="s">
        <v>40</v>
      </c>
      <c r="AZ58" s="47">
        <f>SUMIF(Tableau_Lancer_la_requête_à_partir_de_Excel_Files316[Avis Prog],"1-Favorable",Tableau317[''87''])</f>
        <v>0</v>
      </c>
      <c r="BB58" s="32">
        <f>SUMIF(Tableau317[Avis],"1-Favorable",Tableau317[''87''])</f>
        <v>0</v>
      </c>
      <c r="BG58" s="32">
        <f>SUMIF(Tableau317[Avis],"0",Tableau317[''87''])</f>
        <v>0</v>
      </c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</row>
    <row r="59" spans="51:112" x14ac:dyDescent="0.25">
      <c r="AY59" s="35" t="s">
        <v>41</v>
      </c>
      <c r="AZ59" s="47">
        <f>SUMIF(Tableau_Lancer_la_requête_à_partir_de_Excel_Files316[Avis Prog],"1-Favorable",Tableau317[''89''])</f>
        <v>0</v>
      </c>
      <c r="BB59" s="32">
        <f>SUMIF(Tableau317[Avis],"1-Favorable",Tableau317[''89''])</f>
        <v>0</v>
      </c>
      <c r="BG59" s="32">
        <f>SUMIF(Tableau317[Avis],"0",Tableau317[''89''])</f>
        <v>0</v>
      </c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</row>
    <row r="60" spans="51:112" x14ac:dyDescent="0.25"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</row>
    <row r="61" spans="51:112" x14ac:dyDescent="0.25"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</row>
    <row r="62" spans="51:112" x14ac:dyDescent="0.25"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</row>
    <row r="63" spans="51:112" x14ac:dyDescent="0.25"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</row>
    <row r="64" spans="51:112" x14ac:dyDescent="0.25"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</row>
    <row r="65" spans="84:112" x14ac:dyDescent="0.25"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</row>
    <row r="66" spans="84:112" x14ac:dyDescent="0.25"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</row>
    <row r="67" spans="84:112" x14ac:dyDescent="0.25"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</row>
    <row r="68" spans="84:112" x14ac:dyDescent="0.25"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</row>
    <row r="69" spans="84:112" x14ac:dyDescent="0.25"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</row>
    <row r="70" spans="84:112" x14ac:dyDescent="0.25"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</row>
    <row r="71" spans="84:112" x14ac:dyDescent="0.25"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</row>
    <row r="72" spans="84:112" x14ac:dyDescent="0.25">
      <c r="CF72" s="36"/>
      <c r="CG72" s="36"/>
      <c r="CH72" s="36"/>
      <c r="CI72" s="36"/>
      <c r="CJ72" s="36"/>
      <c r="CK72" s="36"/>
      <c r="CL72" s="36"/>
      <c r="DB72" s="32"/>
      <c r="DC72" s="32"/>
      <c r="DD72" s="32"/>
      <c r="DE72" s="32"/>
      <c r="DF72" s="32"/>
      <c r="DG72" s="32"/>
      <c r="DH72" s="32"/>
    </row>
    <row r="73" spans="84:112" x14ac:dyDescent="0.25">
      <c r="CF73" s="36"/>
      <c r="CG73" s="36"/>
      <c r="CH73" s="36"/>
      <c r="CI73" s="36"/>
      <c r="CJ73" s="36"/>
      <c r="CK73" s="36"/>
      <c r="CL73" s="36"/>
      <c r="DB73" s="32"/>
      <c r="DC73" s="32"/>
      <c r="DD73" s="32"/>
      <c r="DE73" s="32"/>
      <c r="DF73" s="32"/>
      <c r="DG73" s="32"/>
      <c r="DH73" s="32"/>
    </row>
    <row r="74" spans="84:112" x14ac:dyDescent="0.25">
      <c r="CF74" s="36"/>
      <c r="CG74" s="36"/>
      <c r="CH74" s="36"/>
      <c r="CI74" s="36"/>
      <c r="CJ74" s="36"/>
      <c r="CK74" s="36"/>
      <c r="CL74" s="36"/>
      <c r="DB74" s="32"/>
      <c r="DC74" s="32"/>
      <c r="DD74" s="32"/>
      <c r="DE74" s="32"/>
      <c r="DF74" s="32"/>
      <c r="DG74" s="32"/>
      <c r="DH74" s="32"/>
    </row>
    <row r="75" spans="84:112" x14ac:dyDescent="0.25">
      <c r="CF75" s="36"/>
      <c r="CG75" s="36"/>
      <c r="CH75" s="36"/>
      <c r="CI75" s="36"/>
      <c r="CJ75" s="36"/>
      <c r="CK75" s="36"/>
      <c r="CL75" s="36"/>
      <c r="DB75" s="32"/>
      <c r="DC75" s="32"/>
      <c r="DD75" s="32"/>
      <c r="DE75" s="32"/>
      <c r="DF75" s="32"/>
      <c r="DG75" s="32"/>
      <c r="DH75" s="32"/>
    </row>
    <row r="76" spans="84:112" x14ac:dyDescent="0.25">
      <c r="CF76" s="36"/>
      <c r="CG76" s="36"/>
      <c r="CH76" s="36"/>
      <c r="CI76" s="36"/>
      <c r="CJ76" s="36"/>
      <c r="CK76" s="36"/>
      <c r="CL76" s="36"/>
      <c r="DB76" s="32"/>
      <c r="DC76" s="32"/>
      <c r="DD76" s="32"/>
      <c r="DE76" s="32"/>
      <c r="DF76" s="32"/>
      <c r="DG76" s="32"/>
      <c r="DH76" s="32"/>
    </row>
    <row r="77" spans="84:112" x14ac:dyDescent="0.25">
      <c r="CF77" s="36"/>
      <c r="CG77" s="36"/>
      <c r="CH77" s="36"/>
      <c r="CI77" s="36"/>
      <c r="CJ77" s="36"/>
      <c r="CK77" s="36"/>
      <c r="CL77" s="36"/>
      <c r="DB77" s="32"/>
      <c r="DC77" s="32"/>
      <c r="DD77" s="32"/>
      <c r="DE77" s="32"/>
      <c r="DF77" s="32"/>
      <c r="DG77" s="32"/>
      <c r="DH77" s="32"/>
    </row>
    <row r="78" spans="84:112" x14ac:dyDescent="0.25">
      <c r="CF78" s="36"/>
      <c r="CG78" s="36"/>
      <c r="CH78" s="36"/>
      <c r="CI78" s="36"/>
      <c r="CJ78" s="36"/>
      <c r="CK78" s="36"/>
      <c r="CL78" s="36"/>
      <c r="DB78" s="32"/>
      <c r="DC78" s="32"/>
      <c r="DD78" s="32"/>
      <c r="DE78" s="32"/>
      <c r="DF78" s="32"/>
      <c r="DG78" s="32"/>
      <c r="DH78" s="32"/>
    </row>
    <row r="79" spans="84:112" x14ac:dyDescent="0.25">
      <c r="CF79" s="36"/>
      <c r="CG79" s="36"/>
      <c r="CH79" s="36"/>
      <c r="CI79" s="36"/>
      <c r="CJ79" s="36"/>
      <c r="CK79" s="36"/>
      <c r="CL79" s="36"/>
      <c r="DB79" s="32"/>
      <c r="DC79" s="32"/>
      <c r="DD79" s="32"/>
      <c r="DE79" s="32"/>
      <c r="DF79" s="32"/>
      <c r="DG79" s="32"/>
      <c r="DH79" s="32"/>
    </row>
    <row r="80" spans="84:112" x14ac:dyDescent="0.25">
      <c r="CF80" s="36"/>
      <c r="CG80" s="36"/>
      <c r="CH80" s="36"/>
      <c r="CI80" s="36"/>
      <c r="CJ80" s="36"/>
      <c r="CK80" s="36"/>
      <c r="CL80" s="36"/>
      <c r="DB80" s="32"/>
      <c r="DC80" s="32"/>
      <c r="DD80" s="32"/>
      <c r="DE80" s="32"/>
      <c r="DF80" s="32"/>
      <c r="DG80" s="32"/>
      <c r="DH80" s="32"/>
    </row>
    <row r="81" spans="84:112" x14ac:dyDescent="0.25">
      <c r="CF81" s="36"/>
      <c r="CG81" s="36"/>
      <c r="CH81" s="36"/>
      <c r="CI81" s="36"/>
      <c r="CJ81" s="36"/>
      <c r="CK81" s="36"/>
      <c r="CL81" s="36"/>
      <c r="DB81" s="32"/>
      <c r="DC81" s="32"/>
      <c r="DD81" s="32"/>
      <c r="DE81" s="32"/>
      <c r="DF81" s="32"/>
      <c r="DG81" s="32"/>
      <c r="DH81" s="32"/>
    </row>
    <row r="82" spans="84:112" x14ac:dyDescent="0.25">
      <c r="CF82" s="36"/>
      <c r="CG82" s="36"/>
      <c r="CH82" s="36"/>
      <c r="CI82" s="36"/>
      <c r="CJ82" s="36"/>
      <c r="CK82" s="36"/>
      <c r="CL82" s="36"/>
      <c r="DB82" s="32"/>
      <c r="DC82" s="32"/>
      <c r="DD82" s="32"/>
      <c r="DE82" s="32"/>
      <c r="DF82" s="32"/>
      <c r="DG82" s="32"/>
      <c r="DH82" s="32"/>
    </row>
    <row r="83" spans="84:112" x14ac:dyDescent="0.25">
      <c r="CF83" s="36"/>
      <c r="CG83" s="36"/>
      <c r="CH83" s="36"/>
      <c r="CI83" s="36"/>
      <c r="CJ83" s="36"/>
      <c r="CK83" s="36"/>
      <c r="CL83" s="36"/>
      <c r="DB83" s="32"/>
      <c r="DC83" s="32"/>
      <c r="DD83" s="32"/>
      <c r="DE83" s="32"/>
      <c r="DF83" s="32"/>
      <c r="DG83" s="32"/>
      <c r="DH83" s="32"/>
    </row>
    <row r="84" spans="84:112" x14ac:dyDescent="0.25">
      <c r="CF84" s="36"/>
      <c r="CG84" s="36"/>
      <c r="CH84" s="36"/>
      <c r="CI84" s="36"/>
      <c r="CJ84" s="36"/>
      <c r="CK84" s="36"/>
      <c r="CL84" s="36"/>
      <c r="DB84" s="32"/>
      <c r="DC84" s="32"/>
      <c r="DD84" s="32"/>
      <c r="DE84" s="32"/>
      <c r="DF84" s="32"/>
      <c r="DG84" s="32"/>
      <c r="DH84" s="32"/>
    </row>
    <row r="85" spans="84:112" x14ac:dyDescent="0.25">
      <c r="CF85" s="36"/>
      <c r="CG85" s="36"/>
      <c r="CH85" s="36"/>
      <c r="CI85" s="36"/>
      <c r="CJ85" s="36"/>
      <c r="CK85" s="36"/>
      <c r="CL85" s="36"/>
      <c r="DB85" s="32"/>
      <c r="DC85" s="32"/>
      <c r="DD85" s="32"/>
      <c r="DE85" s="32"/>
      <c r="DF85" s="32"/>
      <c r="DG85" s="32"/>
      <c r="DH85" s="32"/>
    </row>
    <row r="86" spans="84:112" x14ac:dyDescent="0.25">
      <c r="CF86" s="36"/>
      <c r="CG86" s="36"/>
      <c r="CH86" s="36"/>
      <c r="CI86" s="36"/>
      <c r="CJ86" s="36"/>
      <c r="CK86" s="36"/>
      <c r="CL86" s="36"/>
      <c r="DB86" s="32"/>
      <c r="DC86" s="32"/>
      <c r="DD86" s="32"/>
      <c r="DE86" s="32"/>
      <c r="DF86" s="32"/>
      <c r="DG86" s="32"/>
      <c r="DH86" s="32"/>
    </row>
    <row r="87" spans="84:112" x14ac:dyDescent="0.25">
      <c r="CF87" s="36"/>
      <c r="CG87" s="36"/>
      <c r="CH87" s="36"/>
      <c r="CI87" s="36"/>
      <c r="CJ87" s="36"/>
      <c r="CK87" s="36"/>
      <c r="CL87" s="36"/>
      <c r="DB87" s="32"/>
      <c r="DC87" s="32"/>
      <c r="DD87" s="32"/>
      <c r="DE87" s="32"/>
      <c r="DF87" s="32"/>
      <c r="DG87" s="32"/>
      <c r="DH87" s="32"/>
    </row>
    <row r="88" spans="84:112" x14ac:dyDescent="0.25">
      <c r="CF88" s="36"/>
      <c r="CG88" s="36"/>
      <c r="CH88" s="36"/>
      <c r="CI88" s="36"/>
      <c r="CJ88" s="36"/>
      <c r="CK88" s="36"/>
      <c r="CL88" s="36"/>
      <c r="DB88" s="32"/>
      <c r="DC88" s="32"/>
      <c r="DD88" s="32"/>
      <c r="DE88" s="32"/>
      <c r="DF88" s="32"/>
      <c r="DG88" s="32"/>
      <c r="DH88" s="32"/>
    </row>
    <row r="89" spans="84:112" x14ac:dyDescent="0.25">
      <c r="CF89" s="36"/>
      <c r="CG89" s="36"/>
      <c r="CH89" s="36"/>
      <c r="CI89" s="36"/>
      <c r="CJ89" s="36"/>
      <c r="CK89" s="36"/>
      <c r="CL89" s="36"/>
      <c r="DB89" s="32"/>
      <c r="DC89" s="32"/>
      <c r="DD89" s="32"/>
      <c r="DE89" s="32"/>
      <c r="DF89" s="32"/>
      <c r="DG89" s="32"/>
      <c r="DH89" s="32"/>
    </row>
    <row r="90" spans="84:112" x14ac:dyDescent="0.25">
      <c r="CF90" s="36"/>
      <c r="CG90" s="36"/>
      <c r="CH90" s="36"/>
      <c r="CI90" s="36"/>
      <c r="CJ90" s="36"/>
      <c r="CK90" s="36"/>
      <c r="CL90" s="36"/>
      <c r="DB90" s="32"/>
      <c r="DC90" s="32"/>
      <c r="DD90" s="32"/>
      <c r="DE90" s="32"/>
      <c r="DF90" s="32"/>
      <c r="DG90" s="32"/>
      <c r="DH90" s="32"/>
    </row>
    <row r="91" spans="84:112" x14ac:dyDescent="0.25">
      <c r="CF91" s="36"/>
      <c r="CG91" s="36"/>
      <c r="CH91" s="36"/>
      <c r="CI91" s="36"/>
      <c r="CJ91" s="36"/>
      <c r="CK91" s="36"/>
      <c r="CL91" s="36"/>
      <c r="DB91" s="32"/>
      <c r="DC91" s="32"/>
      <c r="DD91" s="32"/>
      <c r="DE91" s="32"/>
      <c r="DF91" s="32"/>
      <c r="DG91" s="32"/>
      <c r="DH91" s="32"/>
    </row>
    <row r="92" spans="84:112" x14ac:dyDescent="0.25">
      <c r="CF92" s="36"/>
      <c r="CG92" s="36"/>
      <c r="CH92" s="36"/>
      <c r="CI92" s="36"/>
      <c r="CJ92" s="36"/>
      <c r="CK92" s="36"/>
      <c r="CL92" s="36"/>
      <c r="DB92" s="32"/>
      <c r="DC92" s="32"/>
      <c r="DD92" s="32"/>
      <c r="DE92" s="32"/>
      <c r="DF92" s="32"/>
      <c r="DG92" s="32"/>
      <c r="DH92" s="32"/>
    </row>
  </sheetData>
  <conditionalFormatting sqref="I9:I1048576">
    <cfRule type="cellIs" dxfId="267" priority="13" operator="greaterThan">
      <formula>0</formula>
    </cfRule>
    <cfRule type="cellIs" dxfId="266" priority="14" operator="lessThan">
      <formula>0</formula>
    </cfRule>
  </conditionalFormatting>
  <conditionalFormatting sqref="AT7">
    <cfRule type="cellIs" dxfId="265" priority="9" operator="equal">
      <formula>"6-Retiré/Abandon"</formula>
    </cfRule>
    <cfRule type="cellIs" dxfId="264" priority="10" operator="equal">
      <formula>"5-Défavorable"</formula>
    </cfRule>
    <cfRule type="cellIs" dxfId="263" priority="11" operator="equal">
      <formula>"4-Ajournement"</formula>
    </cfRule>
    <cfRule type="cellIs" dxfId="262" priority="12" operator="equal">
      <formula>"1-Favorable"</formula>
    </cfRule>
  </conditionalFormatting>
  <conditionalFormatting sqref="AV7">
    <cfRule type="cellIs" dxfId="261" priority="1" operator="equal">
      <formula>"6-Retiré/Abandon"</formula>
    </cfRule>
    <cfRule type="cellIs" dxfId="260" priority="2" operator="equal">
      <formula>"5-Défavorable"</formula>
    </cfRule>
    <cfRule type="cellIs" dxfId="259" priority="3" operator="equal">
      <formula>"4-Ajournement"</formula>
    </cfRule>
    <cfRule type="cellIs" dxfId="258" priority="4" operator="equal">
      <formula>"1-Favorable"</formula>
    </cfRule>
  </conditionalFormatting>
  <dataValidations count="1">
    <dataValidation type="list" allowBlank="1" showInputMessage="1" showErrorMessage="1" sqref="AT7">
      <formula1>"1-Favorable,4-Ajournement,5-Défavorable,6-Retiré/Abandon"</formula1>
    </dataValidation>
  </dataValidations>
  <printOptions horizontalCentered="1" verticalCentered="1"/>
  <pageMargins left="0.25" right="0.25" top="0.75" bottom="0.75" header="0.3" footer="0.3"/>
  <pageSetup paperSize="8" scale="62" fitToHeight="0" orientation="landscape" r:id="rId1"/>
  <drawing r:id="rId2"/>
  <tableParts count="2">
    <tablePart r:id="rId3"/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37"/>
  <sheetViews>
    <sheetView workbookViewId="0">
      <selection activeCell="L7" sqref="L7"/>
    </sheetView>
  </sheetViews>
  <sheetFormatPr baseColWidth="10" defaultRowHeight="15" outlineLevelRow="1" x14ac:dyDescent="0.25"/>
  <cols>
    <col min="3" max="3" width="13.7109375" bestFit="1" customWidth="1"/>
    <col min="4" max="4" width="12.140625" bestFit="1" customWidth="1"/>
    <col min="11" max="11" width="11.42578125" customWidth="1"/>
    <col min="12" max="12" width="12.28515625" bestFit="1" customWidth="1"/>
    <col min="13" max="17" width="11.42578125" customWidth="1"/>
  </cols>
  <sheetData>
    <row r="5" spans="1:12" x14ac:dyDescent="0.25">
      <c r="A5" s="151" t="s">
        <v>73</v>
      </c>
      <c r="B5" s="151"/>
      <c r="C5" s="151"/>
      <c r="D5" s="1" t="s">
        <v>78</v>
      </c>
      <c r="L5" s="23">
        <v>42832</v>
      </c>
    </row>
    <row r="6" spans="1:12" x14ac:dyDescent="0.25">
      <c r="C6" t="s">
        <v>8</v>
      </c>
      <c r="D6" s="14">
        <f>SUM(D14,D9,D8,D7)</f>
        <v>2384827.9699999997</v>
      </c>
      <c r="L6" s="14">
        <f>SUM(L14,L9,L8,L7)</f>
        <v>2235572.35</v>
      </c>
    </row>
    <row r="7" spans="1:12" x14ac:dyDescent="0.25">
      <c r="C7" t="s">
        <v>55</v>
      </c>
      <c r="D7" s="14">
        <f>Bois!F30+'Reprog (en cours)'!BG31+Pierre!F19+'Attractivité-Innovation'!F33+Biodiversité!F22+Agriculture!F19+Tourisme!F18+'AT-Ing Terr'!F19+Itinérance!F40+'Centre-Bourg'!F23+Filières!F20</f>
        <v>725766</v>
      </c>
      <c r="K7" t="s">
        <v>55</v>
      </c>
      <c r="L7" s="14">
        <f>Bois!E30+'Reprog (en cours)'!BB31+Pierre!E19+'Attractivité-Innovation'!E33+Biodiversité!E22+Agriculture!E19+Tourisme!E18+'AT-Ing Terr'!E19+Itinérance!E40+'Centre-Bourg'!E23+Filières!E20</f>
        <v>723240</v>
      </c>
    </row>
    <row r="8" spans="1:12" x14ac:dyDescent="0.25">
      <c r="C8" t="s">
        <v>44</v>
      </c>
      <c r="D8" s="14">
        <f>Bois!F31+'Reprog (en cours)'!BG32+Pierre!F20+'Attractivité-Innovation'!F34+Biodiversité!F23+Agriculture!F20+Tourisme!F19+'AT-Ing Terr'!F20+Itinérance!F41+'Centre-Bourg'!F24+Filières!F21</f>
        <v>1183578.2</v>
      </c>
      <c r="K8" t="s">
        <v>44</v>
      </c>
      <c r="L8" s="14">
        <f>Bois!E31+'Reprog (en cours)'!BB32+Pierre!E20+'Attractivité-Innovation'!E34+Biodiversité!E23+Agriculture!E20+Tourisme!E19+'AT-Ing Terr'!E20+Itinérance!E41+'Centre-Bourg'!E24+Filières!E21</f>
        <v>1148782.7</v>
      </c>
    </row>
    <row r="9" spans="1:12" x14ac:dyDescent="0.25">
      <c r="C9" t="s">
        <v>45</v>
      </c>
      <c r="D9" s="14">
        <f>Bois!F32+'Reprog (en cours)'!BG33+Pierre!F21+'Attractivité-Innovation'!F35+Biodiversité!F24+Agriculture!F21+Tourisme!F20+'AT-Ing Terr'!F21+Itinérance!F42+'Centre-Bourg'!F25+Filières!F22</f>
        <v>386923.77</v>
      </c>
      <c r="K9" t="s">
        <v>45</v>
      </c>
      <c r="L9" s="14">
        <f>Bois!E32+'Reprog (en cours)'!BB33+Pierre!E21+'Attractivité-Innovation'!E35+Biodiversité!E24+Agriculture!E21+Tourisme!E20+'AT-Ing Terr'!E21+Itinérance!E42+'Centre-Bourg'!E25+Filières!E22</f>
        <v>327609.65000000002</v>
      </c>
    </row>
    <row r="10" spans="1:12" hidden="1" outlineLevel="1" x14ac:dyDescent="0.25">
      <c r="C10" s="18" t="s">
        <v>56</v>
      </c>
      <c r="D10" s="19">
        <f>Bois!F33+'Reprog (en cours)'!BG34+Pierre!F22+'Attractivité-Innovation'!F36+Biodiversité!F25+Agriculture!F22+Tourisme!F21+'AT-Ing Terr'!F22+Itinérance!F43+'Centre-Bourg'!F26+Filières!F23</f>
        <v>117250</v>
      </c>
      <c r="K10" s="18" t="s">
        <v>56</v>
      </c>
      <c r="L10" s="14">
        <f>Bois!E33+'Reprog (en cours)'!BB34+Pierre!E22+'Attractivité-Innovation'!E36+Biodiversité!E25+Agriculture!E22+Tourisme!E21+'AT-Ing Terr'!E22+Itinérance!E43+'Centre-Bourg'!E26+Filières!E23</f>
        <v>72250</v>
      </c>
    </row>
    <row r="11" spans="1:12" hidden="1" outlineLevel="1" x14ac:dyDescent="0.25">
      <c r="C11" s="18" t="s">
        <v>57</v>
      </c>
      <c r="D11" s="19">
        <f>Bois!F34+'Reprog (en cours)'!BG35+Pierre!F23+'Attractivité-Innovation'!F37+Biodiversité!F26+Agriculture!F23+Tourisme!F22+'AT-Ing Terr'!F23+Itinérance!F44+'Centre-Bourg'!F27+Filières!F24</f>
        <v>123414</v>
      </c>
      <c r="K11" s="18" t="s">
        <v>57</v>
      </c>
      <c r="L11" s="19">
        <f>Bois!E34+'Reprog (en cours)'!BB35+Pierre!E23+'Attractivité-Innovation'!E37+Biodiversité!E26+Agriculture!E23+Tourisme!E22+'AT-Ing Terr'!E23+Itinérance!E44+'Centre-Bourg'!E27+Filières!E24</f>
        <v>109099.88</v>
      </c>
    </row>
    <row r="12" spans="1:12" hidden="1" outlineLevel="1" x14ac:dyDescent="0.25">
      <c r="C12" s="18" t="s">
        <v>58</v>
      </c>
      <c r="D12" s="19">
        <f>Bois!F35+'Reprog (en cours)'!BG36+Pierre!F24+'Attractivité-Innovation'!F38+Biodiversité!F27+Agriculture!F24+Tourisme!F23+'AT-Ing Terr'!F24+Itinérance!F45+'Centre-Bourg'!F28+Filières!F25</f>
        <v>82409.7</v>
      </c>
      <c r="K12" s="18" t="s">
        <v>58</v>
      </c>
      <c r="L12" s="19">
        <f>Bois!E35+'Reprog (en cours)'!BB36+Pierre!E24+'Attractivité-Innovation'!E38+Biodiversité!E27+Agriculture!E24+Tourisme!E23+'AT-Ing Terr'!E24+Itinérance!E45+'Centre-Bourg'!E28+Filières!E25</f>
        <v>82409.7</v>
      </c>
    </row>
    <row r="13" spans="1:12" hidden="1" outlineLevel="1" x14ac:dyDescent="0.25">
      <c r="C13" s="18" t="s">
        <v>59</v>
      </c>
      <c r="D13" s="19">
        <f>Bois!F36+'Reprog (en cours)'!BG37+Pierre!F25+'Attractivité-Innovation'!F39+Biodiversité!F28+Agriculture!F25+Tourisme!F24+'AT-Ing Terr'!F25+Itinérance!F46+'Centre-Bourg'!F29+Filières!F26</f>
        <v>63850.07</v>
      </c>
      <c r="K13" s="18" t="s">
        <v>59</v>
      </c>
      <c r="L13" s="19">
        <f>Bois!E36+'Reprog (en cours)'!BB37+Pierre!E25+'Attractivité-Innovation'!E39+Biodiversité!E28+Agriculture!E25+Tourisme!E24+'AT-Ing Terr'!E25+Itinérance!E46+'Centre-Bourg'!E29+Filières!E26</f>
        <v>63850.07</v>
      </c>
    </row>
    <row r="14" spans="1:12" collapsed="1" x14ac:dyDescent="0.25">
      <c r="C14" t="s">
        <v>46</v>
      </c>
      <c r="D14" s="52">
        <f>Bois!F37+'Reprog (en cours)'!BG38+Pierre!F26+'Attractivité-Innovation'!F40+Biodiversité!F29+Agriculture!F26+Tourisme!F25+'AT-Ing Terr'!F26+Itinérance!F47+'Centre-Bourg'!F30+Filières!F27</f>
        <v>88560</v>
      </c>
      <c r="K14" t="s">
        <v>46</v>
      </c>
      <c r="L14" s="14">
        <f>Bois!E37+'Reprog (en cours)'!BB38+Pierre!E26+'Attractivité-Innovation'!E40+Biodiversité!E29+Agriculture!E26+Tourisme!E25+'AT-Ing Terr'!E26+Itinérance!E47+'Centre-Bourg'!E30+Filières!E27</f>
        <v>35940</v>
      </c>
    </row>
    <row r="15" spans="1:12" hidden="1" outlineLevel="1" x14ac:dyDescent="0.25">
      <c r="C15" s="18" t="s">
        <v>20</v>
      </c>
      <c r="D15" s="19">
        <f>Bois!F38+'Reprog (en cours)'!BG39+Pierre!F27+'Attractivité-Innovation'!F41+Biodiversité!F30+Agriculture!F27+Tourisme!F26+'AT-Ing Terr'!F27+Itinérance!F48+'Centre-Bourg'!F31+Filières!F28</f>
        <v>0</v>
      </c>
      <c r="K15" s="18" t="s">
        <v>20</v>
      </c>
      <c r="L15" s="52">
        <f>Bois!E38+'Reprog (en cours)'!BB39+Pierre!E27+'Attractivité-Innovation'!E41+Biodiversité!E30+Agriculture!E27+Tourisme!E26+'AT-Ing Terr'!E27+Itinérance!E48+'Centre-Bourg'!E31+Filières!E28</f>
        <v>0</v>
      </c>
    </row>
    <row r="16" spans="1:12" hidden="1" outlineLevel="1" x14ac:dyDescent="0.25">
      <c r="C16" s="18" t="s">
        <v>21</v>
      </c>
      <c r="D16" s="19">
        <f>Bois!F39+'Reprog (en cours)'!BG40+Pierre!F28+'Attractivité-Innovation'!F42+Biodiversité!F31+Agriculture!F28+Tourisme!F27+'AT-Ing Terr'!F28+Itinérance!F49+'Centre-Bourg'!F32+Filières!F29</f>
        <v>0</v>
      </c>
      <c r="K16" s="18" t="s">
        <v>21</v>
      </c>
      <c r="L16" s="19">
        <f>Bois!E39+'Reprog (en cours)'!BB40+Pierre!E28+'Attractivité-Innovation'!E42+Biodiversité!E31+Agriculture!E28+Tourisme!E27+'AT-Ing Terr'!E28+Itinérance!E49+'Centre-Bourg'!E32+Filières!E29</f>
        <v>0</v>
      </c>
    </row>
    <row r="17" spans="3:12" hidden="1" outlineLevel="1" x14ac:dyDescent="0.25">
      <c r="C17" s="18" t="s">
        <v>22</v>
      </c>
      <c r="D17" s="19">
        <f>Bois!F40+'Reprog (en cours)'!BG41+Pierre!F29+'Attractivité-Innovation'!F43+Biodiversité!F32+Agriculture!F29+Tourisme!F28+'AT-Ing Terr'!F29+Itinérance!F50+'Centre-Bourg'!F33+Filières!F30</f>
        <v>0</v>
      </c>
      <c r="K17" s="18" t="s">
        <v>22</v>
      </c>
      <c r="L17" s="19">
        <f>Bois!E40+'Reprog (en cours)'!BB41+Pierre!E29+'Attractivité-Innovation'!E43+Biodiversité!E32+Agriculture!E29+Tourisme!E28+'AT-Ing Terr'!E29+Itinérance!E50+'Centre-Bourg'!E33+Filières!E30</f>
        <v>5000</v>
      </c>
    </row>
    <row r="18" spans="3:12" hidden="1" outlineLevel="1" x14ac:dyDescent="0.25">
      <c r="C18" s="18" t="s">
        <v>23</v>
      </c>
      <c r="D18" s="19">
        <f>Bois!F41+'Reprog (en cours)'!BG42+Pierre!F30+'Attractivité-Innovation'!F44+Biodiversité!F33+Agriculture!F30+Tourisme!F29+'AT-Ing Terr'!F30+Itinérance!F51+'Centre-Bourg'!F34+Filières!F31</f>
        <v>0</v>
      </c>
      <c r="K18" s="18" t="s">
        <v>23</v>
      </c>
      <c r="L18" s="19">
        <f>Bois!E41+'Reprog (en cours)'!BB42+Pierre!E30+'Attractivité-Innovation'!E44+Biodiversité!E33+Agriculture!E30+Tourisme!E29+'AT-Ing Terr'!E30+Itinérance!E51+'Centre-Bourg'!E34+Filières!E31</f>
        <v>0</v>
      </c>
    </row>
    <row r="19" spans="3:12" hidden="1" outlineLevel="1" x14ac:dyDescent="0.25">
      <c r="C19" s="18" t="s">
        <v>24</v>
      </c>
      <c r="D19" s="19">
        <f>Bois!F42+'Reprog (en cours)'!BG43+Pierre!F31+'Attractivité-Innovation'!F45+Biodiversité!F34+Agriculture!F31+Tourisme!F30+'AT-Ing Terr'!F31+Itinérance!F52+'Centre-Bourg'!F35+Filières!F32</f>
        <v>0</v>
      </c>
      <c r="K19" s="18" t="s">
        <v>24</v>
      </c>
      <c r="L19" s="19">
        <f>Bois!E42+'Reprog (en cours)'!BB43+Pierre!E31+'Attractivité-Innovation'!E45+Biodiversité!E34+Agriculture!E31+Tourisme!E30+'AT-Ing Terr'!E31+Itinérance!E52+'Centre-Bourg'!E35+Filières!E32</f>
        <v>0</v>
      </c>
    </row>
    <row r="20" spans="3:12" hidden="1" outlineLevel="1" x14ac:dyDescent="0.25">
      <c r="C20" s="18" t="s">
        <v>25</v>
      </c>
      <c r="D20" s="19">
        <f>Bois!F43+'Reprog (en cours)'!BG44+Pierre!F32+'Attractivité-Innovation'!F46+Biodiversité!F35+Agriculture!F32+Tourisme!F31+'AT-Ing Terr'!F32+Itinérance!F53+'Centre-Bourg'!F36+Filières!F33</f>
        <v>0</v>
      </c>
      <c r="K20" s="18" t="s">
        <v>25</v>
      </c>
      <c r="L20" s="19">
        <f>Bois!E43+'Reprog (en cours)'!BB44+Pierre!E32+'Attractivité-Innovation'!E46+Biodiversité!E35+Agriculture!E32+Tourisme!E31+'AT-Ing Terr'!E32+Itinérance!E53+'Centre-Bourg'!E36+Filières!E33</f>
        <v>0</v>
      </c>
    </row>
    <row r="21" spans="3:12" hidden="1" outlineLevel="1" x14ac:dyDescent="0.25">
      <c r="C21" s="18" t="s">
        <v>26</v>
      </c>
      <c r="D21" s="19">
        <f>Bois!F44+'Reprog (en cours)'!BG45+Pierre!F33+'Attractivité-Innovation'!F47+Biodiversité!F36+Agriculture!F33+Tourisme!F32+'AT-Ing Terr'!F33+Itinérance!F54+'Centre-Bourg'!F37+Filières!F34</f>
        <v>0</v>
      </c>
      <c r="K21" s="18" t="s">
        <v>26</v>
      </c>
      <c r="L21" s="19">
        <f>Bois!E44+'Reprog (en cours)'!BB45+Pierre!E33+'Attractivité-Innovation'!E47+Biodiversité!E36+Agriculture!E33+Tourisme!E32+'AT-Ing Terr'!E33+Itinérance!E54+'Centre-Bourg'!E37+Filières!E34</f>
        <v>0</v>
      </c>
    </row>
    <row r="22" spans="3:12" hidden="1" outlineLevel="1" x14ac:dyDescent="0.25">
      <c r="C22" s="18" t="s">
        <v>27</v>
      </c>
      <c r="D22" s="19">
        <f>Bois!F45+'Reprog (en cours)'!BG46+Pierre!F34+'Attractivité-Innovation'!F48+Biodiversité!F37+Agriculture!F34+Tourisme!F33+'AT-Ing Terr'!F34+Itinérance!F55+'Centre-Bourg'!F38+Filières!F35</f>
        <v>0</v>
      </c>
      <c r="K22" s="18" t="s">
        <v>27</v>
      </c>
      <c r="L22" s="19">
        <f>Bois!E45+'Reprog (en cours)'!BB46+Pierre!E34+'Attractivité-Innovation'!E48+Biodiversité!E37+Agriculture!E34+Tourisme!E33+'AT-Ing Terr'!E34+Itinérance!E55+'Centre-Bourg'!E38+Filières!E35</f>
        <v>0</v>
      </c>
    </row>
    <row r="23" spans="3:12" hidden="1" outlineLevel="1" x14ac:dyDescent="0.25">
      <c r="C23" s="18" t="s">
        <v>28</v>
      </c>
      <c r="D23" s="19">
        <f>Bois!F46+'Reprog (en cours)'!BG47+Pierre!F35+'Attractivité-Innovation'!F49+Biodiversité!F38+Agriculture!F35+Tourisme!F34+'AT-Ing Terr'!F35+Itinérance!F56+'Centre-Bourg'!F39+Filières!F36</f>
        <v>57620</v>
      </c>
      <c r="K23" s="18" t="s">
        <v>28</v>
      </c>
      <c r="L23" s="19">
        <f>Bois!E46+'Reprog (en cours)'!BB47+Pierre!E35+'Attractivité-Innovation'!E49+Biodiversité!E38+Agriculture!E35+Tourisme!E34+'AT-Ing Terr'!E35+Itinérance!E56+'Centre-Bourg'!E39+Filières!E36</f>
        <v>0</v>
      </c>
    </row>
    <row r="24" spans="3:12" hidden="1" outlineLevel="1" x14ac:dyDescent="0.25">
      <c r="C24" s="18" t="s">
        <v>29</v>
      </c>
      <c r="D24" s="19">
        <f>Bois!F47+'Reprog (en cours)'!BG48+Pierre!F36+'Attractivité-Innovation'!F50+Biodiversité!F39+Agriculture!F36+Tourisme!F35+'AT-Ing Terr'!F36+Itinérance!F57+'Centre-Bourg'!F40+Filières!F37</f>
        <v>18000</v>
      </c>
      <c r="K24" s="18" t="s">
        <v>29</v>
      </c>
      <c r="L24" s="19">
        <f>Bois!E47+'Reprog (en cours)'!BB48+Pierre!E36+'Attractivité-Innovation'!E50+Biodiversité!E39+Agriculture!E36+Tourisme!E35+'AT-Ing Terr'!E36+Itinérance!E57+'Centre-Bourg'!E40+Filières!E37</f>
        <v>18000</v>
      </c>
    </row>
    <row r="25" spans="3:12" hidden="1" outlineLevel="1" x14ac:dyDescent="0.25">
      <c r="C25" s="18" t="s">
        <v>30</v>
      </c>
      <c r="D25" s="19">
        <f>Bois!F48+'Reprog (en cours)'!BG49+Pierre!F37+'Attractivité-Innovation'!F51+Biodiversité!F40+Agriculture!F37+Tourisme!F36+'AT-Ing Terr'!F37+Itinérance!F58+'Centre-Bourg'!F41+Filières!F38</f>
        <v>8000</v>
      </c>
      <c r="K25" s="18" t="s">
        <v>30</v>
      </c>
      <c r="L25" s="19">
        <f>Bois!E48+'Reprog (en cours)'!BB49+Pierre!E37+'Attractivité-Innovation'!E51+Biodiversité!E40+Agriculture!E37+Tourisme!E36+'AT-Ing Terr'!E37+Itinérance!E58+'Centre-Bourg'!E41+Filières!E38</f>
        <v>8000</v>
      </c>
    </row>
    <row r="26" spans="3:12" hidden="1" outlineLevel="1" x14ac:dyDescent="0.25">
      <c r="C26" s="18" t="s">
        <v>31</v>
      </c>
      <c r="D26" s="19">
        <f>Bois!F49+'Reprog (en cours)'!BG50+Pierre!F38+'Attractivité-Innovation'!F52+Biodiversité!F41+Agriculture!F38+Tourisme!F37+'AT-Ing Terr'!F38+Itinérance!F59+'Centre-Bourg'!F42+Filières!F39</f>
        <v>0</v>
      </c>
      <c r="K26" s="18" t="s">
        <v>31</v>
      </c>
      <c r="L26" s="19">
        <f>Bois!E49+'Reprog (en cours)'!BB50+Pierre!E38+'Attractivité-Innovation'!E52+Biodiversité!E41+Agriculture!E38+Tourisme!E37+'AT-Ing Terr'!E38+Itinérance!E59+'Centre-Bourg'!E42+Filières!E39</f>
        <v>0</v>
      </c>
    </row>
    <row r="27" spans="3:12" hidden="1" outlineLevel="1" x14ac:dyDescent="0.25">
      <c r="C27" s="18" t="s">
        <v>32</v>
      </c>
      <c r="D27" s="19">
        <f>Bois!F50+'Reprog (en cours)'!BG51+Pierre!F39+'Attractivité-Innovation'!F53+Biodiversité!F42+Agriculture!F39+Tourisme!F38+'AT-Ing Terr'!F39+Itinérance!F60+'Centre-Bourg'!F43+Filières!F40</f>
        <v>0</v>
      </c>
      <c r="K27" s="18" t="s">
        <v>32</v>
      </c>
      <c r="L27" s="19">
        <f>Bois!E50+'Reprog (en cours)'!BB51+Pierre!E39+'Attractivité-Innovation'!E53+Biodiversité!E42+Agriculture!E39+Tourisme!E38+'AT-Ing Terr'!E39+Itinérance!E60+'Centre-Bourg'!E43+Filières!E40</f>
        <v>0</v>
      </c>
    </row>
    <row r="28" spans="3:12" hidden="1" outlineLevel="1" x14ac:dyDescent="0.25">
      <c r="C28" s="18" t="s">
        <v>33</v>
      </c>
      <c r="D28" s="19">
        <f>Bois!F51+'Reprog (en cours)'!BG52+Pierre!F40+'Attractivité-Innovation'!F54+Biodiversité!F43+Agriculture!F40+Tourisme!F39+'AT-Ing Terr'!F40+Itinérance!F61+'Centre-Bourg'!F44+Filières!F41</f>
        <v>0</v>
      </c>
      <c r="K28" s="18" t="s">
        <v>33</v>
      </c>
      <c r="L28" s="19">
        <f>Bois!E51+'Reprog (en cours)'!BB52+Pierre!E40+'Attractivité-Innovation'!E54+Biodiversité!E43+Agriculture!E40+Tourisme!E39+'AT-Ing Terr'!E40+Itinérance!E61+'Centre-Bourg'!E44+Filières!E41</f>
        <v>0</v>
      </c>
    </row>
    <row r="29" spans="3:12" hidden="1" outlineLevel="1" x14ac:dyDescent="0.25">
      <c r="C29" s="18" t="s">
        <v>34</v>
      </c>
      <c r="D29" s="19">
        <f>Bois!F52+'Reprog (en cours)'!BG53+Pierre!F41+'Attractivité-Innovation'!F55+Biodiversité!F44+Agriculture!F41+Tourisme!F40+'AT-Ing Terr'!F41+Itinérance!F62+'Centre-Bourg'!F45+Filières!F42</f>
        <v>0</v>
      </c>
      <c r="K29" s="18" t="s">
        <v>34</v>
      </c>
      <c r="L29" s="19">
        <f>Bois!E52+'Reprog (en cours)'!BB53+Pierre!E41+'Attractivité-Innovation'!E55+Biodiversité!E44+Agriculture!E41+Tourisme!E40+'AT-Ing Terr'!E41+Itinérance!E62+'Centre-Bourg'!E45+Filières!E42</f>
        <v>0</v>
      </c>
    </row>
    <row r="30" spans="3:12" hidden="1" outlineLevel="1" x14ac:dyDescent="0.25">
      <c r="C30" s="18" t="s">
        <v>35</v>
      </c>
      <c r="D30" s="19">
        <f>Bois!F53+'Reprog (en cours)'!BG54+Pierre!F42+'Attractivité-Innovation'!F56+Biodiversité!F45+Agriculture!F42+Tourisme!F41+'AT-Ing Terr'!F42+Itinérance!F63+'Centre-Bourg'!F46+Filières!F43</f>
        <v>0</v>
      </c>
      <c r="K30" s="18" t="s">
        <v>35</v>
      </c>
      <c r="L30" s="19">
        <f>Bois!E53+'Reprog (en cours)'!BB54+Pierre!E42+'Attractivité-Innovation'!E56+Biodiversité!E45+Agriculture!E42+Tourisme!E41+'AT-Ing Terr'!E42+Itinérance!E63+'Centre-Bourg'!E46+Filières!E43</f>
        <v>0</v>
      </c>
    </row>
    <row r="31" spans="3:12" hidden="1" outlineLevel="1" x14ac:dyDescent="0.25">
      <c r="C31" s="18" t="s">
        <v>36</v>
      </c>
      <c r="D31" s="19">
        <f>Bois!F54+'Reprog (en cours)'!BG55+Pierre!F43+'Attractivité-Innovation'!F57+Biodiversité!F46+Agriculture!F43+Tourisme!F42+'AT-Ing Terr'!F43+Itinérance!F64+'Centre-Bourg'!F47+Filières!F44</f>
        <v>4940</v>
      </c>
      <c r="K31" s="18" t="s">
        <v>36</v>
      </c>
      <c r="L31" s="19">
        <f>Bois!E54+'Reprog (en cours)'!BB55+Pierre!E43+'Attractivité-Innovation'!E57+Biodiversité!E46+Agriculture!E43+Tourisme!E42+'AT-Ing Terr'!E43+Itinérance!E64+'Centre-Bourg'!E47+Filières!E44</f>
        <v>4940</v>
      </c>
    </row>
    <row r="32" spans="3:12" hidden="1" outlineLevel="1" x14ac:dyDescent="0.25">
      <c r="C32" s="18" t="s">
        <v>37</v>
      </c>
      <c r="D32" s="19">
        <f>Bois!F55+'Reprog (en cours)'!BG56+Pierre!F44+'Attractivité-Innovation'!F58+Biodiversité!F47+Agriculture!F44+Tourisme!F43+'AT-Ing Terr'!F44+Itinérance!F65+'Centre-Bourg'!F48+Filières!F45</f>
        <v>0</v>
      </c>
      <c r="K32" s="18" t="s">
        <v>37</v>
      </c>
      <c r="L32" s="19">
        <f>Bois!E55+'Reprog (en cours)'!BB56+Pierre!E44+'Attractivité-Innovation'!E58+Biodiversité!E47+Agriculture!E44+Tourisme!E43+'AT-Ing Terr'!E44+Itinérance!E65+'Centre-Bourg'!E48+Filières!E45</f>
        <v>0</v>
      </c>
    </row>
    <row r="33" spans="3:12" hidden="1" outlineLevel="1" x14ac:dyDescent="0.25">
      <c r="C33" s="18" t="s">
        <v>38</v>
      </c>
      <c r="D33" s="19">
        <f>Bois!F56+'Reprog (en cours)'!BG57+Pierre!F45+'Attractivité-Innovation'!F59+Biodiversité!F48+Agriculture!F45+Tourisme!F44+'AT-Ing Terr'!F45+Itinérance!F66+'Centre-Bourg'!F49+Filières!F46</f>
        <v>0</v>
      </c>
      <c r="K33" s="18" t="s">
        <v>38</v>
      </c>
      <c r="L33" s="19">
        <f>Bois!E56+'Reprog (en cours)'!BB57+Pierre!E45+'Attractivité-Innovation'!E59+Biodiversité!E48+Agriculture!E45+Tourisme!E44+'AT-Ing Terr'!E45+Itinérance!E66+'Centre-Bourg'!E49+Filières!E46</f>
        <v>0</v>
      </c>
    </row>
    <row r="34" spans="3:12" hidden="1" outlineLevel="1" x14ac:dyDescent="0.25">
      <c r="C34" s="18" t="s">
        <v>39</v>
      </c>
      <c r="D34" s="19">
        <f>Bois!F57+'Reprog (en cours)'!BG58+Pierre!F46+'Attractivité-Innovation'!F60+Biodiversité!F49+Agriculture!F46+Tourisme!F45+'AT-Ing Terr'!F46+Itinérance!F67+'Centre-Bourg'!F50+Filières!F47</f>
        <v>0</v>
      </c>
      <c r="K34" s="18" t="s">
        <v>39</v>
      </c>
      <c r="L34" s="19">
        <f>Bois!E57+'Reprog (en cours)'!BB58+Pierre!E46+'Attractivité-Innovation'!E60+Biodiversité!E49+Agriculture!E46+Tourisme!E45+'AT-Ing Terr'!E46+Itinérance!E67+'Centre-Bourg'!E50+Filières!E47</f>
        <v>0</v>
      </c>
    </row>
    <row r="35" spans="3:12" hidden="1" outlineLevel="1" x14ac:dyDescent="0.25">
      <c r="C35" s="18" t="s">
        <v>40</v>
      </c>
      <c r="D35" s="19">
        <f>Bois!F58+'Reprog (en cours)'!BG59+Pierre!F47+'Attractivité-Innovation'!F61+Biodiversité!F50+Agriculture!F47+Tourisme!F46+'AT-Ing Terr'!F47+Itinérance!F68+'Centre-Bourg'!F51+Filières!F48</f>
        <v>0</v>
      </c>
      <c r="K35" s="18" t="s">
        <v>40</v>
      </c>
      <c r="L35" s="19">
        <f>Bois!E58+'Reprog (en cours)'!BB59+Pierre!E47+'Attractivité-Innovation'!E61+Biodiversité!E50+Agriculture!E47+Tourisme!E46+'AT-Ing Terr'!E47+Itinérance!E68+'Centre-Bourg'!E51+Filières!E48</f>
        <v>0</v>
      </c>
    </row>
    <row r="36" spans="3:12" hidden="1" outlineLevel="1" x14ac:dyDescent="0.25">
      <c r="C36" s="18" t="s">
        <v>41</v>
      </c>
      <c r="D36" s="19">
        <f>Bois!F59+'Reprog (en cours)'!BG60+Pierre!F48+'Attractivité-Innovation'!F62+Biodiversité!F51+Agriculture!F48+Tourisme!F47+'AT-Ing Terr'!F48+Itinérance!F69+'Centre-Bourg'!F52+Filières!F49</f>
        <v>0</v>
      </c>
      <c r="K36" s="18" t="s">
        <v>41</v>
      </c>
      <c r="L36" s="19">
        <f>Bois!E59+'Reprog (en cours)'!BB60+Pierre!E48+'Attractivité-Innovation'!E62+Biodiversité!E51+Agriculture!E48+Tourisme!E47+'AT-Ing Terr'!E48+Itinérance!E69+'Centre-Bourg'!E52+Filières!E49</f>
        <v>0</v>
      </c>
    </row>
    <row r="37" spans="3:12" collapsed="1" x14ac:dyDescent="0.25">
      <c r="L37" s="19"/>
    </row>
  </sheetData>
  <mergeCells count="1">
    <mergeCell ref="A5:C5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3" sqref="A3"/>
    </sheetView>
  </sheetViews>
  <sheetFormatPr baseColWidth="10" defaultRowHeight="15" x14ac:dyDescent="0.25"/>
  <sheetData>
    <row r="1" spans="1:2" x14ac:dyDescent="0.25">
      <c r="A1" s="86">
        <v>42809</v>
      </c>
      <c r="B1" t="s">
        <v>194</v>
      </c>
    </row>
    <row r="2" spans="1:2" x14ac:dyDescent="0.25">
      <c r="A2" s="86">
        <v>42832</v>
      </c>
      <c r="B2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47"/>
  <sheetViews>
    <sheetView view="pageBreakPreview" zoomScale="80" zoomScaleNormal="60" zoomScaleSheetLayoutView="80" workbookViewId="0">
      <selection activeCell="E10" sqref="E10"/>
    </sheetView>
  </sheetViews>
  <sheetFormatPr baseColWidth="10" defaultRowHeight="15" outlineLevelCol="1" x14ac:dyDescent="0.25"/>
  <cols>
    <col min="1" max="1" width="17.28515625" style="3" bestFit="1" customWidth="1"/>
    <col min="2" max="2" width="10.28515625" style="4" bestFit="1" customWidth="1"/>
    <col min="3" max="3" width="17.7109375" style="5" bestFit="1" customWidth="1"/>
    <col min="4" max="4" width="25.5703125" style="3" customWidth="1"/>
    <col min="5" max="5" width="40.28515625" style="3" customWidth="1"/>
    <col min="6" max="6" width="12.7109375" style="6" customWidth="1"/>
    <col min="7" max="7" width="16" style="3" hidden="1" customWidth="1"/>
    <col min="8" max="8" width="11.28515625" style="6" hidden="1" customWidth="1"/>
    <col min="9" max="9" width="13.85546875" style="3" customWidth="1"/>
    <col min="10" max="10" width="15" style="3" customWidth="1"/>
    <col min="11" max="11" width="11.5703125" style="3" customWidth="1"/>
    <col min="12" max="12" width="16.5703125" style="3" customWidth="1"/>
    <col min="13" max="13" width="13.7109375" style="3" hidden="1" customWidth="1" outlineLevel="1"/>
    <col min="14" max="14" width="11.140625" style="3" hidden="1" customWidth="1" outlineLevel="1"/>
    <col min="15" max="15" width="11.85546875" style="3" customWidth="1" collapsed="1"/>
    <col min="16" max="16" width="10" style="3" hidden="1" customWidth="1" outlineLevel="1"/>
    <col min="17" max="17" width="11.7109375" style="3" hidden="1" customWidth="1" outlineLevel="1"/>
    <col min="18" max="18" width="16.140625" style="3" hidden="1" customWidth="1" outlineLevel="1"/>
    <col min="19" max="19" width="8.7109375" style="3" hidden="1" customWidth="1" outlineLevel="1"/>
    <col min="20" max="20" width="10.7109375" style="3" customWidth="1" collapsed="1"/>
    <col min="21" max="40" width="8.7109375" style="3" hidden="1" customWidth="1" outlineLevel="1"/>
    <col min="41" max="41" width="12.28515625" style="3" hidden="1" customWidth="1" outlineLevel="1"/>
    <col min="42" max="42" width="11.5703125" style="3" hidden="1" customWidth="1" outlineLevel="1"/>
    <col min="43" max="43" width="11.5703125" style="3" customWidth="1" collapsed="1"/>
    <col min="44" max="45" width="11.5703125" style="3" customWidth="1"/>
    <col min="46" max="46" width="15.42578125" style="3" hidden="1" customWidth="1"/>
    <col min="47" max="47" width="11.5703125" style="3" bestFit="1" customWidth="1"/>
    <col min="48" max="48" width="69" style="3" customWidth="1"/>
    <col min="49" max="49" width="15.42578125" style="3" bestFit="1" customWidth="1"/>
    <col min="50" max="50" width="17.28515625" style="3" bestFit="1" customWidth="1"/>
    <col min="51" max="51" width="9.42578125" style="3" customWidth="1"/>
    <col min="52" max="66" width="9.7109375" style="3" customWidth="1"/>
    <col min="67" max="67" width="15.140625" style="3" customWidth="1"/>
    <col min="68" max="68" width="14.5703125" style="3" customWidth="1"/>
    <col min="69" max="69" width="18.5703125" style="3" customWidth="1"/>
    <col min="70" max="70" width="12.5703125" style="3" customWidth="1"/>
    <col min="71" max="71" width="20.42578125" style="3" customWidth="1"/>
    <col min="72" max="72" width="12.7109375" style="3" customWidth="1"/>
    <col min="73" max="73" width="9.28515625" style="3" customWidth="1"/>
    <col min="74" max="74" width="14.28515625" style="3" customWidth="1"/>
    <col min="75" max="75" width="11.42578125" style="3" customWidth="1"/>
    <col min="76" max="76" width="9" style="3" customWidth="1"/>
    <col min="77" max="77" width="9.5703125" style="3" customWidth="1"/>
    <col min="78" max="78" width="11" style="3" customWidth="1"/>
    <col min="79" max="79" width="12.7109375" style="3" customWidth="1"/>
    <col min="80" max="82" width="9.7109375" style="3" customWidth="1"/>
    <col min="83" max="83" width="15.140625" style="3" customWidth="1"/>
    <col min="84" max="84" width="17.28515625" style="3" customWidth="1"/>
    <col min="85" max="85" width="49.28515625" style="4" customWidth="1"/>
    <col min="86" max="86" width="17.28515625" style="3" customWidth="1"/>
    <col min="87" max="16384" width="11.42578125" style="3"/>
  </cols>
  <sheetData>
    <row r="1" spans="1:85" ht="18.75" x14ac:dyDescent="0.3">
      <c r="A1" s="146" t="s">
        <v>73</v>
      </c>
      <c r="B1" s="146"/>
      <c r="C1" s="22">
        <f>Feuil1!A2</f>
        <v>42832</v>
      </c>
    </row>
    <row r="5" spans="1:85" x14ac:dyDescent="0.25">
      <c r="A5" s="1" t="s">
        <v>70</v>
      </c>
      <c r="B5" s="2"/>
    </row>
    <row r="6" spans="1:85" s="7" customFormat="1" ht="30" x14ac:dyDescent="0.25">
      <c r="A6" s="7" t="s">
        <v>0</v>
      </c>
      <c r="B6" s="7" t="s">
        <v>122</v>
      </c>
      <c r="C6" s="7" t="s">
        <v>7</v>
      </c>
      <c r="D6" s="7" t="s">
        <v>1</v>
      </c>
      <c r="E6" s="7" t="s">
        <v>2</v>
      </c>
      <c r="F6" s="7" t="s">
        <v>50</v>
      </c>
      <c r="G6" s="7" t="s">
        <v>52</v>
      </c>
      <c r="H6" s="7" t="s">
        <v>51</v>
      </c>
      <c r="I6" s="7" t="s">
        <v>48</v>
      </c>
      <c r="J6" s="7" t="s">
        <v>53</v>
      </c>
      <c r="K6" s="7" t="s">
        <v>42</v>
      </c>
      <c r="L6" s="7" t="s">
        <v>63</v>
      </c>
      <c r="M6" s="7" t="s">
        <v>67</v>
      </c>
      <c r="N6" s="7" t="s">
        <v>15</v>
      </c>
      <c r="O6" s="7" t="s">
        <v>64</v>
      </c>
      <c r="P6" s="7" t="s">
        <v>18</v>
      </c>
      <c r="Q6" s="7" t="s">
        <v>16</v>
      </c>
      <c r="R6" s="7" t="s">
        <v>17</v>
      </c>
      <c r="S6" s="7" t="s">
        <v>19</v>
      </c>
      <c r="T6" s="7" t="s">
        <v>65</v>
      </c>
      <c r="U6" s="7" t="s">
        <v>20</v>
      </c>
      <c r="V6" s="7" t="s">
        <v>21</v>
      </c>
      <c r="W6" s="7" t="s">
        <v>22</v>
      </c>
      <c r="X6" s="7" t="s">
        <v>23</v>
      </c>
      <c r="Y6" s="7" t="s">
        <v>24</v>
      </c>
      <c r="Z6" s="7" t="s">
        <v>25</v>
      </c>
      <c r="AA6" s="7" t="s">
        <v>26</v>
      </c>
      <c r="AB6" s="7" t="s">
        <v>27</v>
      </c>
      <c r="AC6" s="7" t="s">
        <v>28</v>
      </c>
      <c r="AD6" s="7" t="s">
        <v>29</v>
      </c>
      <c r="AE6" s="7" t="s">
        <v>30</v>
      </c>
      <c r="AF6" s="7" t="s">
        <v>31</v>
      </c>
      <c r="AG6" s="7" t="s">
        <v>32</v>
      </c>
      <c r="AH6" s="7" t="s">
        <v>33</v>
      </c>
      <c r="AI6" s="7" t="s">
        <v>34</v>
      </c>
      <c r="AJ6" s="7" t="s">
        <v>35</v>
      </c>
      <c r="AK6" s="7" t="s">
        <v>36</v>
      </c>
      <c r="AL6" s="7" t="s">
        <v>37</v>
      </c>
      <c r="AM6" s="7" t="s">
        <v>38</v>
      </c>
      <c r="AN6" s="7" t="s">
        <v>39</v>
      </c>
      <c r="AO6" s="7" t="s">
        <v>40</v>
      </c>
      <c r="AP6" s="7" t="s">
        <v>41</v>
      </c>
      <c r="AQ6" s="7" t="s">
        <v>43</v>
      </c>
      <c r="AR6" s="7" t="s">
        <v>47</v>
      </c>
      <c r="AS6" s="17" t="s">
        <v>54</v>
      </c>
      <c r="AU6" s="30" t="s">
        <v>88</v>
      </c>
      <c r="AV6" s="59" t="s">
        <v>62</v>
      </c>
    </row>
    <row r="7" spans="1:85" s="10" customFormat="1" ht="45" x14ac:dyDescent="0.25">
      <c r="A7" s="57" t="s">
        <v>110</v>
      </c>
      <c r="B7" s="57" t="s">
        <v>197</v>
      </c>
      <c r="C7" s="13" t="s">
        <v>166</v>
      </c>
      <c r="D7" s="12" t="s">
        <v>72</v>
      </c>
      <c r="E7" s="12" t="s">
        <v>167</v>
      </c>
      <c r="F7" s="15">
        <v>77500.070000000007</v>
      </c>
      <c r="G7" s="15">
        <f>Tableau_Lancer_la_requête_à_partir_de_Excel_Files10256789[[#This Row],[Aide Massif]]+Tableau_Lancer_la_requête_à_partir_de_Excel_Files10256789[[#This Row],[''Autre Public'']]</f>
        <v>51625</v>
      </c>
      <c r="H7" s="16">
        <f>Tableau_Lancer_la_requête_à_partir_de_Excel_Files10256789[[#This Row],[Aide 
publique]]/Tableau_Lancer_la_requête_à_partir_de_Excel_Files10256789[[#This Row],[''Coût total éligible'']]</f>
        <v>0.66612843059367555</v>
      </c>
      <c r="I7" s="15">
        <f>Tableau_Lancer_la_requête_à_partir_de_Excel_Files10256789[[#This Row],[''FEDER'']]+Tableau_Lancer_la_requête_à_partir_de_Excel_Files10256789[[#This Row],[Total Etat]]+Tableau_Lancer_la_requête_à_partir_de_Excel_Files10256789[[#This Row],[Total Régions]]+Tableau_Lancer_la_requête_à_partir_de_Excel_Files10256789[[#This Row],[Total Dpts]]</f>
        <v>51625</v>
      </c>
      <c r="J7" s="16">
        <f>Tableau_Lancer_la_requête_à_partir_de_Excel_Files10256789[[#This Row],[Aide Massif]]/Tableau_Lancer_la_requête_à_partir_de_Excel_Files10256789[[#This Row],[''Coût total éligible'']]</f>
        <v>0.66612843059367555</v>
      </c>
      <c r="K7" s="15">
        <v>0</v>
      </c>
      <c r="L7" s="15">
        <f>Tableau_Lancer_la_requête_à_partir_de_Excel_Files10256789[[#This Row],[''FNADT '']]+Tableau_Lancer_la_requête_à_partir_de_Excel_Files10256789[[#This Row],[''Agriculture'']]</f>
        <v>36625</v>
      </c>
      <c r="M7" s="15">
        <v>36625</v>
      </c>
      <c r="N7" s="15"/>
      <c r="O7" s="15">
        <f>Tableau_Lancer_la_requête_à_partir_de_Excel_Files10256789[[#This Row],[''ALPC'']]+Tableau_Lancer_la_requête_à_partir_de_Excel_Files10256789[[#This Row],[''AURA'']]+Tableau_Lancer_la_requête_à_partir_de_Excel_Files10256789[[#This Row],[''BFC'']]+Tableau_Lancer_la_requête_à_partir_de_Excel_Files10256789[[#This Row],[''LRMP'']]</f>
        <v>15000</v>
      </c>
      <c r="P7" s="15"/>
      <c r="Q7" s="15">
        <v>15000</v>
      </c>
      <c r="R7" s="15"/>
      <c r="S7" s="15"/>
      <c r="T7" s="15">
        <f>Tableau_Lancer_la_requête_à_partir_de_Excel_Files10256789[[#This Row],[''03'']]+Tableau_Lancer_la_requête_à_partir_de_Excel_Files10256789[[#This Row],[''07'']]+Tableau_Lancer_la_requête_à_partir_de_Excel_Files10256789[[#This Row],[''11'']]+Tableau_Lancer_la_requête_à_partir_de_Excel_Files10256789[[#This Row],[''12'']]+Tableau_Lancer_la_requête_à_partir_de_Excel_Files10256789[[#This Row],[''15'']]+Tableau_Lancer_la_requête_à_partir_de_Excel_Files10256789[[#This Row],[''19'']]+Tableau_Lancer_la_requête_à_partir_de_Excel_Files10256789[[#This Row],[''21'']]+Tableau_Lancer_la_requête_à_partir_de_Excel_Files10256789[[#This Row],[''23'']]+Tableau_Lancer_la_requête_à_partir_de_Excel_Files10256789[[#This Row],[''30'']]+Tableau_Lancer_la_requête_à_partir_de_Excel_Files10256789[[#This Row],[''34'']]+Tableau_Lancer_la_requête_à_partir_de_Excel_Files10256789[[#This Row],[''42'']]+Tableau_Lancer_la_requête_à_partir_de_Excel_Files10256789[[#This Row],[''43'']]+Tableau_Lancer_la_requête_à_partir_de_Excel_Files10256789[[#This Row],[''46'']]+Tableau_Lancer_la_requête_à_partir_de_Excel_Files10256789[[#This Row],[''48'']]+Tableau_Lancer_la_requête_à_partir_de_Excel_Files10256789[[#This Row],[''58'']]+Tableau_Lancer_la_requête_à_partir_de_Excel_Files10256789[[#This Row],[''63'']]+Tableau_Lancer_la_requête_à_partir_de_Excel_Files10256789[[#This Row],[''69'']]+Tableau_Lancer_la_requête_à_partir_de_Excel_Files10256789[[#This Row],[''71'']]+Tableau_Lancer_la_requête_à_partir_de_Excel_Files10256789[[#This Row],[''81'']]+Tableau_Lancer_la_requête_à_partir_de_Excel_Files10256789[[#This Row],[''82'']]+Tableau_Lancer_la_requête_à_partir_de_Excel_Files10256789[[#This Row],[''87'']]+Tableau_Lancer_la_requête_à_partir_de_Excel_Files10256789[[#This Row],[''89'']]</f>
        <v>0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>
        <v>0</v>
      </c>
      <c r="AR7" s="11" t="s">
        <v>231</v>
      </c>
      <c r="AS7" s="11" t="s">
        <v>231</v>
      </c>
      <c r="AU7" s="133">
        <v>42552</v>
      </c>
      <c r="AV7" s="88"/>
    </row>
    <row r="8" spans="1:85" s="10" customFormat="1" ht="45" x14ac:dyDescent="0.25">
      <c r="A8" s="57" t="s">
        <v>89</v>
      </c>
      <c r="B8" s="57" t="s">
        <v>196</v>
      </c>
      <c r="C8" s="6" t="s">
        <v>157</v>
      </c>
      <c r="D8" s="5" t="s">
        <v>158</v>
      </c>
      <c r="E8" s="5" t="s">
        <v>159</v>
      </c>
      <c r="F8" s="8">
        <v>124459.59</v>
      </c>
      <c r="G8" s="8">
        <f>Tableau_Lancer_la_requête_à_partir_de_Excel_Files10256789[[#This Row],[Aide Massif]]+Tableau_Lancer_la_requête_à_partir_de_Excel_Files10256789[[#This Row],[''Autre Public'']]</f>
        <v>54014.009999999995</v>
      </c>
      <c r="H8" s="9">
        <f>Tableau_Lancer_la_requête_à_partir_de_Excel_Files10256789[[#This Row],[Aide 
publique]]/Tableau_Lancer_la_requête_à_partir_de_Excel_Files10256789[[#This Row],[''Coût total éligible'']]</f>
        <v>0.43398833308064083</v>
      </c>
      <c r="I8" s="8">
        <f>Tableau_Lancer_la_requête_à_partir_de_Excel_Files10256789[[#This Row],[''FEDER'']]+Tableau_Lancer_la_requête_à_partir_de_Excel_Files10256789[[#This Row],[Total Etat]]+Tableau_Lancer_la_requête_à_partir_de_Excel_Files10256789[[#This Row],[Total Régions]]+Tableau_Lancer_la_requête_à_partir_de_Excel_Files10256789[[#This Row],[Total Dpts]]</f>
        <v>54014.009999999995</v>
      </c>
      <c r="J8" s="9">
        <f>Tableau_Lancer_la_requête_à_partir_de_Excel_Files10256789[[#This Row],[Aide Massif]]/Tableau_Lancer_la_requête_à_partir_de_Excel_Files10256789[[#This Row],[''Coût total éligible'']]</f>
        <v>0.43398833308064083</v>
      </c>
      <c r="K8" s="8">
        <v>30865</v>
      </c>
      <c r="L8" s="8">
        <f>Tableau_Lancer_la_requête_à_partir_de_Excel_Files10256789[[#This Row],[''FNADT '']]+Tableau_Lancer_la_requête_à_partir_de_Excel_Files10256789[[#This Row],[''Agriculture'']]</f>
        <v>23149.01</v>
      </c>
      <c r="M8" s="8">
        <v>23149.01</v>
      </c>
      <c r="N8" s="8">
        <v>0</v>
      </c>
      <c r="O8" s="8">
        <f>Tableau_Lancer_la_requête_à_partir_de_Excel_Files10256789[[#This Row],[''ALPC'']]+Tableau_Lancer_la_requête_à_partir_de_Excel_Files10256789[[#This Row],[''AURA'']]+Tableau_Lancer_la_requête_à_partir_de_Excel_Files10256789[[#This Row],[''BFC'']]+Tableau_Lancer_la_requête_à_partir_de_Excel_Files10256789[[#This Row],[''LRMP'']]</f>
        <v>0</v>
      </c>
      <c r="P8" s="8">
        <v>0</v>
      </c>
      <c r="Q8" s="8">
        <v>0</v>
      </c>
      <c r="R8" s="8">
        <v>0</v>
      </c>
      <c r="S8" s="8">
        <v>0</v>
      </c>
      <c r="T8" s="8">
        <f>Tableau_Lancer_la_requête_à_partir_de_Excel_Files10256789[[#This Row],[''03'']]+Tableau_Lancer_la_requête_à_partir_de_Excel_Files10256789[[#This Row],[''07'']]+Tableau_Lancer_la_requête_à_partir_de_Excel_Files10256789[[#This Row],[''11'']]+Tableau_Lancer_la_requête_à_partir_de_Excel_Files10256789[[#This Row],[''12'']]+Tableau_Lancer_la_requête_à_partir_de_Excel_Files10256789[[#This Row],[''15'']]+Tableau_Lancer_la_requête_à_partir_de_Excel_Files10256789[[#This Row],[''19'']]+Tableau_Lancer_la_requête_à_partir_de_Excel_Files10256789[[#This Row],[''21'']]+Tableau_Lancer_la_requête_à_partir_de_Excel_Files10256789[[#This Row],[''23'']]+Tableau_Lancer_la_requête_à_partir_de_Excel_Files10256789[[#This Row],[''30'']]+Tableau_Lancer_la_requête_à_partir_de_Excel_Files10256789[[#This Row],[''34'']]+Tableau_Lancer_la_requête_à_partir_de_Excel_Files10256789[[#This Row],[''42'']]+Tableau_Lancer_la_requête_à_partir_de_Excel_Files10256789[[#This Row],[''43'']]+Tableau_Lancer_la_requête_à_partir_de_Excel_Files10256789[[#This Row],[''46'']]+Tableau_Lancer_la_requête_à_partir_de_Excel_Files10256789[[#This Row],[''48'']]+Tableau_Lancer_la_requête_à_partir_de_Excel_Files10256789[[#This Row],[''58'']]+Tableau_Lancer_la_requête_à_partir_de_Excel_Files10256789[[#This Row],[''63'']]+Tableau_Lancer_la_requête_à_partir_de_Excel_Files10256789[[#This Row],[''69'']]+Tableau_Lancer_la_requête_à_partir_de_Excel_Files10256789[[#This Row],[''71'']]+Tableau_Lancer_la_requête_à_partir_de_Excel_Files10256789[[#This Row],[''81'']]+Tableau_Lancer_la_requête_à_partir_de_Excel_Files10256789[[#This Row],[''82'']]+Tableau_Lancer_la_requête_à_partir_de_Excel_Files10256789[[#This Row],[''87'']]+Tableau_Lancer_la_requête_à_partir_de_Excel_Files10256789[[#This Row],[''89'']]</f>
        <v>0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>
        <v>0</v>
      </c>
      <c r="AR8" s="10" t="s">
        <v>231</v>
      </c>
      <c r="AS8" s="10" t="s">
        <v>231</v>
      </c>
      <c r="AU8" s="134">
        <v>42644</v>
      </c>
      <c r="AV8" s="89"/>
    </row>
    <row r="9" spans="1:85" s="10" customFormat="1" ht="30" x14ac:dyDescent="0.25">
      <c r="A9" s="57" t="s">
        <v>89</v>
      </c>
      <c r="B9" s="57" t="s">
        <v>196</v>
      </c>
      <c r="C9" s="6" t="s">
        <v>160</v>
      </c>
      <c r="D9" s="5" t="s">
        <v>161</v>
      </c>
      <c r="E9" s="5" t="s">
        <v>162</v>
      </c>
      <c r="F9" s="8">
        <v>114000</v>
      </c>
      <c r="G9" s="8">
        <f>Tableau_Lancer_la_requête_à_partir_de_Excel_Files10256789[[#This Row],[Aide Massif]]+Tableau_Lancer_la_requête_à_partir_de_Excel_Files10256789[[#This Row],[''Autre Public'']]</f>
        <v>77800</v>
      </c>
      <c r="H9" s="9">
        <f>Tableau_Lancer_la_requête_à_partir_de_Excel_Files10256789[[#This Row],[Aide 
publique]]/Tableau_Lancer_la_requête_à_partir_de_Excel_Files10256789[[#This Row],[''Coût total éligible'']]</f>
        <v>0.68245614035087721</v>
      </c>
      <c r="I9" s="8">
        <f>Tableau_Lancer_la_requête_à_partir_de_Excel_Files10256789[[#This Row],[''FEDER'']]+Tableau_Lancer_la_requête_à_partir_de_Excel_Files10256789[[#This Row],[Total Etat]]+Tableau_Lancer_la_requête_à_partir_de_Excel_Files10256789[[#This Row],[Total Régions]]+Tableau_Lancer_la_requête_à_partir_de_Excel_Files10256789[[#This Row],[Total Dpts]]</f>
        <v>77800</v>
      </c>
      <c r="J9" s="9">
        <f>Tableau_Lancer_la_requête_à_partir_de_Excel_Files10256789[[#This Row],[Aide Massif]]/Tableau_Lancer_la_requête_à_partir_de_Excel_Files10256789[[#This Row],[''Coût total éligible'']]</f>
        <v>0.68245614035087721</v>
      </c>
      <c r="K9" s="8">
        <v>43600</v>
      </c>
      <c r="L9" s="8">
        <f>Tableau_Lancer_la_requête_à_partir_de_Excel_Files10256789[[#This Row],[''FNADT '']]+Tableau_Lancer_la_requête_à_partir_de_Excel_Files10256789[[#This Row],[''Agriculture'']]</f>
        <v>0</v>
      </c>
      <c r="M9" s="8"/>
      <c r="N9" s="8"/>
      <c r="O9" s="8">
        <f>Tableau_Lancer_la_requête_à_partir_de_Excel_Files10256789[[#This Row],[''ALPC'']]+Tableau_Lancer_la_requête_à_partir_de_Excel_Files10256789[[#This Row],[''AURA'']]+Tableau_Lancer_la_requête_à_partir_de_Excel_Files10256789[[#This Row],[''BFC'']]+Tableau_Lancer_la_requête_à_partir_de_Excel_Files10256789[[#This Row],[''LRMP'']]</f>
        <v>34200</v>
      </c>
      <c r="P9" s="8"/>
      <c r="Q9" s="8">
        <v>34200</v>
      </c>
      <c r="R9" s="8"/>
      <c r="S9" s="8"/>
      <c r="T9" s="8">
        <f>Tableau_Lancer_la_requête_à_partir_de_Excel_Files10256789[[#This Row],[''03'']]+Tableau_Lancer_la_requête_à_partir_de_Excel_Files10256789[[#This Row],[''07'']]+Tableau_Lancer_la_requête_à_partir_de_Excel_Files10256789[[#This Row],[''11'']]+Tableau_Lancer_la_requête_à_partir_de_Excel_Files10256789[[#This Row],[''12'']]+Tableau_Lancer_la_requête_à_partir_de_Excel_Files10256789[[#This Row],[''15'']]+Tableau_Lancer_la_requête_à_partir_de_Excel_Files10256789[[#This Row],[''19'']]+Tableau_Lancer_la_requête_à_partir_de_Excel_Files10256789[[#This Row],[''21'']]+Tableau_Lancer_la_requête_à_partir_de_Excel_Files10256789[[#This Row],[''23'']]+Tableau_Lancer_la_requête_à_partir_de_Excel_Files10256789[[#This Row],[''30'']]+Tableau_Lancer_la_requête_à_partir_de_Excel_Files10256789[[#This Row],[''34'']]+Tableau_Lancer_la_requête_à_partir_de_Excel_Files10256789[[#This Row],[''42'']]+Tableau_Lancer_la_requête_à_partir_de_Excel_Files10256789[[#This Row],[''43'']]+Tableau_Lancer_la_requête_à_partir_de_Excel_Files10256789[[#This Row],[''46'']]+Tableau_Lancer_la_requête_à_partir_de_Excel_Files10256789[[#This Row],[''48'']]+Tableau_Lancer_la_requête_à_partir_de_Excel_Files10256789[[#This Row],[''58'']]+Tableau_Lancer_la_requête_à_partir_de_Excel_Files10256789[[#This Row],[''63'']]+Tableau_Lancer_la_requête_à_partir_de_Excel_Files10256789[[#This Row],[''69'']]+Tableau_Lancer_la_requête_à_partir_de_Excel_Files10256789[[#This Row],[''71'']]+Tableau_Lancer_la_requête_à_partir_de_Excel_Files10256789[[#This Row],[''81'']]+Tableau_Lancer_la_requête_à_partir_de_Excel_Files10256789[[#This Row],[''82'']]+Tableau_Lancer_la_requête_à_partir_de_Excel_Files10256789[[#This Row],[''87'']]+Tableau_Lancer_la_requête_à_partir_de_Excel_Files10256789[[#This Row],[''89'']]</f>
        <v>0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>
        <v>0</v>
      </c>
      <c r="AR9" s="10" t="s">
        <v>231</v>
      </c>
      <c r="AS9" s="10" t="s">
        <v>231</v>
      </c>
      <c r="AU9" s="133">
        <v>42675</v>
      </c>
      <c r="AV9" s="88"/>
    </row>
    <row r="10" spans="1:85" s="10" customFormat="1" ht="60" x14ac:dyDescent="0.25">
      <c r="A10" s="57" t="s">
        <v>89</v>
      </c>
      <c r="B10" s="57" t="s">
        <v>196</v>
      </c>
      <c r="C10" s="6" t="s">
        <v>163</v>
      </c>
      <c r="D10" s="5" t="s">
        <v>164</v>
      </c>
      <c r="E10" s="5" t="s">
        <v>165</v>
      </c>
      <c r="F10" s="8">
        <v>148000</v>
      </c>
      <c r="G10" s="8">
        <f>Tableau_Lancer_la_requête_à_partir_de_Excel_Files10256789[[#This Row],[Aide Massif]]+Tableau_Lancer_la_requête_à_partir_de_Excel_Files10256789[[#This Row],[''Autre Public'']]</f>
        <v>2500</v>
      </c>
      <c r="H10" s="9">
        <f>Tableau_Lancer_la_requête_à_partir_de_Excel_Files10256789[[#This Row],[Aide 
publique]]/Tableau_Lancer_la_requête_à_partir_de_Excel_Files10256789[[#This Row],[''Coût total éligible'']]</f>
        <v>1.6891891891891893E-2</v>
      </c>
      <c r="I10" s="8">
        <f>Tableau_Lancer_la_requête_à_partir_de_Excel_Files10256789[[#This Row],[''FEDER'']]+Tableau_Lancer_la_requête_à_partir_de_Excel_Files10256789[[#This Row],[Total Etat]]+Tableau_Lancer_la_requête_à_partir_de_Excel_Files10256789[[#This Row],[Total Régions]]+Tableau_Lancer_la_requête_à_partir_de_Excel_Files10256789[[#This Row],[Total Dpts]]</f>
        <v>2500</v>
      </c>
      <c r="J10" s="9">
        <f>Tableau_Lancer_la_requête_à_partir_de_Excel_Files10256789[[#This Row],[Aide Massif]]/Tableau_Lancer_la_requête_à_partir_de_Excel_Files10256789[[#This Row],[''Coût total éligible'']]</f>
        <v>1.6891891891891893E-2</v>
      </c>
      <c r="K10" s="8">
        <v>0</v>
      </c>
      <c r="L10" s="8">
        <f>Tableau_Lancer_la_requête_à_partir_de_Excel_Files10256789[[#This Row],[''FNADT '']]+Tableau_Lancer_la_requête_à_partir_de_Excel_Files10256789[[#This Row],[''Agriculture'']]</f>
        <v>0</v>
      </c>
      <c r="M10" s="8"/>
      <c r="N10" s="8"/>
      <c r="O10" s="8">
        <f>Tableau_Lancer_la_requête_à_partir_de_Excel_Files10256789[[#This Row],[''ALPC'']]+Tableau_Lancer_la_requête_à_partir_de_Excel_Files10256789[[#This Row],[''AURA'']]+Tableau_Lancer_la_requête_à_partir_de_Excel_Files10256789[[#This Row],[''BFC'']]+Tableau_Lancer_la_requête_à_partir_de_Excel_Files10256789[[#This Row],[''LRMP'']]</f>
        <v>0</v>
      </c>
      <c r="P10" s="8"/>
      <c r="Q10" s="8"/>
      <c r="R10" s="8"/>
      <c r="S10" s="8"/>
      <c r="T10" s="8">
        <f>Tableau_Lancer_la_requête_à_partir_de_Excel_Files10256789[[#This Row],[''03'']]+Tableau_Lancer_la_requête_à_partir_de_Excel_Files10256789[[#This Row],[''07'']]+Tableau_Lancer_la_requête_à_partir_de_Excel_Files10256789[[#This Row],[''11'']]+Tableau_Lancer_la_requête_à_partir_de_Excel_Files10256789[[#This Row],[''12'']]+Tableau_Lancer_la_requête_à_partir_de_Excel_Files10256789[[#This Row],[''15'']]+Tableau_Lancer_la_requête_à_partir_de_Excel_Files10256789[[#This Row],[''19'']]+Tableau_Lancer_la_requête_à_partir_de_Excel_Files10256789[[#This Row],[''21'']]+Tableau_Lancer_la_requête_à_partir_de_Excel_Files10256789[[#This Row],[''23'']]+Tableau_Lancer_la_requête_à_partir_de_Excel_Files10256789[[#This Row],[''30'']]+Tableau_Lancer_la_requête_à_partir_de_Excel_Files10256789[[#This Row],[''34'']]+Tableau_Lancer_la_requête_à_partir_de_Excel_Files10256789[[#This Row],[''42'']]+Tableau_Lancer_la_requête_à_partir_de_Excel_Files10256789[[#This Row],[''43'']]+Tableau_Lancer_la_requête_à_partir_de_Excel_Files10256789[[#This Row],[''46'']]+Tableau_Lancer_la_requête_à_partir_de_Excel_Files10256789[[#This Row],[''48'']]+Tableau_Lancer_la_requête_à_partir_de_Excel_Files10256789[[#This Row],[''58'']]+Tableau_Lancer_la_requête_à_partir_de_Excel_Files10256789[[#This Row],[''63'']]+Tableau_Lancer_la_requête_à_partir_de_Excel_Files10256789[[#This Row],[''69'']]+Tableau_Lancer_la_requête_à_partir_de_Excel_Files10256789[[#This Row],[''71'']]+Tableau_Lancer_la_requête_à_partir_de_Excel_Files10256789[[#This Row],[''81'']]+Tableau_Lancer_la_requête_à_partir_de_Excel_Files10256789[[#This Row],[''82'']]+Tableau_Lancer_la_requête_à_partir_de_Excel_Files10256789[[#This Row],[''87'']]+Tableau_Lancer_la_requête_à_partir_de_Excel_Files10256789[[#This Row],[''89'']]</f>
        <v>2500</v>
      </c>
      <c r="U10" s="8"/>
      <c r="V10" s="8"/>
      <c r="W10" s="8"/>
      <c r="X10" s="8"/>
      <c r="Y10" s="8"/>
      <c r="Z10" s="8"/>
      <c r="AA10" s="8"/>
      <c r="AB10" s="8"/>
      <c r="AC10" s="8">
        <v>2500</v>
      </c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>
        <v>0</v>
      </c>
      <c r="AR10" s="10" t="s">
        <v>231</v>
      </c>
      <c r="AS10" s="10" t="s">
        <v>103</v>
      </c>
      <c r="AU10" s="134">
        <v>42736</v>
      </c>
      <c r="AV10" s="135" t="s">
        <v>238</v>
      </c>
    </row>
    <row r="11" spans="1:85" ht="60" x14ac:dyDescent="0.25">
      <c r="A11" s="57" t="s">
        <v>89</v>
      </c>
      <c r="B11" s="57" t="s">
        <v>196</v>
      </c>
      <c r="C11" s="6" t="s">
        <v>168</v>
      </c>
      <c r="D11" s="5" t="s">
        <v>169</v>
      </c>
      <c r="E11" s="5" t="s">
        <v>170</v>
      </c>
      <c r="F11" s="8">
        <v>77027.399999999994</v>
      </c>
      <c r="G11" s="8">
        <f>Tableau_Lancer_la_requête_à_partir_de_Excel_Files10256789[[#This Row],[Aide Massif]]+Tableau_Lancer_la_requête_à_partir_de_Excel_Files10256789[[#This Row],[''Autre Public'']]</f>
        <v>28439</v>
      </c>
      <c r="H11" s="9">
        <f>Tableau_Lancer_la_requête_à_partir_de_Excel_Files10256789[[#This Row],[Aide 
publique]]/Tableau_Lancer_la_requête_à_partir_de_Excel_Files10256789[[#This Row],[''Coût total éligible'']]</f>
        <v>0.36920628243975523</v>
      </c>
      <c r="I11" s="8">
        <f>Tableau_Lancer_la_requête_à_partir_de_Excel_Files10256789[[#This Row],[''FEDER'']]+Tableau_Lancer_la_requête_à_partir_de_Excel_Files10256789[[#This Row],[Total Etat]]+Tableau_Lancer_la_requête_à_partir_de_Excel_Files10256789[[#This Row],[Total Régions]]+Tableau_Lancer_la_requête_à_partir_de_Excel_Files10256789[[#This Row],[Total Dpts]]</f>
        <v>28439</v>
      </c>
      <c r="J11" s="9">
        <f>Tableau_Lancer_la_requête_à_partir_de_Excel_Files10256789[[#This Row],[Aide Massif]]/Tableau_Lancer_la_requête_à_partir_de_Excel_Files10256789[[#This Row],[''Coût total éligible'']]</f>
        <v>0.36920628243975523</v>
      </c>
      <c r="K11" s="8">
        <v>28439</v>
      </c>
      <c r="L11" s="8">
        <f>Tableau_Lancer_la_requête_à_partir_de_Excel_Files10256789[[#This Row],[''FNADT '']]+Tableau_Lancer_la_requête_à_partir_de_Excel_Files10256789[[#This Row],[''Agriculture'']]</f>
        <v>0</v>
      </c>
      <c r="M11" s="8"/>
      <c r="N11" s="8"/>
      <c r="O11" s="8">
        <f>Tableau_Lancer_la_requête_à_partir_de_Excel_Files10256789[[#This Row],[''ALPC'']]+Tableau_Lancer_la_requête_à_partir_de_Excel_Files10256789[[#This Row],[''AURA'']]+Tableau_Lancer_la_requête_à_partir_de_Excel_Files10256789[[#This Row],[''BFC'']]+Tableau_Lancer_la_requête_à_partir_de_Excel_Files10256789[[#This Row],[''LRMP'']]</f>
        <v>0</v>
      </c>
      <c r="P11" s="8"/>
      <c r="Q11" s="8"/>
      <c r="R11" s="8"/>
      <c r="S11" s="8"/>
      <c r="T11" s="8">
        <f>Tableau_Lancer_la_requête_à_partir_de_Excel_Files10256789[[#This Row],[''03'']]+Tableau_Lancer_la_requête_à_partir_de_Excel_Files10256789[[#This Row],[''07'']]+Tableau_Lancer_la_requête_à_partir_de_Excel_Files10256789[[#This Row],[''11'']]+Tableau_Lancer_la_requête_à_partir_de_Excel_Files10256789[[#This Row],[''12'']]+Tableau_Lancer_la_requête_à_partir_de_Excel_Files10256789[[#This Row],[''15'']]+Tableau_Lancer_la_requête_à_partir_de_Excel_Files10256789[[#This Row],[''19'']]+Tableau_Lancer_la_requête_à_partir_de_Excel_Files10256789[[#This Row],[''21'']]+Tableau_Lancer_la_requête_à_partir_de_Excel_Files10256789[[#This Row],[''23'']]+Tableau_Lancer_la_requête_à_partir_de_Excel_Files10256789[[#This Row],[''30'']]+Tableau_Lancer_la_requête_à_partir_de_Excel_Files10256789[[#This Row],[''34'']]+Tableau_Lancer_la_requête_à_partir_de_Excel_Files10256789[[#This Row],[''42'']]+Tableau_Lancer_la_requête_à_partir_de_Excel_Files10256789[[#This Row],[''43'']]+Tableau_Lancer_la_requête_à_partir_de_Excel_Files10256789[[#This Row],[''46'']]+Tableau_Lancer_la_requête_à_partir_de_Excel_Files10256789[[#This Row],[''48'']]+Tableau_Lancer_la_requête_à_partir_de_Excel_Files10256789[[#This Row],[''58'']]+Tableau_Lancer_la_requête_à_partir_de_Excel_Files10256789[[#This Row],[''63'']]+Tableau_Lancer_la_requête_à_partir_de_Excel_Files10256789[[#This Row],[''69'']]+Tableau_Lancer_la_requête_à_partir_de_Excel_Files10256789[[#This Row],[''71'']]+Tableau_Lancer_la_requête_à_partir_de_Excel_Files10256789[[#This Row],[''81'']]+Tableau_Lancer_la_requête_à_partir_de_Excel_Files10256789[[#This Row],[''82'']]+Tableau_Lancer_la_requête_à_partir_de_Excel_Files10256789[[#This Row],[''87'']]+Tableau_Lancer_la_requête_à_partir_de_Excel_Files10256789[[#This Row],[''89'']]</f>
        <v>0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>
        <v>0</v>
      </c>
      <c r="AR11" s="10" t="s">
        <v>231</v>
      </c>
      <c r="AS11" s="10" t="s">
        <v>231</v>
      </c>
      <c r="AU11" s="133">
        <v>42826</v>
      </c>
      <c r="AV11" s="136"/>
      <c r="CF11" s="4"/>
      <c r="CG11" s="3"/>
    </row>
    <row r="12" spans="1:85" ht="45" x14ac:dyDescent="0.25">
      <c r="A12" s="57" t="s">
        <v>89</v>
      </c>
      <c r="B12" s="57" t="s">
        <v>196</v>
      </c>
      <c r="C12" s="6" t="s">
        <v>171</v>
      </c>
      <c r="D12" s="5" t="s">
        <v>172</v>
      </c>
      <c r="E12" s="5" t="s">
        <v>173</v>
      </c>
      <c r="F12" s="8">
        <v>75000</v>
      </c>
      <c r="G12" s="8">
        <f>Tableau_Lancer_la_requête_à_partir_de_Excel_Files10256789[[#This Row],[Aide Massif]]+Tableau_Lancer_la_requête_à_partir_de_Excel_Files10256789[[#This Row],[''Autre Public'']]</f>
        <v>52500</v>
      </c>
      <c r="H12" s="9">
        <f>Tableau_Lancer_la_requête_à_partir_de_Excel_Files10256789[[#This Row],[Aide 
publique]]/Tableau_Lancer_la_requête_à_partir_de_Excel_Files10256789[[#This Row],[''Coût total éligible'']]</f>
        <v>0.7</v>
      </c>
      <c r="I12" s="8">
        <f>Tableau_Lancer_la_requête_à_partir_de_Excel_Files10256789[[#This Row],[''FEDER'']]+Tableau_Lancer_la_requête_à_partir_de_Excel_Files10256789[[#This Row],[Total Etat]]+Tableau_Lancer_la_requête_à_partir_de_Excel_Files10256789[[#This Row],[Total Régions]]+Tableau_Lancer_la_requête_à_partir_de_Excel_Files10256789[[#This Row],[Total Dpts]]</f>
        <v>52500</v>
      </c>
      <c r="J12" s="9">
        <f>Tableau_Lancer_la_requête_à_partir_de_Excel_Files10256789[[#This Row],[Aide Massif]]/Tableau_Lancer_la_requête_à_partir_de_Excel_Files10256789[[#This Row],[''Coût total éligible'']]</f>
        <v>0.7</v>
      </c>
      <c r="K12" s="8">
        <v>30000</v>
      </c>
      <c r="L12" s="8">
        <f>Tableau_Lancer_la_requête_à_partir_de_Excel_Files10256789[[#This Row],[''FNADT '']]+Tableau_Lancer_la_requête_à_partir_de_Excel_Files10256789[[#This Row],[''Agriculture'']]</f>
        <v>22500</v>
      </c>
      <c r="M12" s="8">
        <v>22500</v>
      </c>
      <c r="N12" s="8"/>
      <c r="O12" s="8">
        <f>Tableau_Lancer_la_requête_à_partir_de_Excel_Files10256789[[#This Row],[''ALPC'']]+Tableau_Lancer_la_requête_à_partir_de_Excel_Files10256789[[#This Row],[''AURA'']]+Tableau_Lancer_la_requête_à_partir_de_Excel_Files10256789[[#This Row],[''BFC'']]+Tableau_Lancer_la_requête_à_partir_de_Excel_Files10256789[[#This Row],[''LRMP'']]</f>
        <v>0</v>
      </c>
      <c r="P12" s="8"/>
      <c r="Q12" s="8"/>
      <c r="R12" s="8"/>
      <c r="S12" s="8"/>
      <c r="T12" s="8">
        <f>Tableau_Lancer_la_requête_à_partir_de_Excel_Files10256789[[#This Row],[''03'']]+Tableau_Lancer_la_requête_à_partir_de_Excel_Files10256789[[#This Row],[''07'']]+Tableau_Lancer_la_requête_à_partir_de_Excel_Files10256789[[#This Row],[''11'']]+Tableau_Lancer_la_requête_à_partir_de_Excel_Files10256789[[#This Row],[''12'']]+Tableau_Lancer_la_requête_à_partir_de_Excel_Files10256789[[#This Row],[''15'']]+Tableau_Lancer_la_requête_à_partir_de_Excel_Files10256789[[#This Row],[''19'']]+Tableau_Lancer_la_requête_à_partir_de_Excel_Files10256789[[#This Row],[''21'']]+Tableau_Lancer_la_requête_à_partir_de_Excel_Files10256789[[#This Row],[''23'']]+Tableau_Lancer_la_requête_à_partir_de_Excel_Files10256789[[#This Row],[''30'']]+Tableau_Lancer_la_requête_à_partir_de_Excel_Files10256789[[#This Row],[''34'']]+Tableau_Lancer_la_requête_à_partir_de_Excel_Files10256789[[#This Row],[''42'']]+Tableau_Lancer_la_requête_à_partir_de_Excel_Files10256789[[#This Row],[''43'']]+Tableau_Lancer_la_requête_à_partir_de_Excel_Files10256789[[#This Row],[''46'']]+Tableau_Lancer_la_requête_à_partir_de_Excel_Files10256789[[#This Row],[''48'']]+Tableau_Lancer_la_requête_à_partir_de_Excel_Files10256789[[#This Row],[''58'']]+Tableau_Lancer_la_requête_à_partir_de_Excel_Files10256789[[#This Row],[''63'']]+Tableau_Lancer_la_requête_à_partir_de_Excel_Files10256789[[#This Row],[''69'']]+Tableau_Lancer_la_requête_à_partir_de_Excel_Files10256789[[#This Row],[''71'']]+Tableau_Lancer_la_requête_à_partir_de_Excel_Files10256789[[#This Row],[''81'']]+Tableau_Lancer_la_requête_à_partir_de_Excel_Files10256789[[#This Row],[''82'']]+Tableau_Lancer_la_requête_à_partir_de_Excel_Files10256789[[#This Row],[''87'']]+Tableau_Lancer_la_requête_à_partir_de_Excel_Files10256789[[#This Row],[''89'']]</f>
        <v>0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>
        <v>0</v>
      </c>
      <c r="AR12" s="10" t="s">
        <v>231</v>
      </c>
      <c r="AS12" s="10" t="s">
        <v>231</v>
      </c>
      <c r="AU12" s="134">
        <v>42767</v>
      </c>
      <c r="AV12" s="135"/>
    </row>
    <row r="13" spans="1:85" ht="60" x14ac:dyDescent="0.25">
      <c r="A13" s="114" t="s">
        <v>89</v>
      </c>
      <c r="B13" s="114" t="s">
        <v>196</v>
      </c>
      <c r="C13" s="111" t="s">
        <v>174</v>
      </c>
      <c r="D13" s="106" t="s">
        <v>164</v>
      </c>
      <c r="E13" s="106" t="s">
        <v>175</v>
      </c>
      <c r="F13" s="112">
        <v>265000</v>
      </c>
      <c r="G13" s="112">
        <f>Tableau_Lancer_la_requête_à_partir_de_Excel_Files10256789[[#This Row],[Aide Massif]]+Tableau_Lancer_la_requête_à_partir_de_Excel_Files10256789[[#This Row],[''Autre Public'']]</f>
        <v>55120</v>
      </c>
      <c r="H13" s="113">
        <f>Tableau_Lancer_la_requête_à_partir_de_Excel_Files10256789[[#This Row],[Aide 
publique]]/Tableau_Lancer_la_requête_à_partir_de_Excel_Files10256789[[#This Row],[''Coût total éligible'']]</f>
        <v>0.20799999999999999</v>
      </c>
      <c r="I13" s="112">
        <f>Tableau_Lancer_la_requête_à_partir_de_Excel_Files10256789[[#This Row],[''FEDER'']]+Tableau_Lancer_la_requête_à_partir_de_Excel_Files10256789[[#This Row],[Total Etat]]+Tableau_Lancer_la_requête_à_partir_de_Excel_Files10256789[[#This Row],[Total Régions]]+Tableau_Lancer_la_requête_à_partir_de_Excel_Files10256789[[#This Row],[Total Dpts]]</f>
        <v>55120</v>
      </c>
      <c r="J13" s="113">
        <f>Tableau_Lancer_la_requête_à_partir_de_Excel_Files10256789[[#This Row],[Aide Massif]]/Tableau_Lancer_la_requête_à_partir_de_Excel_Files10256789[[#This Row],[''Coût total éligible'']]</f>
        <v>0.20799999999999999</v>
      </c>
      <c r="K13" s="112">
        <v>0</v>
      </c>
      <c r="L13" s="112">
        <f>Tableau_Lancer_la_requête_à_partir_de_Excel_Files10256789[[#This Row],[''FNADT '']]+Tableau_Lancer_la_requête_à_partir_de_Excel_Files10256789[[#This Row],[''Agriculture'']]</f>
        <v>0</v>
      </c>
      <c r="M13" s="112"/>
      <c r="N13" s="112"/>
      <c r="O13" s="112">
        <f>Tableau_Lancer_la_requête_à_partir_de_Excel_Files10256789[[#This Row],[''ALPC'']]+Tableau_Lancer_la_requête_à_partir_de_Excel_Files10256789[[#This Row],[''AURA'']]+Tableau_Lancer_la_requête_à_partir_de_Excel_Files10256789[[#This Row],[''BFC'']]+Tableau_Lancer_la_requête_à_partir_de_Excel_Files10256789[[#This Row],[''LRMP'']]</f>
        <v>0</v>
      </c>
      <c r="P13" s="112"/>
      <c r="Q13" s="112"/>
      <c r="R13" s="112"/>
      <c r="S13" s="112"/>
      <c r="T13" s="8">
        <f>Tableau_Lancer_la_requête_à_partir_de_Excel_Files10256789[[#This Row],[''03'']]+Tableau_Lancer_la_requête_à_partir_de_Excel_Files10256789[[#This Row],[''07'']]+Tableau_Lancer_la_requête_à_partir_de_Excel_Files10256789[[#This Row],[''11'']]+Tableau_Lancer_la_requête_à_partir_de_Excel_Files10256789[[#This Row],[''12'']]+Tableau_Lancer_la_requête_à_partir_de_Excel_Files10256789[[#This Row],[''15'']]+Tableau_Lancer_la_requête_à_partir_de_Excel_Files10256789[[#This Row],[''19'']]+Tableau_Lancer_la_requête_à_partir_de_Excel_Files10256789[[#This Row],[''21'']]+Tableau_Lancer_la_requête_à_partir_de_Excel_Files10256789[[#This Row],[''23'']]+Tableau_Lancer_la_requête_à_partir_de_Excel_Files10256789[[#This Row],[''30'']]+Tableau_Lancer_la_requête_à_partir_de_Excel_Files10256789[[#This Row],[''34'']]+Tableau_Lancer_la_requête_à_partir_de_Excel_Files10256789[[#This Row],[''42'']]+Tableau_Lancer_la_requête_à_partir_de_Excel_Files10256789[[#This Row],[''43'']]+Tableau_Lancer_la_requête_à_partir_de_Excel_Files10256789[[#This Row],[''46'']]+Tableau_Lancer_la_requête_à_partir_de_Excel_Files10256789[[#This Row],[''48'']]+Tableau_Lancer_la_requête_à_partir_de_Excel_Files10256789[[#This Row],[''58'']]+Tableau_Lancer_la_requête_à_partir_de_Excel_Files10256789[[#This Row],[''63'']]+Tableau_Lancer_la_requête_à_partir_de_Excel_Files10256789[[#This Row],[''69'']]+Tableau_Lancer_la_requête_à_partir_de_Excel_Files10256789[[#This Row],[''71'']]+Tableau_Lancer_la_requête_à_partir_de_Excel_Files10256789[[#This Row],[''81'']]+Tableau_Lancer_la_requête_à_partir_de_Excel_Files10256789[[#This Row],[''82'']]+Tableau_Lancer_la_requête_à_partir_de_Excel_Files10256789[[#This Row],[''87'']]+Tableau_Lancer_la_requête_à_partir_de_Excel_Files10256789[[#This Row],[''89'']]</f>
        <v>55120</v>
      </c>
      <c r="U13" s="112"/>
      <c r="V13" s="112"/>
      <c r="W13" s="112"/>
      <c r="X13" s="112"/>
      <c r="Y13" s="112"/>
      <c r="Z13" s="112"/>
      <c r="AA13" s="112"/>
      <c r="AB13" s="112"/>
      <c r="AC13" s="112">
        <v>55120</v>
      </c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>
        <v>0</v>
      </c>
      <c r="AR13" s="105" t="s">
        <v>231</v>
      </c>
      <c r="AS13" s="105" t="s">
        <v>103</v>
      </c>
      <c r="AU13" s="133">
        <v>42767</v>
      </c>
      <c r="AV13" s="136" t="s">
        <v>238</v>
      </c>
    </row>
    <row r="14" spans="1:85" ht="45.75" thickBot="1" x14ac:dyDescent="0.3">
      <c r="A14" s="114" t="s">
        <v>89</v>
      </c>
      <c r="B14" s="114" t="s">
        <v>196</v>
      </c>
      <c r="C14" s="111" t="s">
        <v>176</v>
      </c>
      <c r="D14" s="106" t="s">
        <v>177</v>
      </c>
      <c r="E14" s="106" t="s">
        <v>178</v>
      </c>
      <c r="F14" s="112">
        <v>129818</v>
      </c>
      <c r="G14" s="112">
        <f>Tableau_Lancer_la_requête_à_partir_de_Excel_Files10256789[[#This Row],[Aide Massif]]+Tableau_Lancer_la_requête_à_partir_de_Excel_Files10256789[[#This Row],[''Autre Public'']]</f>
        <v>83427</v>
      </c>
      <c r="H14" s="113">
        <f>Tableau_Lancer_la_requête_à_partir_de_Excel_Files10256789[[#This Row],[Aide 
publique]]/Tableau_Lancer_la_requête_à_partir_de_Excel_Files10256789[[#This Row],[''Coût total éligible'']]</f>
        <v>0.64264585804742025</v>
      </c>
      <c r="I14" s="112">
        <f>Tableau_Lancer_la_requête_à_partir_de_Excel_Files10256789[[#This Row],[''FEDER'']]+Tableau_Lancer_la_requête_à_partir_de_Excel_Files10256789[[#This Row],[Total Etat]]+Tableau_Lancer_la_requête_à_partir_de_Excel_Files10256789[[#This Row],[Total Régions]]+Tableau_Lancer_la_requête_à_partir_de_Excel_Files10256789[[#This Row],[Total Dpts]]</f>
        <v>83427</v>
      </c>
      <c r="J14" s="113">
        <f>Tableau_Lancer_la_requête_à_partir_de_Excel_Files10256789[[#This Row],[Aide Massif]]/Tableau_Lancer_la_requête_à_partir_de_Excel_Files10256789[[#This Row],[''Coût total éligible'']]</f>
        <v>0.64264585804742025</v>
      </c>
      <c r="K14" s="112">
        <v>51927</v>
      </c>
      <c r="L14" s="112">
        <f>Tableau_Lancer_la_requête_à_partir_de_Excel_Files10256789[[#This Row],[''FNADT '']]+Tableau_Lancer_la_requête_à_partir_de_Excel_Files10256789[[#This Row],[''Agriculture'']]</f>
        <v>13500</v>
      </c>
      <c r="M14" s="112">
        <v>13500</v>
      </c>
      <c r="N14" s="112"/>
      <c r="O14" s="112">
        <f>Tableau_Lancer_la_requête_à_partir_de_Excel_Files10256789[[#This Row],[''ALPC'']]+Tableau_Lancer_la_requête_à_partir_de_Excel_Files10256789[[#This Row],[''AURA'']]+Tableau_Lancer_la_requête_à_partir_de_Excel_Files10256789[[#This Row],[''BFC'']]+Tableau_Lancer_la_requête_à_partir_de_Excel_Files10256789[[#This Row],[''LRMP'']]</f>
        <v>0</v>
      </c>
      <c r="P14" s="112"/>
      <c r="Q14" s="112"/>
      <c r="R14" s="112"/>
      <c r="S14" s="112"/>
      <c r="T14" s="112">
        <f>Tableau_Lancer_la_requête_à_partir_de_Excel_Files10256789[[#This Row],[''03'']]+Tableau_Lancer_la_requête_à_partir_de_Excel_Files10256789[[#This Row],[''07'']]+Tableau_Lancer_la_requête_à_partir_de_Excel_Files10256789[[#This Row],[''11'']]+Tableau_Lancer_la_requête_à_partir_de_Excel_Files10256789[[#This Row],[''12'']]+Tableau_Lancer_la_requête_à_partir_de_Excel_Files10256789[[#This Row],[''15'']]+Tableau_Lancer_la_requête_à_partir_de_Excel_Files10256789[[#This Row],[''19'']]+Tableau_Lancer_la_requête_à_partir_de_Excel_Files10256789[[#This Row],[''21'']]+Tableau_Lancer_la_requête_à_partir_de_Excel_Files10256789[[#This Row],[''23'']]+Tableau_Lancer_la_requête_à_partir_de_Excel_Files10256789[[#This Row],[''30'']]+Tableau_Lancer_la_requête_à_partir_de_Excel_Files10256789[[#This Row],[''34'']]+Tableau_Lancer_la_requête_à_partir_de_Excel_Files10256789[[#This Row],[''42'']]+Tableau_Lancer_la_requête_à_partir_de_Excel_Files10256789[[#This Row],[''43'']]+Tableau_Lancer_la_requête_à_partir_de_Excel_Files10256789[[#This Row],[''46'']]+Tableau_Lancer_la_requête_à_partir_de_Excel_Files10256789[[#This Row],[''48'']]+Tableau_Lancer_la_requête_à_partir_de_Excel_Files10256789[[#This Row],[''58'']]+Tableau_Lancer_la_requête_à_partir_de_Excel_Files10256789[[#This Row],[''63'']]+Tableau_Lancer_la_requête_à_partir_de_Excel_Files10256789[[#This Row],[''69'']]+Tableau_Lancer_la_requête_à_partir_de_Excel_Files10256789[[#This Row],[''71'']]+Tableau_Lancer_la_requête_à_partir_de_Excel_Files10256789[[#This Row],[''81'']]+Tableau_Lancer_la_requête_à_partir_de_Excel_Files10256789[[#This Row],[''82'']]+Tableau_Lancer_la_requête_à_partir_de_Excel_Files10256789[[#This Row],[''87'']]+Tableau_Lancer_la_requête_à_partir_de_Excel_Files10256789[[#This Row],[''89'']]</f>
        <v>18000</v>
      </c>
      <c r="U14" s="112"/>
      <c r="V14" s="112"/>
      <c r="W14" s="112"/>
      <c r="X14" s="112"/>
      <c r="Y14" s="112"/>
      <c r="Z14" s="112"/>
      <c r="AA14" s="112"/>
      <c r="AB14" s="112"/>
      <c r="AC14" s="112"/>
      <c r="AD14" s="112">
        <v>18000</v>
      </c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>
        <v>0</v>
      </c>
      <c r="AR14" s="105" t="s">
        <v>231</v>
      </c>
      <c r="AS14" s="105" t="s">
        <v>231</v>
      </c>
      <c r="AU14" s="134">
        <v>42736</v>
      </c>
      <c r="AV14" s="89"/>
    </row>
    <row r="15" spans="1:85" ht="15.75" thickTop="1" x14ac:dyDescent="0.25">
      <c r="A15" s="10"/>
      <c r="B15" s="10"/>
      <c r="C15" s="10" t="s">
        <v>8</v>
      </c>
      <c r="D15" s="5">
        <f>SUBTOTAL(103,Tableau_Lancer_la_requête_à_partir_de_Excel_Files10256789[Nom_MO])</f>
        <v>8</v>
      </c>
      <c r="E15" s="5"/>
      <c r="F15" s="52">
        <f>SUBTOTAL(109,Tableau_Lancer_la_requête_à_partir_de_Excel_Files10256789[''Coût total éligible''])</f>
        <v>1010805.06</v>
      </c>
      <c r="G15" s="52">
        <f>SUBTOTAL(109,Tableau_Lancer_la_requête_à_partir_de_Excel_Files10256789[Aide 
publique])</f>
        <v>405425.01</v>
      </c>
      <c r="H15" s="123"/>
      <c r="I15" s="52">
        <f>SUBTOTAL(109,Tableau_Lancer_la_requête_à_partir_de_Excel_Files10256789[Aide Massif])</f>
        <v>405425.01</v>
      </c>
      <c r="J15" s="123"/>
      <c r="K15" s="52">
        <f>SUBTOTAL(109,Tableau_Lancer_la_requête_à_partir_de_Excel_Files10256789[''FEDER''])</f>
        <v>184831</v>
      </c>
      <c r="L15" s="52">
        <f>SUBTOTAL(109,Tableau_Lancer_la_requête_à_partir_de_Excel_Files10256789[Total Etat])</f>
        <v>95774.01</v>
      </c>
      <c r="M15" s="10"/>
      <c r="N15" s="52">
        <f>SUBTOTAL(109,Tableau_Lancer_la_requête_à_partir_de_Excel_Files10256789[''Agriculture''])</f>
        <v>0</v>
      </c>
      <c r="O15" s="52">
        <f>SUBTOTAL(109,Tableau_Lancer_la_requête_à_partir_de_Excel_Files10256789[Total Régions])</f>
        <v>49200</v>
      </c>
      <c r="P15" s="52">
        <f>SUBTOTAL(109,Tableau_Lancer_la_requête_à_partir_de_Excel_Files10256789[''ALPC''])</f>
        <v>0</v>
      </c>
      <c r="Q15" s="52">
        <f>SUBTOTAL(109,Tableau_Lancer_la_requête_à_partir_de_Excel_Files10256789[''AURA''])</f>
        <v>49200</v>
      </c>
      <c r="R15" s="52">
        <f>SUBTOTAL(109,Tableau_Lancer_la_requête_à_partir_de_Excel_Files10256789[''BFC''])</f>
        <v>0</v>
      </c>
      <c r="S15" s="52">
        <f>SUBTOTAL(109,Tableau_Lancer_la_requête_à_partir_de_Excel_Files10256789[''LRMP''])</f>
        <v>0</v>
      </c>
      <c r="T15" s="52">
        <f>SUBTOTAL(109,Tableau_Lancer_la_requête_à_partir_de_Excel_Files10256789[Total Dpts])</f>
        <v>75620</v>
      </c>
      <c r="U15" s="52">
        <f>SUBTOTAL(109,Tableau_Lancer_la_requête_à_partir_de_Excel_Files10256789[''03''])</f>
        <v>0</v>
      </c>
      <c r="V15" s="52">
        <f>SUBTOTAL(109,Tableau_Lancer_la_requête_à_partir_de_Excel_Files10256789[''07''])</f>
        <v>0</v>
      </c>
      <c r="W15" s="52">
        <f>SUBTOTAL(109,Tableau_Lancer_la_requête_à_partir_de_Excel_Files10256789[''11''])</f>
        <v>0</v>
      </c>
      <c r="X15" s="52">
        <f>SUBTOTAL(109,Tableau_Lancer_la_requête_à_partir_de_Excel_Files10256789[''12''])</f>
        <v>0</v>
      </c>
      <c r="Y15" s="52">
        <f>SUBTOTAL(109,Tableau_Lancer_la_requête_à_partir_de_Excel_Files10256789[''15''])</f>
        <v>0</v>
      </c>
      <c r="Z15" s="52">
        <f>SUBTOTAL(109,Tableau_Lancer_la_requête_à_partir_de_Excel_Files10256789[''19''])</f>
        <v>0</v>
      </c>
      <c r="AA15" s="52">
        <f>SUBTOTAL(109,Tableau_Lancer_la_requête_à_partir_de_Excel_Files10256789[''21''])</f>
        <v>0</v>
      </c>
      <c r="AB15" s="52">
        <f>SUBTOTAL(109,Tableau_Lancer_la_requête_à_partir_de_Excel_Files10256789[''23''])</f>
        <v>0</v>
      </c>
      <c r="AC15" s="52">
        <f>SUBTOTAL(109,Tableau_Lancer_la_requête_à_partir_de_Excel_Files10256789[''30''])</f>
        <v>57620</v>
      </c>
      <c r="AD15" s="52">
        <f>SUBTOTAL(109,Tableau_Lancer_la_requête_à_partir_de_Excel_Files10256789[''34''])</f>
        <v>18000</v>
      </c>
      <c r="AE15" s="52">
        <f>SUBTOTAL(109,Tableau_Lancer_la_requête_à_partir_de_Excel_Files10256789[''42''])</f>
        <v>0</v>
      </c>
      <c r="AF15" s="52">
        <f>SUBTOTAL(109,Tableau_Lancer_la_requête_à_partir_de_Excel_Files10256789[''43''])</f>
        <v>0</v>
      </c>
      <c r="AG15" s="52">
        <f>SUBTOTAL(109,Tableau_Lancer_la_requête_à_partir_de_Excel_Files10256789[''46''])</f>
        <v>0</v>
      </c>
      <c r="AH15" s="52">
        <f>SUBTOTAL(109,Tableau_Lancer_la_requête_à_partir_de_Excel_Files10256789[''48''])</f>
        <v>0</v>
      </c>
      <c r="AI15" s="52">
        <f>SUBTOTAL(109,Tableau_Lancer_la_requête_à_partir_de_Excel_Files10256789[''58''])</f>
        <v>0</v>
      </c>
      <c r="AJ15" s="52">
        <f>SUBTOTAL(109,Tableau_Lancer_la_requête_à_partir_de_Excel_Files10256789[''63''])</f>
        <v>0</v>
      </c>
      <c r="AK15" s="52">
        <f>SUBTOTAL(109,Tableau_Lancer_la_requête_à_partir_de_Excel_Files10256789[''69''])</f>
        <v>0</v>
      </c>
      <c r="AL15" s="52">
        <f>SUBTOTAL(109,Tableau_Lancer_la_requête_à_partir_de_Excel_Files10256789[''71''])</f>
        <v>0</v>
      </c>
      <c r="AM15" s="52">
        <f>SUBTOTAL(109,Tableau_Lancer_la_requête_à_partir_de_Excel_Files10256789[''81''])</f>
        <v>0</v>
      </c>
      <c r="AN15" s="52">
        <f>SUBTOTAL(109,Tableau_Lancer_la_requête_à_partir_de_Excel_Files10256789[''82''])</f>
        <v>0</v>
      </c>
      <c r="AO15" s="52">
        <f>SUBTOTAL(109,Tableau_Lancer_la_requête_à_partir_de_Excel_Files10256789[''87''])</f>
        <v>0</v>
      </c>
      <c r="AP15" s="52">
        <f>SUBTOTAL(109,Tableau_Lancer_la_requête_à_partir_de_Excel_Files10256789[''89''])</f>
        <v>0</v>
      </c>
      <c r="AQ15" s="52">
        <f>SUBTOTAL(109,Tableau_Lancer_la_requête_à_partir_de_Excel_Files10256789[''Autre Public''])</f>
        <v>0</v>
      </c>
      <c r="AR15" s="10"/>
      <c r="AU15" s="28"/>
      <c r="AV15" s="90"/>
    </row>
    <row r="16" spans="1:85" x14ac:dyDescent="0.25">
      <c r="A16" s="10"/>
      <c r="B16" s="5"/>
      <c r="D16" s="52"/>
      <c r="E16" s="52"/>
      <c r="F16" s="53"/>
      <c r="G16" s="52"/>
      <c r="H16" s="53"/>
      <c r="I16" s="52"/>
      <c r="J16" s="52"/>
      <c r="K16" s="10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10"/>
      <c r="AQ16" s="10"/>
      <c r="AR16" s="10"/>
      <c r="AS16" s="10"/>
      <c r="AV16" s="85"/>
    </row>
    <row r="17" spans="4:48" hidden="1" x14ac:dyDescent="0.25">
      <c r="E17" s="3" t="s">
        <v>80</v>
      </c>
      <c r="F17" s="6" t="s">
        <v>79</v>
      </c>
      <c r="AV17" s="6"/>
    </row>
    <row r="18" spans="4:48" hidden="1" x14ac:dyDescent="0.25">
      <c r="D18" t="s">
        <v>55</v>
      </c>
      <c r="E18" s="3">
        <f>H18+I18</f>
        <v>184831</v>
      </c>
      <c r="F18" s="3">
        <f>M18+R18</f>
        <v>184831</v>
      </c>
      <c r="H18" s="3">
        <f>SUMIF(Tableau_Lancer_la_requête_à_partir_de_Excel_Files10256789[Avis Prog],"1-Favorable",Tableau_Lancer_la_requête_à_partir_de_Excel_Files10256789[''FEDER''])</f>
        <v>184831</v>
      </c>
      <c r="I18" s="3">
        <f>SUMIF(Tableau_Lancer_la_requête_à_partir_de_Excel_Files10256789[Avis Prog],"2-Favorable sous réserve",Tableau_Lancer_la_requête_à_partir_de_Excel_Files10256789[''FEDER''])</f>
        <v>0</v>
      </c>
      <c r="M18" s="3">
        <f>SUMIF(Tableau_Lancer_la_requête_à_partir_de_Excel_Files10256789[Avis Cofimac],"1-Favorable",Tableau_Lancer_la_requête_à_partir_de_Excel_Files10256789[''FEDER''])</f>
        <v>184831</v>
      </c>
      <c r="R18" s="3">
        <f>SUMIF(Tableau_Lancer_la_requête_à_partir_de_Excel_Files10256789[Avis Cofimac],"2-Favorable sous réserve",Tableau_Lancer_la_requête_à_partir_de_Excel_Files10256789[''FEDER''])</f>
        <v>0</v>
      </c>
    </row>
    <row r="19" spans="4:48" hidden="1" x14ac:dyDescent="0.25">
      <c r="D19" t="s">
        <v>44</v>
      </c>
      <c r="E19" s="3">
        <f t="shared" ref="E19:E47" si="0">H19+I19</f>
        <v>95774.01</v>
      </c>
      <c r="F19" s="3">
        <f t="shared" ref="F19:F47" si="1">M19+R19</f>
        <v>95774.01</v>
      </c>
      <c r="H19" s="3">
        <f>SUMIF(Tableau_Lancer_la_requête_à_partir_de_Excel_Files10256789[Avis Prog],"1-Favorable",Tableau_Lancer_la_requête_à_partir_de_Excel_Files10256789[Total Etat])</f>
        <v>95774.01</v>
      </c>
      <c r="I19" s="3">
        <f>SUMIF(Tableau_Lancer_la_requête_à_partir_de_Excel_Files10256789[Avis Prog],"2-Favorable sous réserve",Tableau_Lancer_la_requête_à_partir_de_Excel_Files10256789[Total Etat])</f>
        <v>0</v>
      </c>
      <c r="M19" s="3">
        <f>SUMIF(Tableau_Lancer_la_requête_à_partir_de_Excel_Files10256789[Avis Cofimac],"1-Favorable",Tableau_Lancer_la_requête_à_partir_de_Excel_Files10256789[Total Etat])</f>
        <v>95774.01</v>
      </c>
      <c r="R19" s="3">
        <f>SUMIF(Tableau_Lancer_la_requête_à_partir_de_Excel_Files10256789[Avis Cofimac],"2-Favorable sous réserve",Tableau_Lancer_la_requête_à_partir_de_Excel_Files10256789[Total Etat])</f>
        <v>0</v>
      </c>
    </row>
    <row r="20" spans="4:48" hidden="1" x14ac:dyDescent="0.25">
      <c r="D20" t="s">
        <v>45</v>
      </c>
      <c r="E20" s="3">
        <f t="shared" si="0"/>
        <v>49200</v>
      </c>
      <c r="F20" s="3">
        <f t="shared" si="1"/>
        <v>49200</v>
      </c>
      <c r="H20" s="3">
        <f>SUMIF(Tableau_Lancer_la_requête_à_partir_de_Excel_Files10256789[Avis Prog],"1-Favorable",Tableau_Lancer_la_requête_à_partir_de_Excel_Files10256789[Total Régions])</f>
        <v>49200</v>
      </c>
      <c r="I20" s="3">
        <f>SUMIF(Tableau_Lancer_la_requête_à_partir_de_Excel_Files10256789[Avis Prog],"2-Favorable sous réserve",Tableau_Lancer_la_requête_à_partir_de_Excel_Files10256789[Total Régions])</f>
        <v>0</v>
      </c>
      <c r="M20" s="3">
        <f>SUMIF(Tableau_Lancer_la_requête_à_partir_de_Excel_Files10256789[Avis Cofimac],"1-Favorable",Tableau_Lancer_la_requête_à_partir_de_Excel_Files10256789[Total Régions])</f>
        <v>49200</v>
      </c>
      <c r="R20" s="3">
        <f>SUMIF(Tableau_Lancer_la_requête_à_partir_de_Excel_Files10256789[Avis Cofimac],"2-Favorable sous réserve",Tableau_Lancer_la_requête_à_partir_de_Excel_Files10256789[Total Régions])</f>
        <v>0</v>
      </c>
    </row>
    <row r="21" spans="4:48" hidden="1" x14ac:dyDescent="0.25">
      <c r="D21" s="3" t="s">
        <v>56</v>
      </c>
      <c r="E21" s="3">
        <f t="shared" si="0"/>
        <v>0</v>
      </c>
      <c r="F21" s="3">
        <f t="shared" si="1"/>
        <v>0</v>
      </c>
      <c r="H21" s="3">
        <f>SUMIF(Tableau_Lancer_la_requête_à_partir_de_Excel_Files10256789[Avis Prog],"1-Favorable",Tableau_Lancer_la_requête_à_partir_de_Excel_Files10256789[''ALPC''])</f>
        <v>0</v>
      </c>
      <c r="I21" s="3">
        <f>SUMIF(Tableau_Lancer_la_requête_à_partir_de_Excel_Files10256789[Avis Prog],"2-Favorable sous réserve",Tableau_Lancer_la_requête_à_partir_de_Excel_Files10256789[''ALPC''])</f>
        <v>0</v>
      </c>
      <c r="M21" s="3">
        <f>SUMIF(Tableau_Lancer_la_requête_à_partir_de_Excel_Files10256789[Avis Cofimac],"1-Favorable",Tableau_Lancer_la_requête_à_partir_de_Excel_Files10256789[''ALPC''])</f>
        <v>0</v>
      </c>
      <c r="R21" s="3">
        <f>SUMIF(Tableau_Lancer_la_requête_à_partir_de_Excel_Files10256789[Avis Cofimac],"2-Favorable sous réserve",Tableau_Lancer_la_requête_à_partir_de_Excel_Files10256789[''ALPC''])</f>
        <v>0</v>
      </c>
    </row>
    <row r="22" spans="4:48" hidden="1" x14ac:dyDescent="0.25">
      <c r="D22" s="3" t="s">
        <v>57</v>
      </c>
      <c r="E22" s="3">
        <f t="shared" si="0"/>
        <v>49200</v>
      </c>
      <c r="F22" s="3">
        <f t="shared" si="1"/>
        <v>49200</v>
      </c>
      <c r="H22" s="3">
        <f>SUMIF(Tableau_Lancer_la_requête_à_partir_de_Excel_Files10256789[Avis Prog],"1-Favorable",Tableau_Lancer_la_requête_à_partir_de_Excel_Files10256789[''AURA''])</f>
        <v>49200</v>
      </c>
      <c r="I22" s="3">
        <f>SUMIF(Tableau_Lancer_la_requête_à_partir_de_Excel_Files10256789[Avis Prog],"2-Favorable sous réserve",Tableau_Lancer_la_requête_à_partir_de_Excel_Files10256789[''AURA''])</f>
        <v>0</v>
      </c>
      <c r="M22" s="3">
        <f>SUMIF(Tableau_Lancer_la_requête_à_partir_de_Excel_Files10256789[Avis Cofimac],"1-Favorable",Tableau_Lancer_la_requête_à_partir_de_Excel_Files10256789[''AURA''])</f>
        <v>49200</v>
      </c>
      <c r="R22" s="3">
        <f>SUMIF(Tableau_Lancer_la_requête_à_partir_de_Excel_Files10256789[Avis Cofimac],"2-Favorable sous réserve",Tableau_Lancer_la_requête_à_partir_de_Excel_Files10256789[''AURA''])</f>
        <v>0</v>
      </c>
    </row>
    <row r="23" spans="4:48" hidden="1" x14ac:dyDescent="0.25">
      <c r="D23" s="3" t="s">
        <v>58</v>
      </c>
      <c r="E23" s="3">
        <f t="shared" si="0"/>
        <v>0</v>
      </c>
      <c r="F23" s="3">
        <f t="shared" si="1"/>
        <v>0</v>
      </c>
      <c r="H23" s="3">
        <f>SUMIF(Tableau_Lancer_la_requête_à_partir_de_Excel_Files10256789[Avis Prog],"1-Favorable",Tableau_Lancer_la_requête_à_partir_de_Excel_Files10256789[''BFC''])</f>
        <v>0</v>
      </c>
      <c r="I23" s="3">
        <f>SUMIF(Tableau_Lancer_la_requête_à_partir_de_Excel_Files10256789[Avis Prog],"2-Favorable sous réserve",Tableau_Lancer_la_requête_à_partir_de_Excel_Files10256789[''BFC''])</f>
        <v>0</v>
      </c>
      <c r="M23" s="3">
        <f>SUMIF(Tableau_Lancer_la_requête_à_partir_de_Excel_Files10256789[Avis Cofimac],"1-Favorable",Tableau_Lancer_la_requête_à_partir_de_Excel_Files10256789[''BFC''])</f>
        <v>0</v>
      </c>
      <c r="R23" s="3">
        <f>SUMIF(Tableau_Lancer_la_requête_à_partir_de_Excel_Files10256789[Avis Cofimac],"2-Favorable sous réserve",Tableau_Lancer_la_requête_à_partir_de_Excel_Files10256789[''BFC''])</f>
        <v>0</v>
      </c>
    </row>
    <row r="24" spans="4:48" hidden="1" x14ac:dyDescent="0.25">
      <c r="D24" s="3" t="s">
        <v>59</v>
      </c>
      <c r="E24" s="3">
        <f t="shared" si="0"/>
        <v>0</v>
      </c>
      <c r="F24" s="3">
        <f t="shared" si="1"/>
        <v>0</v>
      </c>
      <c r="H24" s="3">
        <f>SUMIF(Tableau_Lancer_la_requête_à_partir_de_Excel_Files10256789[Avis Prog],"1-Favorable",Tableau_Lancer_la_requête_à_partir_de_Excel_Files10256789[''LRMP''])</f>
        <v>0</v>
      </c>
      <c r="I24" s="3">
        <f>SUMIF(Tableau_Lancer_la_requête_à_partir_de_Excel_Files10256789[Avis Prog],"2-Favorable sous réserve",Tableau_Lancer_la_requête_à_partir_de_Excel_Files10256789[''LRMP''])</f>
        <v>0</v>
      </c>
      <c r="M24" s="3">
        <f>SUMIF(Tableau_Lancer_la_requête_à_partir_de_Excel_Files10256789[Avis Cofimac],"1-Favorable",Tableau_Lancer_la_requête_à_partir_de_Excel_Files10256789[''LRMP''])</f>
        <v>0</v>
      </c>
      <c r="R24" s="3">
        <f>SUMIF(Tableau_Lancer_la_requête_à_partir_de_Excel_Files10256789[Avis Cofimac],"2-Favorable sous réserve",Tableau_Lancer_la_requête_à_partir_de_Excel_Files10256789[''LRMP''])</f>
        <v>0</v>
      </c>
    </row>
    <row r="25" spans="4:48" hidden="1" x14ac:dyDescent="0.25">
      <c r="D25" t="s">
        <v>46</v>
      </c>
      <c r="E25" s="3">
        <f t="shared" si="0"/>
        <v>18000</v>
      </c>
      <c r="F25" s="3">
        <f t="shared" si="1"/>
        <v>75620</v>
      </c>
      <c r="H25" s="3">
        <f>SUMIF(Tableau_Lancer_la_requête_à_partir_de_Excel_Files10256789[Avis Prog],"1-Favorable",Tableau_Lancer_la_requête_à_partir_de_Excel_Files10256789[Total Dpts])</f>
        <v>18000</v>
      </c>
      <c r="I25" s="3">
        <f>SUMIF(Tableau_Lancer_la_requête_à_partir_de_Excel_Files10256789[Avis Prog],"2-Favorable sous réserve",Tableau_Lancer_la_requête_à_partir_de_Excel_Files10256789[Total Dpts])</f>
        <v>0</v>
      </c>
      <c r="M25" s="3">
        <f>SUMIF(Tableau_Lancer_la_requête_à_partir_de_Excel_Files10256789[Avis Cofimac],"1-Favorable",Tableau_Lancer_la_requête_à_partir_de_Excel_Files10256789[Total Dpts])</f>
        <v>75620</v>
      </c>
      <c r="R25" s="3">
        <f>SUMIF(Tableau_Lancer_la_requête_à_partir_de_Excel_Files10256789[Avis Cofimac],"2-Favorable sous réserve",Tableau_Lancer_la_requête_à_partir_de_Excel_Files10256789[Total Dpts])</f>
        <v>0</v>
      </c>
    </row>
    <row r="26" spans="4:48" hidden="1" x14ac:dyDescent="0.25">
      <c r="D26" t="s">
        <v>20</v>
      </c>
      <c r="E26" s="3">
        <f t="shared" si="0"/>
        <v>0</v>
      </c>
      <c r="F26" s="3">
        <f t="shared" si="1"/>
        <v>0</v>
      </c>
      <c r="H26" s="3">
        <f>SUMIF(Tableau_Lancer_la_requête_à_partir_de_Excel_Files10256789[Avis Prog],"1-Favorable",Tableau_Lancer_la_requête_à_partir_de_Excel_Files10256789[''03''])</f>
        <v>0</v>
      </c>
      <c r="I26" s="3">
        <f>SUMIF(Tableau_Lancer_la_requête_à_partir_de_Excel_Files10256789[Avis Prog],"2-Favorable sous réserve",Tableau_Lancer_la_requête_à_partir_de_Excel_Files10256789[''03''])</f>
        <v>0</v>
      </c>
      <c r="M26" s="3">
        <f>SUMIF(Tableau_Lancer_la_requête_à_partir_de_Excel_Files10256789[Avis Cofimac],"1-Favorable",Tableau_Lancer_la_requête_à_partir_de_Excel_Files10256789[''03''])</f>
        <v>0</v>
      </c>
      <c r="R26" s="3">
        <f>SUMIF(Tableau_Lancer_la_requête_à_partir_de_Excel_Files10256789[Avis Cofimac],"2-Favorable sous réserve",Tableau_Lancer_la_requête_à_partir_de_Excel_Files10256789[''03''])</f>
        <v>0</v>
      </c>
    </row>
    <row r="27" spans="4:48" hidden="1" x14ac:dyDescent="0.25">
      <c r="D27" t="s">
        <v>21</v>
      </c>
      <c r="E27" s="3">
        <f t="shared" si="0"/>
        <v>0</v>
      </c>
      <c r="F27" s="3">
        <f t="shared" si="1"/>
        <v>0</v>
      </c>
      <c r="H27" s="3">
        <f>SUMIF(Tableau_Lancer_la_requête_à_partir_de_Excel_Files10256789[Avis Prog],"1-Favorable",Tableau_Lancer_la_requête_à_partir_de_Excel_Files10256789[''07''])</f>
        <v>0</v>
      </c>
      <c r="I27" s="3">
        <f>SUMIF(Tableau_Lancer_la_requête_à_partir_de_Excel_Files10256789[Avis Prog],"2-Favorable sous réserve",Tableau_Lancer_la_requête_à_partir_de_Excel_Files10256789[''07''])</f>
        <v>0</v>
      </c>
      <c r="M27" s="3">
        <f>SUMIF(Tableau_Lancer_la_requête_à_partir_de_Excel_Files10256789[Avis Cofimac],"1-Favorable",Tableau_Lancer_la_requête_à_partir_de_Excel_Files10256789[''07''])</f>
        <v>0</v>
      </c>
      <c r="R27" s="3">
        <f>SUMIF(Tableau_Lancer_la_requête_à_partir_de_Excel_Files10256789[Avis Cofimac],"2-Favorable sous réserve",Tableau_Lancer_la_requête_à_partir_de_Excel_Files10256789[''07''])</f>
        <v>0</v>
      </c>
    </row>
    <row r="28" spans="4:48" hidden="1" x14ac:dyDescent="0.25">
      <c r="D28" t="s">
        <v>22</v>
      </c>
      <c r="E28" s="3">
        <f t="shared" si="0"/>
        <v>0</v>
      </c>
      <c r="F28" s="3">
        <f t="shared" si="1"/>
        <v>0</v>
      </c>
      <c r="H28" s="3">
        <f>SUMIF(Tableau_Lancer_la_requête_à_partir_de_Excel_Files10256789[Avis Prog],"1-Favorable",Tableau_Lancer_la_requête_à_partir_de_Excel_Files10256789[''11''])</f>
        <v>0</v>
      </c>
      <c r="I28" s="3">
        <f>SUMIF(Tableau_Lancer_la_requête_à_partir_de_Excel_Files10256789[Avis Prog],"2-Favorable sous réserve",Tableau_Lancer_la_requête_à_partir_de_Excel_Files10256789[''11''])</f>
        <v>0</v>
      </c>
      <c r="M28" s="3">
        <f>SUMIF(Tableau_Lancer_la_requête_à_partir_de_Excel_Files10256789[Avis Cofimac],"1-Favorable",Tableau_Lancer_la_requête_à_partir_de_Excel_Files10256789[''11''])</f>
        <v>0</v>
      </c>
      <c r="R28" s="3">
        <f>SUMIF(Tableau_Lancer_la_requête_à_partir_de_Excel_Files10256789[Avis Cofimac],"2-Favorable sous réserve",Tableau_Lancer_la_requête_à_partir_de_Excel_Files10256789[''11''])</f>
        <v>0</v>
      </c>
    </row>
    <row r="29" spans="4:48" hidden="1" x14ac:dyDescent="0.25">
      <c r="D29" t="s">
        <v>23</v>
      </c>
      <c r="E29" s="3">
        <f t="shared" si="0"/>
        <v>0</v>
      </c>
      <c r="F29" s="3">
        <f t="shared" si="1"/>
        <v>0</v>
      </c>
      <c r="H29" s="3">
        <f>SUMIF(Tableau_Lancer_la_requête_à_partir_de_Excel_Files10256789[Avis Prog],"1-Favorable",Tableau_Lancer_la_requête_à_partir_de_Excel_Files10256789[''12''])</f>
        <v>0</v>
      </c>
      <c r="I29" s="3">
        <f>SUMIF(Tableau_Lancer_la_requête_à_partir_de_Excel_Files10256789[Avis Prog],"2-Favorable sous réserve",Tableau_Lancer_la_requête_à_partir_de_Excel_Files10256789[''12''])</f>
        <v>0</v>
      </c>
      <c r="M29" s="3">
        <f>SUMIF(Tableau_Lancer_la_requête_à_partir_de_Excel_Files10256789[Avis Cofimac],"1-Favorable",Tableau_Lancer_la_requête_à_partir_de_Excel_Files10256789[''12''])</f>
        <v>0</v>
      </c>
      <c r="R29" s="3">
        <f>SUMIF(Tableau_Lancer_la_requête_à_partir_de_Excel_Files10256789[Avis Cofimac],"2-Favorable sous réserve",Tableau_Lancer_la_requête_à_partir_de_Excel_Files10256789[''12''])</f>
        <v>0</v>
      </c>
    </row>
    <row r="30" spans="4:48" hidden="1" x14ac:dyDescent="0.25">
      <c r="D30" t="s">
        <v>24</v>
      </c>
      <c r="E30" s="3">
        <f t="shared" si="0"/>
        <v>0</v>
      </c>
      <c r="F30" s="3">
        <f t="shared" si="1"/>
        <v>0</v>
      </c>
      <c r="H30" s="3">
        <f>SUMIF(Tableau_Lancer_la_requête_à_partir_de_Excel_Files10256789[Avis Prog],"1-Favorable",Tableau_Lancer_la_requête_à_partir_de_Excel_Files10256789[''15''])</f>
        <v>0</v>
      </c>
      <c r="I30" s="3">
        <f>SUMIF(Tableau_Lancer_la_requête_à_partir_de_Excel_Files10256789[Avis Prog],"2-Favorable sous réserve",Tableau_Lancer_la_requête_à_partir_de_Excel_Files10256789[''15''])</f>
        <v>0</v>
      </c>
      <c r="M30" s="3">
        <f>SUMIF(Tableau_Lancer_la_requête_à_partir_de_Excel_Files10256789[Avis Cofimac],"1-Favorable",Tableau_Lancer_la_requête_à_partir_de_Excel_Files10256789[''15''])</f>
        <v>0</v>
      </c>
      <c r="R30" s="3">
        <f>SUMIF(Tableau_Lancer_la_requête_à_partir_de_Excel_Files10256789[Avis Cofimac],"2-Favorable sous réserve",Tableau_Lancer_la_requête_à_partir_de_Excel_Files10256789[''15''])</f>
        <v>0</v>
      </c>
    </row>
    <row r="31" spans="4:48" hidden="1" x14ac:dyDescent="0.25">
      <c r="D31" t="s">
        <v>25</v>
      </c>
      <c r="E31" s="3">
        <f t="shared" si="0"/>
        <v>0</v>
      </c>
      <c r="F31" s="3">
        <f t="shared" si="1"/>
        <v>0</v>
      </c>
      <c r="H31" s="3">
        <f>SUMIF(Tableau_Lancer_la_requête_à_partir_de_Excel_Files10256789[Avis Prog],"1-Favorable",Tableau_Lancer_la_requête_à_partir_de_Excel_Files10256789[''19''])</f>
        <v>0</v>
      </c>
      <c r="I31" s="3">
        <f>SUMIF(Tableau_Lancer_la_requête_à_partir_de_Excel_Files10256789[Avis Prog],"2-Favorable sous réserve",Tableau_Lancer_la_requête_à_partir_de_Excel_Files10256789[''19''])</f>
        <v>0</v>
      </c>
      <c r="M31" s="3">
        <f>SUMIF(Tableau_Lancer_la_requête_à_partir_de_Excel_Files10256789[Avis Cofimac],"1-Favorable",Tableau_Lancer_la_requête_à_partir_de_Excel_Files10256789[''19''])</f>
        <v>0</v>
      </c>
      <c r="R31" s="3">
        <f>SUMIF(Tableau_Lancer_la_requête_à_partir_de_Excel_Files10256789[Avis Cofimac],"2-Favorable sous réserve",Tableau_Lancer_la_requête_à_partir_de_Excel_Files10256789[''19''])</f>
        <v>0</v>
      </c>
    </row>
    <row r="32" spans="4:48" hidden="1" x14ac:dyDescent="0.25">
      <c r="D32" t="s">
        <v>26</v>
      </c>
      <c r="E32" s="3">
        <f t="shared" si="0"/>
        <v>0</v>
      </c>
      <c r="F32" s="3">
        <f t="shared" si="1"/>
        <v>0</v>
      </c>
      <c r="H32" s="3">
        <f>SUMIF(Tableau_Lancer_la_requête_à_partir_de_Excel_Files10256789[Avis Prog],"1-Favorable",Tableau_Lancer_la_requête_à_partir_de_Excel_Files10256789[''21''])</f>
        <v>0</v>
      </c>
      <c r="I32" s="3">
        <f>SUMIF(Tableau_Lancer_la_requête_à_partir_de_Excel_Files10256789[Avis Prog],"2-Favorable sous réserve",Tableau_Lancer_la_requête_à_partir_de_Excel_Files10256789[''21''])</f>
        <v>0</v>
      </c>
      <c r="M32" s="3">
        <f>SUMIF(Tableau_Lancer_la_requête_à_partir_de_Excel_Files10256789[Avis Cofimac],"1-Favorable",Tableau_Lancer_la_requête_à_partir_de_Excel_Files10256789[''21''])</f>
        <v>0</v>
      </c>
      <c r="R32" s="3">
        <f>SUMIF(Tableau_Lancer_la_requête_à_partir_de_Excel_Files10256789[Avis Cofimac],"2-Favorable sous réserve",Tableau_Lancer_la_requête_à_partir_de_Excel_Files10256789[''21''])</f>
        <v>0</v>
      </c>
    </row>
    <row r="33" spans="4:18" hidden="1" x14ac:dyDescent="0.25">
      <c r="D33" t="s">
        <v>27</v>
      </c>
      <c r="E33" s="3">
        <f t="shared" si="0"/>
        <v>0</v>
      </c>
      <c r="F33" s="3">
        <f t="shared" si="1"/>
        <v>0</v>
      </c>
      <c r="H33" s="3">
        <f>SUMIF(Tableau_Lancer_la_requête_à_partir_de_Excel_Files10256789[Avis Prog],"1-Favorable",Tableau_Lancer_la_requête_à_partir_de_Excel_Files10256789[''23''])</f>
        <v>0</v>
      </c>
      <c r="I33" s="3">
        <f>SUMIF(Tableau_Lancer_la_requête_à_partir_de_Excel_Files10256789[Avis Prog],"2-Favorable sous réserve",Tableau_Lancer_la_requête_à_partir_de_Excel_Files10256789[''23''])</f>
        <v>0</v>
      </c>
      <c r="M33" s="3">
        <f>SUMIF(Tableau_Lancer_la_requête_à_partir_de_Excel_Files10256789[Avis Cofimac],"1-Favorable",Tableau_Lancer_la_requête_à_partir_de_Excel_Files10256789[''23''])</f>
        <v>0</v>
      </c>
      <c r="R33" s="3">
        <f>SUMIF(Tableau_Lancer_la_requête_à_partir_de_Excel_Files10256789[Avis Cofimac],"2-Favorable sous réserve",Tableau_Lancer_la_requête_à_partir_de_Excel_Files10256789[''23''])</f>
        <v>0</v>
      </c>
    </row>
    <row r="34" spans="4:18" hidden="1" x14ac:dyDescent="0.25">
      <c r="D34" t="s">
        <v>28</v>
      </c>
      <c r="E34" s="3">
        <f t="shared" si="0"/>
        <v>0</v>
      </c>
      <c r="F34" s="3">
        <f t="shared" si="1"/>
        <v>57620</v>
      </c>
      <c r="H34" s="3">
        <f>SUMIF(Tableau_Lancer_la_requête_à_partir_de_Excel_Files10256789[Avis Prog],"1-Favorable",Tableau_Lancer_la_requête_à_partir_de_Excel_Files10256789[''30''])</f>
        <v>0</v>
      </c>
      <c r="I34" s="3">
        <f>SUMIF(Tableau_Lancer_la_requête_à_partir_de_Excel_Files10256789[Avis Prog],"2-Favorable sous réserve",Tableau_Lancer_la_requête_à_partir_de_Excel_Files10256789[''30''])</f>
        <v>0</v>
      </c>
      <c r="M34" s="3">
        <f>SUMIF(Tableau_Lancer_la_requête_à_partir_de_Excel_Files10256789[Avis Cofimac],"1-Favorable",Tableau_Lancer_la_requête_à_partir_de_Excel_Files10256789[''30''])</f>
        <v>57620</v>
      </c>
      <c r="R34" s="3">
        <f>SUMIF(Tableau_Lancer_la_requête_à_partir_de_Excel_Files10256789[Avis Cofimac],"2-Favorable sous réserve",Tableau_Lancer_la_requête_à_partir_de_Excel_Files10256789[''30''])</f>
        <v>0</v>
      </c>
    </row>
    <row r="35" spans="4:18" hidden="1" x14ac:dyDescent="0.25">
      <c r="D35" t="s">
        <v>29</v>
      </c>
      <c r="E35" s="3">
        <f t="shared" si="0"/>
        <v>18000</v>
      </c>
      <c r="F35" s="3">
        <f t="shared" si="1"/>
        <v>18000</v>
      </c>
      <c r="H35" s="3">
        <f>SUMIF(Tableau_Lancer_la_requête_à_partir_de_Excel_Files10256789[Avis Prog],"1-Favorable",Tableau_Lancer_la_requête_à_partir_de_Excel_Files10256789[''34''])</f>
        <v>18000</v>
      </c>
      <c r="I35" s="3">
        <f>SUMIF(Tableau_Lancer_la_requête_à_partir_de_Excel_Files10256789[Avis Prog],"2-Favorable sous réserve",Tableau_Lancer_la_requête_à_partir_de_Excel_Files10256789[''34''])</f>
        <v>0</v>
      </c>
      <c r="M35" s="3">
        <f>SUMIF(Tableau_Lancer_la_requête_à_partir_de_Excel_Files10256789[Avis Cofimac],"1-Favorable",Tableau_Lancer_la_requête_à_partir_de_Excel_Files10256789[''34''])</f>
        <v>18000</v>
      </c>
      <c r="R35" s="3">
        <f>SUMIF(Tableau_Lancer_la_requête_à_partir_de_Excel_Files10256789[Avis Cofimac],"2-Favorable sous réserve",Tableau_Lancer_la_requête_à_partir_de_Excel_Files10256789[''34''])</f>
        <v>0</v>
      </c>
    </row>
    <row r="36" spans="4:18" hidden="1" x14ac:dyDescent="0.25">
      <c r="D36" t="s">
        <v>30</v>
      </c>
      <c r="E36" s="3">
        <f t="shared" si="0"/>
        <v>0</v>
      </c>
      <c r="F36" s="3">
        <f t="shared" si="1"/>
        <v>0</v>
      </c>
      <c r="H36" s="3">
        <f>SUMIF(Tableau_Lancer_la_requête_à_partir_de_Excel_Files10256789[Avis Prog],"1-Favorable",Tableau_Lancer_la_requête_à_partir_de_Excel_Files10256789[''42''])</f>
        <v>0</v>
      </c>
      <c r="I36" s="3">
        <f>SUMIF(Tableau_Lancer_la_requête_à_partir_de_Excel_Files10256789[Avis Prog],"2-Favorable sous réserve",Tableau_Lancer_la_requête_à_partir_de_Excel_Files10256789[''42''])</f>
        <v>0</v>
      </c>
      <c r="M36" s="3">
        <f>SUMIF(Tableau_Lancer_la_requête_à_partir_de_Excel_Files10256789[Avis Cofimac],"1-Favorable",Tableau_Lancer_la_requête_à_partir_de_Excel_Files10256789[''42''])</f>
        <v>0</v>
      </c>
      <c r="R36" s="3">
        <f>SUMIF(Tableau_Lancer_la_requête_à_partir_de_Excel_Files10256789[Avis Cofimac],"2-Favorable sous réserve",Tableau_Lancer_la_requête_à_partir_de_Excel_Files10256789[''42''])</f>
        <v>0</v>
      </c>
    </row>
    <row r="37" spans="4:18" hidden="1" x14ac:dyDescent="0.25">
      <c r="D37" t="s">
        <v>31</v>
      </c>
      <c r="E37" s="3">
        <f t="shared" si="0"/>
        <v>0</v>
      </c>
      <c r="F37" s="3">
        <f t="shared" si="1"/>
        <v>0</v>
      </c>
      <c r="H37" s="3">
        <f>SUMIF(Tableau_Lancer_la_requête_à_partir_de_Excel_Files10256789[Avis Prog],"1-Favorable",Tableau_Lancer_la_requête_à_partir_de_Excel_Files10256789[''43''])</f>
        <v>0</v>
      </c>
      <c r="I37" s="3">
        <f>SUMIF(Tableau_Lancer_la_requête_à_partir_de_Excel_Files10256789[Avis Prog],"2-Favorable sous réserve",Tableau_Lancer_la_requête_à_partir_de_Excel_Files10256789[''43''])</f>
        <v>0</v>
      </c>
      <c r="M37" s="3">
        <f>SUMIF(Tableau_Lancer_la_requête_à_partir_de_Excel_Files10256789[Avis Cofimac],"1-Favorable",Tableau_Lancer_la_requête_à_partir_de_Excel_Files10256789[''43''])</f>
        <v>0</v>
      </c>
      <c r="R37" s="3">
        <f>SUMIF(Tableau_Lancer_la_requête_à_partir_de_Excel_Files10256789[Avis Cofimac],"2-Favorable sous réserve",Tableau_Lancer_la_requête_à_partir_de_Excel_Files10256789[''43''])</f>
        <v>0</v>
      </c>
    </row>
    <row r="38" spans="4:18" hidden="1" x14ac:dyDescent="0.25">
      <c r="D38" t="s">
        <v>32</v>
      </c>
      <c r="E38" s="3">
        <f t="shared" si="0"/>
        <v>0</v>
      </c>
      <c r="F38" s="3">
        <f t="shared" si="1"/>
        <v>0</v>
      </c>
      <c r="H38" s="3">
        <f>SUMIF(Tableau_Lancer_la_requête_à_partir_de_Excel_Files10256789[Avis Prog],"1-Favorable",Tableau_Lancer_la_requête_à_partir_de_Excel_Files10256789[''46''])</f>
        <v>0</v>
      </c>
      <c r="I38" s="3">
        <f>SUMIF(Tableau_Lancer_la_requête_à_partir_de_Excel_Files10256789[Avis Prog],"2-Favorable sous réserve",Tableau_Lancer_la_requête_à_partir_de_Excel_Files10256789[''46''])</f>
        <v>0</v>
      </c>
      <c r="M38" s="3">
        <f>SUMIF(Tableau_Lancer_la_requête_à_partir_de_Excel_Files10256789[Avis Cofimac],"1-Favorable",Tableau_Lancer_la_requête_à_partir_de_Excel_Files10256789[''46''])</f>
        <v>0</v>
      </c>
      <c r="R38" s="3">
        <f>SUMIF(Tableau_Lancer_la_requête_à_partir_de_Excel_Files10256789[Avis Cofimac],"2-Favorable sous réserve",Tableau_Lancer_la_requête_à_partir_de_Excel_Files10256789[''46''])</f>
        <v>0</v>
      </c>
    </row>
    <row r="39" spans="4:18" hidden="1" x14ac:dyDescent="0.25">
      <c r="D39" t="s">
        <v>33</v>
      </c>
      <c r="E39" s="3">
        <f t="shared" si="0"/>
        <v>0</v>
      </c>
      <c r="F39" s="3">
        <f t="shared" si="1"/>
        <v>0</v>
      </c>
      <c r="H39" s="3">
        <f>SUMIF(Tableau_Lancer_la_requête_à_partir_de_Excel_Files10256789[Avis Prog],"1-Favorable",Tableau_Lancer_la_requête_à_partir_de_Excel_Files10256789[''48''])</f>
        <v>0</v>
      </c>
      <c r="I39" s="3">
        <f>SUMIF(Tableau_Lancer_la_requête_à_partir_de_Excel_Files10256789[Avis Prog],"2-Favorable sous réserve",Tableau_Lancer_la_requête_à_partir_de_Excel_Files10256789[''48''])</f>
        <v>0</v>
      </c>
      <c r="M39" s="3">
        <f>SUMIF(Tableau_Lancer_la_requête_à_partir_de_Excel_Files10256789[Avis Cofimac],"1-Favorable",Tableau_Lancer_la_requête_à_partir_de_Excel_Files10256789[''48''])</f>
        <v>0</v>
      </c>
      <c r="R39" s="3">
        <f>SUMIF(Tableau_Lancer_la_requête_à_partir_de_Excel_Files10256789[Avis Cofimac],"2-Favorable sous réserve",Tableau_Lancer_la_requête_à_partir_de_Excel_Files10256789[''48''])</f>
        <v>0</v>
      </c>
    </row>
    <row r="40" spans="4:18" hidden="1" x14ac:dyDescent="0.25">
      <c r="D40" t="s">
        <v>34</v>
      </c>
      <c r="E40" s="3">
        <f t="shared" si="0"/>
        <v>0</v>
      </c>
      <c r="F40" s="3">
        <f t="shared" si="1"/>
        <v>0</v>
      </c>
      <c r="H40" s="3">
        <f>SUMIF(Tableau_Lancer_la_requête_à_partir_de_Excel_Files10256789[Avis Prog],"1-Favorable",Tableau_Lancer_la_requête_à_partir_de_Excel_Files10256789[''58''])</f>
        <v>0</v>
      </c>
      <c r="I40" s="3">
        <f>SUMIF(Tableau_Lancer_la_requête_à_partir_de_Excel_Files10256789[Avis Prog],"2-Favorable sous réserve",Tableau_Lancer_la_requête_à_partir_de_Excel_Files10256789[''58''])</f>
        <v>0</v>
      </c>
      <c r="M40" s="3">
        <f>SUMIF(Tableau_Lancer_la_requête_à_partir_de_Excel_Files10256789[Avis Cofimac],"1-Favorable",Tableau_Lancer_la_requête_à_partir_de_Excel_Files10256789[''58''])</f>
        <v>0</v>
      </c>
      <c r="R40" s="3">
        <f>SUMIF(Tableau_Lancer_la_requête_à_partir_de_Excel_Files10256789[Avis Cofimac],"2-Favorable sous réserve",Tableau_Lancer_la_requête_à_partir_de_Excel_Files10256789[''58''])</f>
        <v>0</v>
      </c>
    </row>
    <row r="41" spans="4:18" hidden="1" x14ac:dyDescent="0.25">
      <c r="D41" t="s">
        <v>35</v>
      </c>
      <c r="E41" s="3">
        <f t="shared" si="0"/>
        <v>0</v>
      </c>
      <c r="F41" s="3">
        <f t="shared" si="1"/>
        <v>0</v>
      </c>
      <c r="H41" s="3">
        <f>SUMIF(Tableau_Lancer_la_requête_à_partir_de_Excel_Files10256789[Avis Prog],"1-Favorable",Tableau_Lancer_la_requête_à_partir_de_Excel_Files10256789[''63''])</f>
        <v>0</v>
      </c>
      <c r="I41" s="3">
        <f>SUMIF(Tableau_Lancer_la_requête_à_partir_de_Excel_Files10256789[Avis Prog],"2-Favorable sous réserve",Tableau_Lancer_la_requête_à_partir_de_Excel_Files10256789[''63''])</f>
        <v>0</v>
      </c>
      <c r="M41" s="3">
        <f>SUMIF(Tableau_Lancer_la_requête_à_partir_de_Excel_Files10256789[Avis Cofimac],"1-Favorable",Tableau_Lancer_la_requête_à_partir_de_Excel_Files10256789[''63''])</f>
        <v>0</v>
      </c>
      <c r="R41" s="3">
        <f>SUMIF(Tableau_Lancer_la_requête_à_partir_de_Excel_Files10256789[Avis Cofimac],"2-Favorable sous réserve",Tableau_Lancer_la_requête_à_partir_de_Excel_Files10256789[''63''])</f>
        <v>0</v>
      </c>
    </row>
    <row r="42" spans="4:18" hidden="1" x14ac:dyDescent="0.25">
      <c r="D42" t="s">
        <v>36</v>
      </c>
      <c r="E42" s="3">
        <f t="shared" si="0"/>
        <v>0</v>
      </c>
      <c r="F42" s="3">
        <f t="shared" si="1"/>
        <v>0</v>
      </c>
      <c r="H42" s="3">
        <f>SUMIF(Tableau_Lancer_la_requête_à_partir_de_Excel_Files10256789[Avis Prog],"1-Favorable",Tableau_Lancer_la_requête_à_partir_de_Excel_Files10256789[''69''])</f>
        <v>0</v>
      </c>
      <c r="I42" s="3">
        <f>SUMIF(Tableau_Lancer_la_requête_à_partir_de_Excel_Files10256789[Avis Prog],"2-Favorable sous réserve",Tableau_Lancer_la_requête_à_partir_de_Excel_Files10256789[''69''])</f>
        <v>0</v>
      </c>
      <c r="M42" s="3">
        <f>SUMIF(Tableau_Lancer_la_requête_à_partir_de_Excel_Files10256789[Avis Cofimac],"1-Favorable",Tableau_Lancer_la_requête_à_partir_de_Excel_Files10256789[''69''])</f>
        <v>0</v>
      </c>
      <c r="R42" s="3">
        <f>SUMIF(Tableau_Lancer_la_requête_à_partir_de_Excel_Files10256789[Avis Cofimac],"2-Favorable sous réserve",Tableau_Lancer_la_requête_à_partir_de_Excel_Files10256789[''69''])</f>
        <v>0</v>
      </c>
    </row>
    <row r="43" spans="4:18" hidden="1" x14ac:dyDescent="0.25">
      <c r="D43" t="s">
        <v>37</v>
      </c>
      <c r="E43" s="3">
        <f t="shared" si="0"/>
        <v>0</v>
      </c>
      <c r="F43" s="3">
        <f t="shared" si="1"/>
        <v>0</v>
      </c>
      <c r="H43" s="3">
        <f>SUMIF(Tableau_Lancer_la_requête_à_partir_de_Excel_Files10256789[Avis Prog],"1-Favorable",Tableau_Lancer_la_requête_à_partir_de_Excel_Files10256789[''71''])</f>
        <v>0</v>
      </c>
      <c r="I43" s="3">
        <f>SUMIF(Tableau_Lancer_la_requête_à_partir_de_Excel_Files10256789[Avis Prog],"2-Favorable sous réserve",Tableau_Lancer_la_requête_à_partir_de_Excel_Files10256789[''71''])</f>
        <v>0</v>
      </c>
      <c r="M43" s="3">
        <f>SUMIF(Tableau_Lancer_la_requête_à_partir_de_Excel_Files10256789[Avis Cofimac],"1-Favorable",Tableau_Lancer_la_requête_à_partir_de_Excel_Files10256789[''71''])</f>
        <v>0</v>
      </c>
      <c r="R43" s="3">
        <f>SUMIF(Tableau_Lancer_la_requête_à_partir_de_Excel_Files10256789[Avis Cofimac],"2-Favorable sous réserve",Tableau_Lancer_la_requête_à_partir_de_Excel_Files10256789[''71''])</f>
        <v>0</v>
      </c>
    </row>
    <row r="44" spans="4:18" hidden="1" x14ac:dyDescent="0.25">
      <c r="D44" t="s">
        <v>38</v>
      </c>
      <c r="E44" s="3">
        <f t="shared" si="0"/>
        <v>0</v>
      </c>
      <c r="F44" s="3">
        <f t="shared" si="1"/>
        <v>0</v>
      </c>
      <c r="H44" s="3">
        <f>SUMIF(Tableau_Lancer_la_requête_à_partir_de_Excel_Files10256789[Avis Prog],"1-Favorable",Tableau_Lancer_la_requête_à_partir_de_Excel_Files10256789[''81''])</f>
        <v>0</v>
      </c>
      <c r="I44" s="3">
        <f>SUMIF(Tableau_Lancer_la_requête_à_partir_de_Excel_Files10256789[Avis Prog],"2-Favorable sous réserve",Tableau_Lancer_la_requête_à_partir_de_Excel_Files10256789[''81''])</f>
        <v>0</v>
      </c>
      <c r="M44" s="3">
        <f>SUMIF(Tableau_Lancer_la_requête_à_partir_de_Excel_Files10256789[Avis Cofimac],"1-Favorable",Tableau_Lancer_la_requête_à_partir_de_Excel_Files10256789[''81''])</f>
        <v>0</v>
      </c>
      <c r="R44" s="3">
        <f>SUMIF(Tableau_Lancer_la_requête_à_partir_de_Excel_Files10256789[Avis Cofimac],"2-Favorable sous réserve",Tableau_Lancer_la_requête_à_partir_de_Excel_Files10256789[''81''])</f>
        <v>0</v>
      </c>
    </row>
    <row r="45" spans="4:18" hidden="1" x14ac:dyDescent="0.25">
      <c r="D45" t="s">
        <v>39</v>
      </c>
      <c r="E45" s="3">
        <f t="shared" si="0"/>
        <v>0</v>
      </c>
      <c r="F45" s="3">
        <f t="shared" si="1"/>
        <v>0</v>
      </c>
      <c r="H45" s="3">
        <f>SUMIF(Tableau_Lancer_la_requête_à_partir_de_Excel_Files10256789[Avis Prog],"1-Favorable",Tableau_Lancer_la_requête_à_partir_de_Excel_Files10256789[''82''])</f>
        <v>0</v>
      </c>
      <c r="I45" s="3">
        <f>SUMIF(Tableau_Lancer_la_requête_à_partir_de_Excel_Files10256789[Avis Prog],"2-Favorable sous réserve",Tableau_Lancer_la_requête_à_partir_de_Excel_Files10256789[''82''])</f>
        <v>0</v>
      </c>
      <c r="M45" s="3">
        <f>SUMIF(Tableau_Lancer_la_requête_à_partir_de_Excel_Files10256789[Avis Cofimac],"1-Favorable",Tableau_Lancer_la_requête_à_partir_de_Excel_Files10256789[''82''])</f>
        <v>0</v>
      </c>
      <c r="R45" s="3">
        <f>SUMIF(Tableau_Lancer_la_requête_à_partir_de_Excel_Files10256789[Avis Cofimac],"2-Favorable sous réserve",Tableau_Lancer_la_requête_à_partir_de_Excel_Files10256789[''82''])</f>
        <v>0</v>
      </c>
    </row>
    <row r="46" spans="4:18" hidden="1" x14ac:dyDescent="0.25">
      <c r="D46" t="s">
        <v>40</v>
      </c>
      <c r="E46" s="3">
        <f t="shared" si="0"/>
        <v>0</v>
      </c>
      <c r="F46" s="3">
        <f t="shared" si="1"/>
        <v>0</v>
      </c>
      <c r="H46" s="3">
        <f>SUMIF(Tableau_Lancer_la_requête_à_partir_de_Excel_Files10256789[Avis Prog],"1-Favorable",Tableau_Lancer_la_requête_à_partir_de_Excel_Files10256789[''87''])</f>
        <v>0</v>
      </c>
      <c r="I46" s="3">
        <f>SUMIF(Tableau_Lancer_la_requête_à_partir_de_Excel_Files10256789[Avis Prog],"2-Favorable sous réserve",Tableau_Lancer_la_requête_à_partir_de_Excel_Files10256789[''87''])</f>
        <v>0</v>
      </c>
      <c r="M46" s="3">
        <f>SUMIF(Tableau_Lancer_la_requête_à_partir_de_Excel_Files10256789[Avis Cofimac],"1-Favorable",Tableau_Lancer_la_requête_à_partir_de_Excel_Files10256789[''87''])</f>
        <v>0</v>
      </c>
      <c r="R46" s="3">
        <f>SUMIF(Tableau_Lancer_la_requête_à_partir_de_Excel_Files10256789[Avis Cofimac],"2-Favorable sous réserve",Tableau_Lancer_la_requête_à_partir_de_Excel_Files10256789[''87''])</f>
        <v>0</v>
      </c>
    </row>
    <row r="47" spans="4:18" hidden="1" x14ac:dyDescent="0.25">
      <c r="D47" t="s">
        <v>41</v>
      </c>
      <c r="E47" s="3">
        <f t="shared" si="0"/>
        <v>0</v>
      </c>
      <c r="F47" s="3">
        <f t="shared" si="1"/>
        <v>0</v>
      </c>
      <c r="H47" s="3">
        <f>SUMIF(Tableau_Lancer_la_requête_à_partir_de_Excel_Files10256789[Avis Prog],"1-Favorable",Tableau_Lancer_la_requête_à_partir_de_Excel_Files10256789[''89''])</f>
        <v>0</v>
      </c>
      <c r="I47" s="3">
        <f>SUMIF(Tableau_Lancer_la_requête_à_partir_de_Excel_Files10256789[Avis Prog],"2-Favorable sous réserve",Tableau_Lancer_la_requête_à_partir_de_Excel_Files10256789[''89''])</f>
        <v>0</v>
      </c>
      <c r="M47" s="3">
        <f>SUMIF(Tableau_Lancer_la_requête_à_partir_de_Excel_Files10256789[Avis Cofimac],"1-Favorable",Tableau_Lancer_la_requête_à_partir_de_Excel_Files10256789[''89''])</f>
        <v>0</v>
      </c>
      <c r="R47" s="3">
        <f>SUMIF(Tableau_Lancer_la_requête_à_partir_de_Excel_Files10256789[Avis Cofimac],"2-Favorable sous réserve",Tableau_Lancer_la_requête_à_partir_de_Excel_Files10256789[''89''])</f>
        <v>0</v>
      </c>
    </row>
  </sheetData>
  <mergeCells count="1">
    <mergeCell ref="A1:B1"/>
  </mergeCells>
  <conditionalFormatting sqref="AR6:AS14">
    <cfRule type="cellIs" dxfId="1252" priority="6" operator="equal">
      <formula>"2-Favorable sous réserve"</formula>
    </cfRule>
    <cfRule type="cellIs" dxfId="1251" priority="15" operator="equal">
      <formula>"6-Retiré/Abandon"</formula>
    </cfRule>
    <cfRule type="cellIs" dxfId="1250" priority="16" operator="equal">
      <formula>"5-Défavorable"</formula>
    </cfRule>
    <cfRule type="cellIs" dxfId="1249" priority="17" operator="equal">
      <formula>"4-Ajournement"</formula>
    </cfRule>
    <cfRule type="cellIs" dxfId="1248" priority="18" operator="equal">
      <formula>"1-Favorable"</formula>
    </cfRule>
  </conditionalFormatting>
  <dataValidations count="1">
    <dataValidation type="list" allowBlank="1" showInputMessage="1" showErrorMessage="1" sqref="AS7:AS14">
      <formula1>"1-Favorable,2-Favorable sous réserve,4-Ajournement,5-Défavorable,6-Retiré/Abandon"</formula1>
    </dataValidation>
  </dataValidations>
  <printOptions horizontalCentered="1" verticalCentered="1"/>
  <pageMargins left="0.25" right="0.25" top="0.75" bottom="0.75" header="0.3" footer="0.3"/>
  <pageSetup paperSize="8" scale="64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61"/>
  <sheetViews>
    <sheetView tabSelected="1" view="pageBreakPreview" topLeftCell="A7" zoomScale="60" zoomScaleNormal="60" workbookViewId="0">
      <selection activeCell="AS18" sqref="AS18"/>
    </sheetView>
  </sheetViews>
  <sheetFormatPr baseColWidth="10" defaultRowHeight="15" outlineLevelCol="1" x14ac:dyDescent="0.25"/>
  <cols>
    <col min="1" max="1" width="13.85546875" style="3" customWidth="1"/>
    <col min="2" max="2" width="14.140625" style="4" bestFit="1" customWidth="1"/>
    <col min="3" max="3" width="24" style="5" bestFit="1" customWidth="1"/>
    <col min="4" max="4" width="32.42578125" style="3" customWidth="1"/>
    <col min="5" max="5" width="53.42578125" style="3" customWidth="1"/>
    <col min="6" max="6" width="12" style="6" customWidth="1"/>
    <col min="7" max="7" width="16" style="3" hidden="1" customWidth="1"/>
    <col min="8" max="8" width="11.28515625" style="6" hidden="1" customWidth="1"/>
    <col min="9" max="9" width="18.42578125" style="3" customWidth="1"/>
    <col min="10" max="10" width="15" style="3" customWidth="1"/>
    <col min="11" max="11" width="11.5703125" style="3" customWidth="1"/>
    <col min="12" max="12" width="16.5703125" style="3" customWidth="1"/>
    <col min="13" max="13" width="13.7109375" style="3" hidden="1" customWidth="1" outlineLevel="1"/>
    <col min="14" max="14" width="18.28515625" style="3" hidden="1" customWidth="1" outlineLevel="1"/>
    <col min="15" max="15" width="18.42578125" style="3" customWidth="1" collapsed="1"/>
    <col min="16" max="16" width="16.5703125" style="3" hidden="1" customWidth="1" outlineLevel="1"/>
    <col min="17" max="17" width="18.7109375" style="3" hidden="1" customWidth="1" outlineLevel="1"/>
    <col min="18" max="18" width="19.42578125" style="3" hidden="1" customWidth="1" outlineLevel="1"/>
    <col min="19" max="19" width="8.7109375" style="3" hidden="1" customWidth="1" outlineLevel="1"/>
    <col min="20" max="20" width="8.7109375" style="3" customWidth="1" collapsed="1"/>
    <col min="21" max="40" width="8.7109375" style="3" hidden="1" customWidth="1" outlineLevel="1"/>
    <col min="41" max="42" width="11.5703125" style="3" hidden="1" customWidth="1" outlineLevel="1"/>
    <col min="43" max="43" width="16.140625" style="3" customWidth="1" collapsed="1"/>
    <col min="44" max="45" width="16.140625" style="3" customWidth="1"/>
    <col min="46" max="46" width="17.7109375" style="3" customWidth="1"/>
    <col min="47" max="47" width="17.7109375" style="3" hidden="1" customWidth="1"/>
    <col min="48" max="48" width="76.5703125" style="3" customWidth="1"/>
    <col min="49" max="49" width="15.42578125" style="3" bestFit="1" customWidth="1"/>
    <col min="50" max="50" width="91" style="3" customWidth="1"/>
    <col min="51" max="51" width="9.42578125" style="3" customWidth="1"/>
    <col min="52" max="66" width="9.7109375" style="3" customWidth="1"/>
    <col min="67" max="67" width="15.140625" style="3" customWidth="1"/>
    <col min="68" max="68" width="14.5703125" style="3" customWidth="1"/>
    <col min="69" max="69" width="18.5703125" style="3" customWidth="1"/>
    <col min="70" max="70" width="12.5703125" style="3" customWidth="1"/>
    <col min="71" max="71" width="20.42578125" style="3" customWidth="1"/>
    <col min="72" max="72" width="12.7109375" style="3" customWidth="1"/>
    <col min="73" max="73" width="9.28515625" style="3" customWidth="1"/>
    <col min="74" max="74" width="14.28515625" style="3" customWidth="1"/>
    <col min="75" max="75" width="11.42578125" style="3" customWidth="1"/>
    <col min="76" max="76" width="9" style="3" customWidth="1"/>
    <col min="77" max="77" width="9.5703125" style="3" customWidth="1"/>
    <col min="78" max="78" width="11" style="3" customWidth="1"/>
    <col min="79" max="79" width="12.7109375" style="3" customWidth="1"/>
    <col min="80" max="82" width="9.7109375" style="3" customWidth="1"/>
    <col min="83" max="83" width="15.140625" style="3" customWidth="1"/>
    <col min="84" max="84" width="17.28515625" style="3" customWidth="1"/>
    <col min="85" max="85" width="49.28515625" style="4" customWidth="1"/>
    <col min="86" max="86" width="17.28515625" style="3" customWidth="1"/>
    <col min="87" max="16384" width="11.42578125" style="3"/>
  </cols>
  <sheetData>
    <row r="1" spans="1:85" ht="18.75" x14ac:dyDescent="0.25">
      <c r="A1" s="147" t="s">
        <v>73</v>
      </c>
      <c r="B1" s="147"/>
      <c r="C1" s="22">
        <f>Feuil1!A2</f>
        <v>42832</v>
      </c>
    </row>
    <row r="5" spans="1:85" ht="15.75" x14ac:dyDescent="0.25">
      <c r="A5" s="1" t="s">
        <v>49</v>
      </c>
      <c r="B5" s="20"/>
    </row>
    <row r="6" spans="1:85" s="7" customFormat="1" ht="30" x14ac:dyDescent="0.25">
      <c r="A6" s="7" t="s">
        <v>0</v>
      </c>
      <c r="B6" s="7" t="s">
        <v>122</v>
      </c>
      <c r="C6" s="7" t="s">
        <v>7</v>
      </c>
      <c r="D6" s="7" t="s">
        <v>1</v>
      </c>
      <c r="E6" s="7" t="s">
        <v>2</v>
      </c>
      <c r="F6" s="7" t="s">
        <v>50</v>
      </c>
      <c r="G6" s="7" t="s">
        <v>52</v>
      </c>
      <c r="H6" s="7" t="s">
        <v>51</v>
      </c>
      <c r="I6" s="7" t="s">
        <v>48</v>
      </c>
      <c r="J6" s="7" t="s">
        <v>53</v>
      </c>
      <c r="K6" s="7" t="s">
        <v>42</v>
      </c>
      <c r="L6" s="7" t="s">
        <v>63</v>
      </c>
      <c r="M6" s="7" t="s">
        <v>67</v>
      </c>
      <c r="N6" s="7" t="s">
        <v>15</v>
      </c>
      <c r="O6" s="7" t="s">
        <v>64</v>
      </c>
      <c r="P6" s="7" t="s">
        <v>18</v>
      </c>
      <c r="Q6" s="7" t="s">
        <v>16</v>
      </c>
      <c r="R6" s="7" t="s">
        <v>17</v>
      </c>
      <c r="S6" s="7" t="s">
        <v>19</v>
      </c>
      <c r="T6" s="7" t="s">
        <v>65</v>
      </c>
      <c r="U6" s="7" t="s">
        <v>20</v>
      </c>
      <c r="V6" s="7" t="s">
        <v>21</v>
      </c>
      <c r="W6" s="7" t="s">
        <v>22</v>
      </c>
      <c r="X6" s="7" t="s">
        <v>23</v>
      </c>
      <c r="Y6" s="7" t="s">
        <v>24</v>
      </c>
      <c r="Z6" s="7" t="s">
        <v>25</v>
      </c>
      <c r="AA6" s="7" t="s">
        <v>26</v>
      </c>
      <c r="AB6" s="7" t="s">
        <v>27</v>
      </c>
      <c r="AC6" s="7" t="s">
        <v>28</v>
      </c>
      <c r="AD6" s="7" t="s">
        <v>29</v>
      </c>
      <c r="AE6" s="7" t="s">
        <v>30</v>
      </c>
      <c r="AF6" s="7" t="s">
        <v>31</v>
      </c>
      <c r="AG6" s="7" t="s">
        <v>32</v>
      </c>
      <c r="AH6" s="7" t="s">
        <v>33</v>
      </c>
      <c r="AI6" s="7" t="s">
        <v>34</v>
      </c>
      <c r="AJ6" s="7" t="s">
        <v>35</v>
      </c>
      <c r="AK6" s="7" t="s">
        <v>36</v>
      </c>
      <c r="AL6" s="7" t="s">
        <v>37</v>
      </c>
      <c r="AM6" s="7" t="s">
        <v>38</v>
      </c>
      <c r="AN6" s="7" t="s">
        <v>39</v>
      </c>
      <c r="AO6" s="7" t="s">
        <v>40</v>
      </c>
      <c r="AP6" s="7" t="s">
        <v>41</v>
      </c>
      <c r="AQ6" s="7" t="s">
        <v>43</v>
      </c>
      <c r="AR6" s="7" t="s">
        <v>47</v>
      </c>
      <c r="AS6" s="31" t="s">
        <v>54</v>
      </c>
      <c r="AT6" s="7" t="s">
        <v>88</v>
      </c>
      <c r="AU6" s="3"/>
      <c r="AV6" s="30" t="s">
        <v>62</v>
      </c>
    </row>
    <row r="7" spans="1:85" s="10" customFormat="1" ht="45" x14ac:dyDescent="0.25">
      <c r="A7" s="57" t="s">
        <v>89</v>
      </c>
      <c r="B7" s="57" t="s">
        <v>198</v>
      </c>
      <c r="C7" s="6" t="s">
        <v>188</v>
      </c>
      <c r="D7" s="5" t="s">
        <v>189</v>
      </c>
      <c r="E7" s="5" t="s">
        <v>190</v>
      </c>
      <c r="F7" s="8">
        <v>105667</v>
      </c>
      <c r="G7" s="8">
        <f>Tableau_Lancer_la_requête_à_partir_de_Excel_Files102[[#This Row],[Aide Massif]]+Tableau_Lancer_la_requête_à_partir_de_Excel_Files102[[#This Row],[''Autre Public'']]</f>
        <v>0</v>
      </c>
      <c r="H7" s="9">
        <f>Tableau_Lancer_la_requête_à_partir_de_Excel_Files102[[#This Row],[Aide 
publique]]/Tableau_Lancer_la_requête_à_partir_de_Excel_Files102[[#This Row],[''Coût total éligible'']]</f>
        <v>0</v>
      </c>
      <c r="I7" s="8">
        <f>Tableau_Lancer_la_requête_à_partir_de_Excel_Files102[[#This Row],[''FEDER'']]+Tableau_Lancer_la_requête_à_partir_de_Excel_Files102[[#This Row],[Total Etat]]+Tableau_Lancer_la_requête_à_partir_de_Excel_Files102[[#This Row],[Total Régions]]+Tableau_Lancer_la_requête_à_partir_de_Excel_Files102[[#This Row],[Total Dpts]]</f>
        <v>0</v>
      </c>
      <c r="J7" s="9">
        <f>Tableau_Lancer_la_requête_à_partir_de_Excel_Files102[[#This Row],[Aide Massif]]/Tableau_Lancer_la_requête_à_partir_de_Excel_Files102[[#This Row],[''Coût total éligible'']]</f>
        <v>0</v>
      </c>
      <c r="K7" s="49">
        <v>0</v>
      </c>
      <c r="L7" s="8">
        <f>Tableau_Lancer_la_requête_à_partir_de_Excel_Files102[[#This Row],[''FNADT '']]+Tableau_Lancer_la_requête_à_partir_de_Excel_Files102[[#This Row],[''Agriculture'']]</f>
        <v>0</v>
      </c>
      <c r="M7" s="8"/>
      <c r="N7" s="8"/>
      <c r="O7" s="8">
        <f>Tableau_Lancer_la_requête_à_partir_de_Excel_Files102[[#This Row],[''ALPC'']]+Tableau_Lancer_la_requête_à_partir_de_Excel_Files102[[#This Row],[''AURA'']]+Tableau_Lancer_la_requête_à_partir_de_Excel_Files102[[#This Row],[''BFC'']]+Tableau_Lancer_la_requête_à_partir_de_Excel_Files102[[#This Row],[''LRMP'']]</f>
        <v>0</v>
      </c>
      <c r="P7" s="8"/>
      <c r="Q7" s="8"/>
      <c r="R7" s="8"/>
      <c r="S7" s="8"/>
      <c r="T7" s="8">
        <f>Tableau_Lancer_la_requête_à_partir_de_Excel_Files102[[#This Row],[''03'']]+Tableau_Lancer_la_requête_à_partir_de_Excel_Files102[[#This Row],[''07'']]+Tableau_Lancer_la_requête_à_partir_de_Excel_Files102[[#This Row],[''11'']]+Tableau_Lancer_la_requête_à_partir_de_Excel_Files102[[#This Row],[''12'']]+Tableau_Lancer_la_requête_à_partir_de_Excel_Files102[[#This Row],[''15'']]+Tableau_Lancer_la_requête_à_partir_de_Excel_Files102[[#This Row],[''19'']]+Tableau_Lancer_la_requête_à_partir_de_Excel_Files102[[#This Row],[''21'']]+Tableau_Lancer_la_requête_à_partir_de_Excel_Files102[[#This Row],[''23'']]+Tableau_Lancer_la_requête_à_partir_de_Excel_Files102[[#This Row],[''30'']]+Tableau_Lancer_la_requête_à_partir_de_Excel_Files102[[#This Row],[''34'']]+Tableau_Lancer_la_requête_à_partir_de_Excel_Files102[[#This Row],[''42'']]+Tableau_Lancer_la_requête_à_partir_de_Excel_Files102[[#This Row],[''43'']]+Tableau_Lancer_la_requête_à_partir_de_Excel_Files102[[#This Row],[''46'']]+Tableau_Lancer_la_requête_à_partir_de_Excel_Files102[[#This Row],[''48'']]+Tableau_Lancer_la_requête_à_partir_de_Excel_Files102[[#This Row],[''58'']]+Tableau_Lancer_la_requête_à_partir_de_Excel_Files102[[#This Row],[''63'']]+Tableau_Lancer_la_requête_à_partir_de_Excel_Files102[[#This Row],[''69'']]+Tableau_Lancer_la_requête_à_partir_de_Excel_Files102[[#This Row],[''71'']]+Tableau_Lancer_la_requête_à_partir_de_Excel_Files102[[#This Row],[''81'']]+Tableau_Lancer_la_requête_à_partir_de_Excel_Files102[[#This Row],[''82'']]+Tableau_Lancer_la_requête_à_partir_de_Excel_Files102[[#This Row],[''87'']]+Tableau_Lancer_la_requête_à_partir_de_Excel_Files102[[#This Row],[''89'']]</f>
        <v>0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>
        <v>0</v>
      </c>
      <c r="AR7" s="10" t="s">
        <v>103</v>
      </c>
      <c r="AS7" s="49" t="s">
        <v>103</v>
      </c>
      <c r="AT7" s="57">
        <v>42736</v>
      </c>
      <c r="AU7" s="3"/>
      <c r="AV7" s="124" t="s">
        <v>238</v>
      </c>
    </row>
    <row r="8" spans="1:85" s="10" customFormat="1" ht="45" x14ac:dyDescent="0.25">
      <c r="A8" s="57" t="s">
        <v>89</v>
      </c>
      <c r="B8" s="57" t="s">
        <v>198</v>
      </c>
      <c r="C8" s="6" t="s">
        <v>188</v>
      </c>
      <c r="D8" s="5" t="s">
        <v>191</v>
      </c>
      <c r="E8" s="5" t="s">
        <v>190</v>
      </c>
      <c r="F8" s="8">
        <v>115050</v>
      </c>
      <c r="G8" s="8">
        <f>Tableau_Lancer_la_requête_à_partir_de_Excel_Files102[[#This Row],[Aide Massif]]+Tableau_Lancer_la_requête_à_partir_de_Excel_Files102[[#This Row],[''Autre Public'']]</f>
        <v>0</v>
      </c>
      <c r="H8" s="9">
        <f>Tableau_Lancer_la_requête_à_partir_de_Excel_Files102[[#This Row],[Aide 
publique]]/Tableau_Lancer_la_requête_à_partir_de_Excel_Files102[[#This Row],[''Coût total éligible'']]</f>
        <v>0</v>
      </c>
      <c r="I8" s="8">
        <f>Tableau_Lancer_la_requête_à_partir_de_Excel_Files102[[#This Row],[''FEDER'']]+Tableau_Lancer_la_requête_à_partir_de_Excel_Files102[[#This Row],[Total Etat]]+Tableau_Lancer_la_requête_à_partir_de_Excel_Files102[[#This Row],[Total Régions]]+Tableau_Lancer_la_requête_à_partir_de_Excel_Files102[[#This Row],[Total Dpts]]</f>
        <v>0</v>
      </c>
      <c r="J8" s="9">
        <f>Tableau_Lancer_la_requête_à_partir_de_Excel_Files102[[#This Row],[Aide Massif]]/Tableau_Lancer_la_requête_à_partir_de_Excel_Files102[[#This Row],[''Coût total éligible'']]</f>
        <v>0</v>
      </c>
      <c r="K8" s="49">
        <v>0</v>
      </c>
      <c r="L8" s="8">
        <f>Tableau_Lancer_la_requête_à_partir_de_Excel_Files102[[#This Row],[''FNADT '']]+Tableau_Lancer_la_requête_à_partir_de_Excel_Files102[[#This Row],[''Agriculture'']]</f>
        <v>0</v>
      </c>
      <c r="M8" s="8"/>
      <c r="N8" s="8"/>
      <c r="O8" s="8">
        <f>Tableau_Lancer_la_requête_à_partir_de_Excel_Files102[[#This Row],[''ALPC'']]+Tableau_Lancer_la_requête_à_partir_de_Excel_Files102[[#This Row],[''AURA'']]+Tableau_Lancer_la_requête_à_partir_de_Excel_Files102[[#This Row],[''BFC'']]+Tableau_Lancer_la_requête_à_partir_de_Excel_Files102[[#This Row],[''LRMP'']]</f>
        <v>0</v>
      </c>
      <c r="P8" s="8"/>
      <c r="Q8" s="8"/>
      <c r="R8" s="8"/>
      <c r="S8" s="8"/>
      <c r="T8" s="8">
        <f>Tableau_Lancer_la_requête_à_partir_de_Excel_Files102[[#This Row],[''03'']]+Tableau_Lancer_la_requête_à_partir_de_Excel_Files102[[#This Row],[''07'']]+Tableau_Lancer_la_requête_à_partir_de_Excel_Files102[[#This Row],[''11'']]+Tableau_Lancer_la_requête_à_partir_de_Excel_Files102[[#This Row],[''12'']]+Tableau_Lancer_la_requête_à_partir_de_Excel_Files102[[#This Row],[''15'']]+Tableau_Lancer_la_requête_à_partir_de_Excel_Files102[[#This Row],[''19'']]+Tableau_Lancer_la_requête_à_partir_de_Excel_Files102[[#This Row],[''21'']]+Tableau_Lancer_la_requête_à_partir_de_Excel_Files102[[#This Row],[''23'']]+Tableau_Lancer_la_requête_à_partir_de_Excel_Files102[[#This Row],[''30'']]+Tableau_Lancer_la_requête_à_partir_de_Excel_Files102[[#This Row],[''34'']]+Tableau_Lancer_la_requête_à_partir_de_Excel_Files102[[#This Row],[''42'']]+Tableau_Lancer_la_requête_à_partir_de_Excel_Files102[[#This Row],[''43'']]+Tableau_Lancer_la_requête_à_partir_de_Excel_Files102[[#This Row],[''46'']]+Tableau_Lancer_la_requête_à_partir_de_Excel_Files102[[#This Row],[''48'']]+Tableau_Lancer_la_requête_à_partir_de_Excel_Files102[[#This Row],[''58'']]+Tableau_Lancer_la_requête_à_partir_de_Excel_Files102[[#This Row],[''63'']]+Tableau_Lancer_la_requête_à_partir_de_Excel_Files102[[#This Row],[''69'']]+Tableau_Lancer_la_requête_à_partir_de_Excel_Files102[[#This Row],[''71'']]+Tableau_Lancer_la_requête_à_partir_de_Excel_Files102[[#This Row],[''81'']]+Tableau_Lancer_la_requête_à_partir_de_Excel_Files102[[#This Row],[''82'']]+Tableau_Lancer_la_requête_à_partir_de_Excel_Files102[[#This Row],[''87'']]+Tableau_Lancer_la_requête_à_partir_de_Excel_Files102[[#This Row],[''89'']]</f>
        <v>0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>
        <v>0</v>
      </c>
      <c r="AR8" s="10" t="s">
        <v>103</v>
      </c>
      <c r="AS8" s="49" t="s">
        <v>103</v>
      </c>
      <c r="AT8" s="57">
        <v>42736</v>
      </c>
      <c r="AU8" s="3"/>
      <c r="AV8" s="125" t="s">
        <v>238</v>
      </c>
    </row>
    <row r="9" spans="1:85" s="10" customFormat="1" ht="45" x14ac:dyDescent="0.25">
      <c r="A9" s="57" t="s">
        <v>89</v>
      </c>
      <c r="B9" s="57" t="s">
        <v>198</v>
      </c>
      <c r="C9" s="6" t="s">
        <v>188</v>
      </c>
      <c r="D9" s="5" t="s">
        <v>192</v>
      </c>
      <c r="E9" s="5" t="s">
        <v>190</v>
      </c>
      <c r="F9" s="8">
        <v>110070</v>
      </c>
      <c r="G9" s="8">
        <f>Tableau_Lancer_la_requête_à_partir_de_Excel_Files102[[#This Row],[Aide Massif]]+Tableau_Lancer_la_requête_à_partir_de_Excel_Files102[[#This Row],[''Autre Public'']]</f>
        <v>20000</v>
      </c>
      <c r="H9" s="9">
        <f>Tableau_Lancer_la_requête_à_partir_de_Excel_Files102[[#This Row],[Aide 
publique]]/Tableau_Lancer_la_requête_à_partir_de_Excel_Files102[[#This Row],[''Coût total éligible'']]</f>
        <v>0.18170255292086854</v>
      </c>
      <c r="I9" s="8">
        <f>Tableau_Lancer_la_requête_à_partir_de_Excel_Files102[[#This Row],[''FEDER'']]+Tableau_Lancer_la_requête_à_partir_de_Excel_Files102[[#This Row],[Total Etat]]+Tableau_Lancer_la_requête_à_partir_de_Excel_Files102[[#This Row],[Total Régions]]+Tableau_Lancer_la_requête_à_partir_de_Excel_Files102[[#This Row],[Total Dpts]]</f>
        <v>20000</v>
      </c>
      <c r="J9" s="9">
        <f>Tableau_Lancer_la_requête_à_partir_de_Excel_Files102[[#This Row],[Aide Massif]]/Tableau_Lancer_la_requête_à_partir_de_Excel_Files102[[#This Row],[''Coût total éligible'']]</f>
        <v>0.18170255292086854</v>
      </c>
      <c r="K9" s="49">
        <v>0</v>
      </c>
      <c r="L9" s="8">
        <f>Tableau_Lancer_la_requête_à_partir_de_Excel_Files102[[#This Row],[''FNADT '']]+Tableau_Lancer_la_requête_à_partir_de_Excel_Files102[[#This Row],[''Agriculture'']]</f>
        <v>0</v>
      </c>
      <c r="M9" s="8"/>
      <c r="N9" s="8"/>
      <c r="O9" s="8">
        <f>Tableau_Lancer_la_requête_à_partir_de_Excel_Files102[[#This Row],[''ALPC'']]+Tableau_Lancer_la_requête_à_partir_de_Excel_Files102[[#This Row],[''AURA'']]+Tableau_Lancer_la_requête_à_partir_de_Excel_Files102[[#This Row],[''BFC'']]+Tableau_Lancer_la_requête_à_partir_de_Excel_Files102[[#This Row],[''LRMP'']]</f>
        <v>20000</v>
      </c>
      <c r="P9" s="8">
        <v>20000</v>
      </c>
      <c r="Q9" s="8"/>
      <c r="R9" s="8"/>
      <c r="S9" s="8"/>
      <c r="T9" s="8">
        <f>Tableau_Lancer_la_requête_à_partir_de_Excel_Files102[[#This Row],[''03'']]+Tableau_Lancer_la_requête_à_partir_de_Excel_Files102[[#This Row],[''07'']]+Tableau_Lancer_la_requête_à_partir_de_Excel_Files102[[#This Row],[''11'']]+Tableau_Lancer_la_requête_à_partir_de_Excel_Files102[[#This Row],[''12'']]+Tableau_Lancer_la_requête_à_partir_de_Excel_Files102[[#This Row],[''15'']]+Tableau_Lancer_la_requête_à_partir_de_Excel_Files102[[#This Row],[''19'']]+Tableau_Lancer_la_requête_à_partir_de_Excel_Files102[[#This Row],[''21'']]+Tableau_Lancer_la_requête_à_partir_de_Excel_Files102[[#This Row],[''23'']]+Tableau_Lancer_la_requête_à_partir_de_Excel_Files102[[#This Row],[''30'']]+Tableau_Lancer_la_requête_à_partir_de_Excel_Files102[[#This Row],[''34'']]+Tableau_Lancer_la_requête_à_partir_de_Excel_Files102[[#This Row],[''42'']]+Tableau_Lancer_la_requête_à_partir_de_Excel_Files102[[#This Row],[''43'']]+Tableau_Lancer_la_requête_à_partir_de_Excel_Files102[[#This Row],[''46'']]+Tableau_Lancer_la_requête_à_partir_de_Excel_Files102[[#This Row],[''48'']]+Tableau_Lancer_la_requête_à_partir_de_Excel_Files102[[#This Row],[''58'']]+Tableau_Lancer_la_requête_à_partir_de_Excel_Files102[[#This Row],[''63'']]+Tableau_Lancer_la_requête_à_partir_de_Excel_Files102[[#This Row],[''69'']]+Tableau_Lancer_la_requête_à_partir_de_Excel_Files102[[#This Row],[''71'']]+Tableau_Lancer_la_requête_à_partir_de_Excel_Files102[[#This Row],[''81'']]+Tableau_Lancer_la_requête_à_partir_de_Excel_Files102[[#This Row],[''82'']]+Tableau_Lancer_la_requête_à_partir_de_Excel_Files102[[#This Row],[''87'']]+Tableau_Lancer_la_requête_à_partir_de_Excel_Files102[[#This Row],[''89'']]</f>
        <v>0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>
        <v>0</v>
      </c>
      <c r="AR9" s="10" t="s">
        <v>103</v>
      </c>
      <c r="AS9" s="49" t="s">
        <v>103</v>
      </c>
      <c r="AT9" s="57">
        <v>42736</v>
      </c>
      <c r="AU9" s="3"/>
      <c r="AV9" s="124" t="s">
        <v>238</v>
      </c>
    </row>
    <row r="10" spans="1:85" s="10" customFormat="1" ht="45" x14ac:dyDescent="0.25">
      <c r="A10" s="57" t="s">
        <v>89</v>
      </c>
      <c r="B10" s="57" t="s">
        <v>198</v>
      </c>
      <c r="C10" s="6" t="s">
        <v>188</v>
      </c>
      <c r="D10" s="5" t="s">
        <v>193</v>
      </c>
      <c r="E10" s="5" t="s">
        <v>190</v>
      </c>
      <c r="F10" s="8">
        <v>127184</v>
      </c>
      <c r="G10" s="8">
        <f>Tableau_Lancer_la_requête_à_partir_de_Excel_Files102[[#This Row],[Aide Massif]]+Tableau_Lancer_la_requête_à_partir_de_Excel_Files102[[#This Row],[''Autre Public'']]</f>
        <v>0</v>
      </c>
      <c r="H10" s="9">
        <f>Tableau_Lancer_la_requête_à_partir_de_Excel_Files102[[#This Row],[Aide 
publique]]/Tableau_Lancer_la_requête_à_partir_de_Excel_Files102[[#This Row],[''Coût total éligible'']]</f>
        <v>0</v>
      </c>
      <c r="I10" s="8">
        <f>Tableau_Lancer_la_requête_à_partir_de_Excel_Files102[[#This Row],[''FEDER'']]+Tableau_Lancer_la_requête_à_partir_de_Excel_Files102[[#This Row],[Total Etat]]+Tableau_Lancer_la_requête_à_partir_de_Excel_Files102[[#This Row],[Total Régions]]+Tableau_Lancer_la_requête_à_partir_de_Excel_Files102[[#This Row],[Total Dpts]]</f>
        <v>0</v>
      </c>
      <c r="J10" s="9">
        <f>Tableau_Lancer_la_requête_à_partir_de_Excel_Files102[[#This Row],[Aide Massif]]/Tableau_Lancer_la_requête_à_partir_de_Excel_Files102[[#This Row],[''Coût total éligible'']]</f>
        <v>0</v>
      </c>
      <c r="K10" s="49">
        <v>0</v>
      </c>
      <c r="L10" s="8">
        <f>Tableau_Lancer_la_requête_à_partir_de_Excel_Files102[[#This Row],[''FNADT '']]+Tableau_Lancer_la_requête_à_partir_de_Excel_Files102[[#This Row],[''Agriculture'']]</f>
        <v>0</v>
      </c>
      <c r="M10" s="8"/>
      <c r="N10" s="8"/>
      <c r="O10" s="8">
        <f>Tableau_Lancer_la_requête_à_partir_de_Excel_Files102[[#This Row],[''ALPC'']]+Tableau_Lancer_la_requête_à_partir_de_Excel_Files102[[#This Row],[''AURA'']]+Tableau_Lancer_la_requête_à_partir_de_Excel_Files102[[#This Row],[''BFC'']]+Tableau_Lancer_la_requête_à_partir_de_Excel_Files102[[#This Row],[''LRMP'']]</f>
        <v>0</v>
      </c>
      <c r="P10" s="8"/>
      <c r="Q10" s="8"/>
      <c r="R10" s="8"/>
      <c r="S10" s="8"/>
      <c r="T10" s="8">
        <f>Tableau_Lancer_la_requête_à_partir_de_Excel_Files102[[#This Row],[''03'']]+Tableau_Lancer_la_requête_à_partir_de_Excel_Files102[[#This Row],[''07'']]+Tableau_Lancer_la_requête_à_partir_de_Excel_Files102[[#This Row],[''11'']]+Tableau_Lancer_la_requête_à_partir_de_Excel_Files102[[#This Row],[''12'']]+Tableau_Lancer_la_requête_à_partir_de_Excel_Files102[[#This Row],[''15'']]+Tableau_Lancer_la_requête_à_partir_de_Excel_Files102[[#This Row],[''19'']]+Tableau_Lancer_la_requête_à_partir_de_Excel_Files102[[#This Row],[''21'']]+Tableau_Lancer_la_requête_à_partir_de_Excel_Files102[[#This Row],[''23'']]+Tableau_Lancer_la_requête_à_partir_de_Excel_Files102[[#This Row],[''30'']]+Tableau_Lancer_la_requête_à_partir_de_Excel_Files102[[#This Row],[''34'']]+Tableau_Lancer_la_requête_à_partir_de_Excel_Files102[[#This Row],[''42'']]+Tableau_Lancer_la_requête_à_partir_de_Excel_Files102[[#This Row],[''43'']]+Tableau_Lancer_la_requête_à_partir_de_Excel_Files102[[#This Row],[''46'']]+Tableau_Lancer_la_requête_à_partir_de_Excel_Files102[[#This Row],[''48'']]+Tableau_Lancer_la_requête_à_partir_de_Excel_Files102[[#This Row],[''58'']]+Tableau_Lancer_la_requête_à_partir_de_Excel_Files102[[#This Row],[''63'']]+Tableau_Lancer_la_requête_à_partir_de_Excel_Files102[[#This Row],[''69'']]+Tableau_Lancer_la_requête_à_partir_de_Excel_Files102[[#This Row],[''71'']]+Tableau_Lancer_la_requête_à_partir_de_Excel_Files102[[#This Row],[''81'']]+Tableau_Lancer_la_requête_à_partir_de_Excel_Files102[[#This Row],[''82'']]+Tableau_Lancer_la_requête_à_partir_de_Excel_Files102[[#This Row],[''87'']]+Tableau_Lancer_la_requête_à_partir_de_Excel_Files102[[#This Row],[''89'']]</f>
        <v>0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>
        <v>0</v>
      </c>
      <c r="AR10" s="10" t="s">
        <v>103</v>
      </c>
      <c r="AS10" s="49" t="s">
        <v>103</v>
      </c>
      <c r="AT10" s="57">
        <v>42736</v>
      </c>
      <c r="AU10" s="3"/>
      <c r="AV10" s="125" t="s">
        <v>238</v>
      </c>
    </row>
    <row r="11" spans="1:85" s="10" customFormat="1" x14ac:dyDescent="0.25">
      <c r="A11" s="99" t="s">
        <v>110</v>
      </c>
      <c r="B11" s="99" t="s">
        <v>198</v>
      </c>
      <c r="C11" s="94" t="s">
        <v>183</v>
      </c>
      <c r="D11" s="95" t="s">
        <v>102</v>
      </c>
      <c r="E11" s="95" t="s">
        <v>184</v>
      </c>
      <c r="F11" s="96"/>
      <c r="G11" s="96">
        <f>Tableau_Lancer_la_requête_à_partir_de_Excel_Files102[[#This Row],[Aide Massif]]+Tableau_Lancer_la_requête_à_partir_de_Excel_Files102[[#This Row],[''Autre Public'']]</f>
        <v>0</v>
      </c>
      <c r="H11" s="97" t="e">
        <f>Tableau_Lancer_la_requête_à_partir_de_Excel_Files102[[#This Row],[Aide 
publique]]/Tableau_Lancer_la_requête_à_partir_de_Excel_Files102[[#This Row],[''Coût total éligible'']]</f>
        <v>#DIV/0!</v>
      </c>
      <c r="I11" s="96">
        <f>Tableau_Lancer_la_requête_à_partir_de_Excel_Files102[[#This Row],[''FEDER'']]+Tableau_Lancer_la_requête_à_partir_de_Excel_Files102[[#This Row],[Total Etat]]+Tableau_Lancer_la_requête_à_partir_de_Excel_Files102[[#This Row],[Total Régions]]+Tableau_Lancer_la_requête_à_partir_de_Excel_Files102[[#This Row],[Total Dpts]]</f>
        <v>0</v>
      </c>
      <c r="J11" s="97" t="e">
        <f>Tableau_Lancer_la_requête_à_partir_de_Excel_Files102[[#This Row],[Aide Massif]]/Tableau_Lancer_la_requête_à_partir_de_Excel_Files102[[#This Row],[''Coût total éligible'']]</f>
        <v>#DIV/0!</v>
      </c>
      <c r="K11" s="96">
        <v>0</v>
      </c>
      <c r="L11" s="96">
        <f>Tableau_Lancer_la_requête_à_partir_de_Excel_Files102[[#This Row],[''FNADT '']]+Tableau_Lancer_la_requête_à_partir_de_Excel_Files102[[#This Row],[''Agriculture'']]</f>
        <v>0</v>
      </c>
      <c r="M11" s="96"/>
      <c r="N11" s="96"/>
      <c r="O11" s="96">
        <f>Tableau_Lancer_la_requête_à_partir_de_Excel_Files102[[#This Row],[''ALPC'']]+Tableau_Lancer_la_requête_à_partir_de_Excel_Files102[[#This Row],[''AURA'']]+Tableau_Lancer_la_requête_à_partir_de_Excel_Files102[[#This Row],[''BFC'']]+Tableau_Lancer_la_requête_à_partir_de_Excel_Files102[[#This Row],[''LRMP'']]</f>
        <v>0</v>
      </c>
      <c r="P11" s="96"/>
      <c r="Q11" s="96"/>
      <c r="R11" s="96"/>
      <c r="S11" s="96"/>
      <c r="T11" s="96">
        <f>Tableau_Lancer_la_requête_à_partir_de_Excel_Files102[[#This Row],[''03'']]+Tableau_Lancer_la_requête_à_partir_de_Excel_Files102[[#This Row],[''07'']]+Tableau_Lancer_la_requête_à_partir_de_Excel_Files102[[#This Row],[''11'']]+Tableau_Lancer_la_requête_à_partir_de_Excel_Files102[[#This Row],[''12'']]+Tableau_Lancer_la_requête_à_partir_de_Excel_Files102[[#This Row],[''15'']]+Tableau_Lancer_la_requête_à_partir_de_Excel_Files102[[#This Row],[''19'']]+Tableau_Lancer_la_requête_à_partir_de_Excel_Files102[[#This Row],[''21'']]+Tableau_Lancer_la_requête_à_partir_de_Excel_Files102[[#This Row],[''23'']]+Tableau_Lancer_la_requête_à_partir_de_Excel_Files102[[#This Row],[''30'']]+Tableau_Lancer_la_requête_à_partir_de_Excel_Files102[[#This Row],[''34'']]+Tableau_Lancer_la_requête_à_partir_de_Excel_Files102[[#This Row],[''42'']]+Tableau_Lancer_la_requête_à_partir_de_Excel_Files102[[#This Row],[''43'']]+Tableau_Lancer_la_requête_à_partir_de_Excel_Files102[[#This Row],[''46'']]+Tableau_Lancer_la_requête_à_partir_de_Excel_Files102[[#This Row],[''48'']]+Tableau_Lancer_la_requête_à_partir_de_Excel_Files102[[#This Row],[''58'']]+Tableau_Lancer_la_requête_à_partir_de_Excel_Files102[[#This Row],[''63'']]+Tableau_Lancer_la_requête_à_partir_de_Excel_Files102[[#This Row],[''69'']]+Tableau_Lancer_la_requête_à_partir_de_Excel_Files102[[#This Row],[''71'']]+Tableau_Lancer_la_requête_à_partir_de_Excel_Files102[[#This Row],[''81'']]+Tableau_Lancer_la_requête_à_partir_de_Excel_Files102[[#This Row],[''82'']]+Tableau_Lancer_la_requête_à_partir_de_Excel_Files102[[#This Row],[''87'']]+Tableau_Lancer_la_requête_à_partir_de_Excel_Files102[[#This Row],[''89'']]</f>
        <v>0</v>
      </c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>
        <v>0</v>
      </c>
      <c r="AR11" s="98" t="s">
        <v>231</v>
      </c>
      <c r="AS11" s="96"/>
      <c r="AT11" s="99"/>
      <c r="AU11" s="100"/>
      <c r="AV11" s="126" t="s">
        <v>218</v>
      </c>
    </row>
    <row r="12" spans="1:85" x14ac:dyDescent="0.25">
      <c r="A12" s="57" t="s">
        <v>89</v>
      </c>
      <c r="B12" s="57" t="s">
        <v>198</v>
      </c>
      <c r="C12" s="6" t="s">
        <v>114</v>
      </c>
      <c r="D12" s="5" t="s">
        <v>115</v>
      </c>
      <c r="E12" s="5" t="s">
        <v>116</v>
      </c>
      <c r="F12" s="8">
        <v>110449</v>
      </c>
      <c r="G12" s="8">
        <f>Tableau_Lancer_la_requête_à_partir_de_Excel_Files102[[#This Row],[Aide Massif]]+Tableau_Lancer_la_requête_à_partir_de_Excel_Files102[[#This Row],[''Autre Public'']]</f>
        <v>69997</v>
      </c>
      <c r="H12" s="9">
        <f>Tableau_Lancer_la_requête_à_partir_de_Excel_Files102[[#This Row],[Aide 
publique]]/Tableau_Lancer_la_requête_à_partir_de_Excel_Files102[[#This Row],[''Coût total éligible'']]</f>
        <v>0.63374951335005292</v>
      </c>
      <c r="I12" s="8">
        <f>Tableau_Lancer_la_requête_à_partir_de_Excel_Files102[[#This Row],[''FEDER'']]+Tableau_Lancer_la_requête_à_partir_de_Excel_Files102[[#This Row],[Total Etat]]+Tableau_Lancer_la_requête_à_partir_de_Excel_Files102[[#This Row],[Total Régions]]+Tableau_Lancer_la_requête_à_partir_de_Excel_Files102[[#This Row],[Total Dpts]]</f>
        <v>69997</v>
      </c>
      <c r="J12" s="9">
        <f>Tableau_Lancer_la_requête_à_partir_de_Excel_Files102[[#This Row],[Aide Massif]]/Tableau_Lancer_la_requête_à_partir_de_Excel_Files102[[#This Row],[''Coût total éligible'']]</f>
        <v>0.63374951335005292</v>
      </c>
      <c r="K12" s="49">
        <v>47907</v>
      </c>
      <c r="L12" s="8">
        <f>Tableau_Lancer_la_requête_à_partir_de_Excel_Files102[[#This Row],[''FNADT '']]+Tableau_Lancer_la_requête_à_partir_de_Excel_Files102[[#This Row],[''Agriculture'']]</f>
        <v>22090</v>
      </c>
      <c r="M12" s="8">
        <v>22090</v>
      </c>
      <c r="N12" s="8"/>
      <c r="O12" s="8">
        <f>Tableau_Lancer_la_requête_à_partir_de_Excel_Files102[[#This Row],[''ALPC'']]+Tableau_Lancer_la_requête_à_partir_de_Excel_Files102[[#This Row],[''AURA'']]+Tableau_Lancer_la_requête_à_partir_de_Excel_Files102[[#This Row],[''BFC'']]+Tableau_Lancer_la_requête_à_partir_de_Excel_Files102[[#This Row],[''LRMP'']]</f>
        <v>0</v>
      </c>
      <c r="P12" s="8"/>
      <c r="Q12" s="8"/>
      <c r="R12" s="8"/>
      <c r="S12" s="8"/>
      <c r="T12" s="8">
        <f>Tableau_Lancer_la_requête_à_partir_de_Excel_Files102[[#This Row],[''03'']]+Tableau_Lancer_la_requête_à_partir_de_Excel_Files102[[#This Row],[''07'']]+Tableau_Lancer_la_requête_à_partir_de_Excel_Files102[[#This Row],[''11'']]+Tableau_Lancer_la_requête_à_partir_de_Excel_Files102[[#This Row],[''12'']]+Tableau_Lancer_la_requête_à_partir_de_Excel_Files102[[#This Row],[''15'']]+Tableau_Lancer_la_requête_à_partir_de_Excel_Files102[[#This Row],[''19'']]+Tableau_Lancer_la_requête_à_partir_de_Excel_Files102[[#This Row],[''21'']]+Tableau_Lancer_la_requête_à_partir_de_Excel_Files102[[#This Row],[''23'']]+Tableau_Lancer_la_requête_à_partir_de_Excel_Files102[[#This Row],[''30'']]+Tableau_Lancer_la_requête_à_partir_de_Excel_Files102[[#This Row],[''34'']]+Tableau_Lancer_la_requête_à_partir_de_Excel_Files102[[#This Row],[''42'']]+Tableau_Lancer_la_requête_à_partir_de_Excel_Files102[[#This Row],[''43'']]+Tableau_Lancer_la_requête_à_partir_de_Excel_Files102[[#This Row],[''46'']]+Tableau_Lancer_la_requête_à_partir_de_Excel_Files102[[#This Row],[''48'']]+Tableau_Lancer_la_requête_à_partir_de_Excel_Files102[[#This Row],[''58'']]+Tableau_Lancer_la_requête_à_partir_de_Excel_Files102[[#This Row],[''63'']]+Tableau_Lancer_la_requête_à_partir_de_Excel_Files102[[#This Row],[''69'']]+Tableau_Lancer_la_requête_à_partir_de_Excel_Files102[[#This Row],[''71'']]+Tableau_Lancer_la_requête_à_partir_de_Excel_Files102[[#This Row],[''81'']]+Tableau_Lancer_la_requête_à_partir_de_Excel_Files102[[#This Row],[''82'']]+Tableau_Lancer_la_requête_à_partir_de_Excel_Files102[[#This Row],[''87'']]+Tableau_Lancer_la_requête_à_partir_de_Excel_Files102[[#This Row],[''89'']]</f>
        <v>0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>
        <v>0</v>
      </c>
      <c r="AR12" s="10" t="s">
        <v>231</v>
      </c>
      <c r="AS12" s="49" t="s">
        <v>231</v>
      </c>
      <c r="AT12" s="57">
        <v>42736</v>
      </c>
      <c r="AV12" s="125"/>
      <c r="AW12" s="10"/>
      <c r="CC12" s="4"/>
      <c r="CG12" s="3"/>
    </row>
    <row r="13" spans="1:85" x14ac:dyDescent="0.25">
      <c r="A13" s="57" t="s">
        <v>89</v>
      </c>
      <c r="B13" s="57" t="s">
        <v>198</v>
      </c>
      <c r="C13" s="6" t="s">
        <v>117</v>
      </c>
      <c r="D13" s="5" t="s">
        <v>118</v>
      </c>
      <c r="E13" s="5" t="s">
        <v>116</v>
      </c>
      <c r="F13" s="8">
        <v>172551</v>
      </c>
      <c r="G13" s="8">
        <f>Tableau_Lancer_la_requête_à_partir_de_Excel_Files102[[#This Row],[Aide Massif]]+Tableau_Lancer_la_requête_à_partir_de_Excel_Files102[[#This Row],[''Autre Public'']]</f>
        <v>114977</v>
      </c>
      <c r="H13" s="9">
        <f>Tableau_Lancer_la_requête_à_partir_de_Excel_Files102[[#This Row],[Aide 
publique]]/Tableau_Lancer_la_requête_à_partir_de_Excel_Files102[[#This Row],[''Coût total éligible'']]</f>
        <v>0.66633632954894495</v>
      </c>
      <c r="I13" s="8">
        <f>Tableau_Lancer_la_requête_à_partir_de_Excel_Files102[[#This Row],[''FEDER'']]+Tableau_Lancer_la_requête_à_partir_de_Excel_Files102[[#This Row],[Total Etat]]+Tableau_Lancer_la_requête_à_partir_de_Excel_Files102[[#This Row],[Total Régions]]+Tableau_Lancer_la_requête_à_partir_de_Excel_Files102[[#This Row],[Total Dpts]]</f>
        <v>114977</v>
      </c>
      <c r="J13" s="9">
        <f>Tableau_Lancer_la_requête_à_partir_de_Excel_Files102[[#This Row],[Aide Massif]]/Tableau_Lancer_la_requête_à_partir_de_Excel_Files102[[#This Row],[''Coût total éligible'']]</f>
        <v>0.66633632954894495</v>
      </c>
      <c r="K13" s="49">
        <v>79977</v>
      </c>
      <c r="L13" s="8">
        <f>Tableau_Lancer_la_requête_à_partir_de_Excel_Files102[[#This Row],[''FNADT '']]+Tableau_Lancer_la_requête_à_partir_de_Excel_Files102[[#This Row],[''Agriculture'']]</f>
        <v>0</v>
      </c>
      <c r="M13" s="8"/>
      <c r="N13" s="8"/>
      <c r="O13" s="8">
        <f>Tableau_Lancer_la_requête_à_partir_de_Excel_Files102[[#This Row],[''ALPC'']]+Tableau_Lancer_la_requête_à_partir_de_Excel_Files102[[#This Row],[''AURA'']]+Tableau_Lancer_la_requête_à_partir_de_Excel_Files102[[#This Row],[''BFC'']]+Tableau_Lancer_la_requête_à_partir_de_Excel_Files102[[#This Row],[''LRMP'']]</f>
        <v>35000</v>
      </c>
      <c r="P13" s="8"/>
      <c r="Q13" s="8"/>
      <c r="R13" s="8">
        <v>35000</v>
      </c>
      <c r="S13" s="8"/>
      <c r="T13" s="8">
        <f>Tableau_Lancer_la_requête_à_partir_de_Excel_Files102[[#This Row],[''03'']]+Tableau_Lancer_la_requête_à_partir_de_Excel_Files102[[#This Row],[''07'']]+Tableau_Lancer_la_requête_à_partir_de_Excel_Files102[[#This Row],[''11'']]+Tableau_Lancer_la_requête_à_partir_de_Excel_Files102[[#This Row],[''12'']]+Tableau_Lancer_la_requête_à_partir_de_Excel_Files102[[#This Row],[''15'']]+Tableau_Lancer_la_requête_à_partir_de_Excel_Files102[[#This Row],[''19'']]+Tableau_Lancer_la_requête_à_partir_de_Excel_Files102[[#This Row],[''21'']]+Tableau_Lancer_la_requête_à_partir_de_Excel_Files102[[#This Row],[''23'']]+Tableau_Lancer_la_requête_à_partir_de_Excel_Files102[[#This Row],[''30'']]+Tableau_Lancer_la_requête_à_partir_de_Excel_Files102[[#This Row],[''34'']]+Tableau_Lancer_la_requête_à_partir_de_Excel_Files102[[#This Row],[''42'']]+Tableau_Lancer_la_requête_à_partir_de_Excel_Files102[[#This Row],[''43'']]+Tableau_Lancer_la_requête_à_partir_de_Excel_Files102[[#This Row],[''46'']]+Tableau_Lancer_la_requête_à_partir_de_Excel_Files102[[#This Row],[''48'']]+Tableau_Lancer_la_requête_à_partir_de_Excel_Files102[[#This Row],[''58'']]+Tableau_Lancer_la_requête_à_partir_de_Excel_Files102[[#This Row],[''63'']]+Tableau_Lancer_la_requête_à_partir_de_Excel_Files102[[#This Row],[''69'']]+Tableau_Lancer_la_requête_à_partir_de_Excel_Files102[[#This Row],[''71'']]+Tableau_Lancer_la_requête_à_partir_de_Excel_Files102[[#This Row],[''81'']]+Tableau_Lancer_la_requête_à_partir_de_Excel_Files102[[#This Row],[''82'']]+Tableau_Lancer_la_requête_à_partir_de_Excel_Files102[[#This Row],[''87'']]+Tableau_Lancer_la_requête_à_partir_de_Excel_Files102[[#This Row],[''89'']]</f>
        <v>0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>
        <v>0</v>
      </c>
      <c r="AR13" s="10" t="s">
        <v>231</v>
      </c>
      <c r="AS13" s="49" t="s">
        <v>231</v>
      </c>
      <c r="AT13" s="57">
        <v>42737</v>
      </c>
      <c r="AV13" s="124"/>
      <c r="AW13" s="10"/>
      <c r="CC13" s="4"/>
      <c r="CG13" s="3"/>
    </row>
    <row r="14" spans="1:85" ht="45" x14ac:dyDescent="0.25">
      <c r="A14" s="57" t="s">
        <v>110</v>
      </c>
      <c r="B14" s="57" t="s">
        <v>197</v>
      </c>
      <c r="C14" s="6" t="s">
        <v>185</v>
      </c>
      <c r="D14" s="5" t="s">
        <v>186</v>
      </c>
      <c r="E14" s="5" t="s">
        <v>187</v>
      </c>
      <c r="F14" s="8">
        <v>401073.51</v>
      </c>
      <c r="G14" s="8">
        <f>Tableau_Lancer_la_requête_à_partir_de_Excel_Files102[[#This Row],[Aide Massif]]+Tableau_Lancer_la_requête_à_partir_de_Excel_Files102[[#This Row],[''Autre Public'']]</f>
        <v>215591</v>
      </c>
      <c r="H14" s="9">
        <f>Tableau_Lancer_la_requête_à_partir_de_Excel_Files102[[#This Row],[Aide 
publique]]/Tableau_Lancer_la_requête_à_partir_de_Excel_Files102[[#This Row],[''Coût total éligible'']]</f>
        <v>0.53753487733458138</v>
      </c>
      <c r="I14" s="8">
        <f>Tableau_Lancer_la_requête_à_partir_de_Excel_Files102[[#This Row],[''FEDER'']]+Tableau_Lancer_la_requête_à_partir_de_Excel_Files102[[#This Row],[Total Etat]]+Tableau_Lancer_la_requête_à_partir_de_Excel_Files102[[#This Row],[Total Régions]]+Tableau_Lancer_la_requête_à_partir_de_Excel_Files102[[#This Row],[Total Dpts]]</f>
        <v>0</v>
      </c>
      <c r="J14" s="9">
        <f>Tableau_Lancer_la_requête_à_partir_de_Excel_Files102[[#This Row],[Aide Massif]]/Tableau_Lancer_la_requête_à_partir_de_Excel_Files102[[#This Row],[''Coût total éligible'']]</f>
        <v>0</v>
      </c>
      <c r="K14" s="49">
        <v>0</v>
      </c>
      <c r="L14" s="8">
        <f>Tableau_Lancer_la_requête_à_partir_de_Excel_Files102[[#This Row],[''FNADT '']]+Tableau_Lancer_la_requête_à_partir_de_Excel_Files102[[#This Row],[''Agriculture'']]</f>
        <v>0</v>
      </c>
      <c r="M14" s="8"/>
      <c r="N14" s="8"/>
      <c r="O14" s="8">
        <f>Tableau_Lancer_la_requête_à_partir_de_Excel_Files102[[#This Row],[''ALPC'']]+Tableau_Lancer_la_requête_à_partir_de_Excel_Files102[[#This Row],[''AURA'']]+Tableau_Lancer_la_requête_à_partir_de_Excel_Files102[[#This Row],[''BFC'']]+Tableau_Lancer_la_requête_à_partir_de_Excel_Files102[[#This Row],[''LRMP'']]</f>
        <v>0</v>
      </c>
      <c r="P14" s="8"/>
      <c r="Q14" s="8"/>
      <c r="R14" s="8"/>
      <c r="S14" s="8"/>
      <c r="T14" s="8">
        <f>Tableau_Lancer_la_requête_à_partir_de_Excel_Files102[[#This Row],[''03'']]+Tableau_Lancer_la_requête_à_partir_de_Excel_Files102[[#This Row],[''07'']]+Tableau_Lancer_la_requête_à_partir_de_Excel_Files102[[#This Row],[''11'']]+Tableau_Lancer_la_requête_à_partir_de_Excel_Files102[[#This Row],[''12'']]+Tableau_Lancer_la_requête_à_partir_de_Excel_Files102[[#This Row],[''15'']]+Tableau_Lancer_la_requête_à_partir_de_Excel_Files102[[#This Row],[''19'']]+Tableau_Lancer_la_requête_à_partir_de_Excel_Files102[[#This Row],[''21'']]+Tableau_Lancer_la_requête_à_partir_de_Excel_Files102[[#This Row],[''23'']]+Tableau_Lancer_la_requête_à_partir_de_Excel_Files102[[#This Row],[''30'']]+Tableau_Lancer_la_requête_à_partir_de_Excel_Files102[[#This Row],[''34'']]+Tableau_Lancer_la_requête_à_partir_de_Excel_Files102[[#This Row],[''42'']]+Tableau_Lancer_la_requête_à_partir_de_Excel_Files102[[#This Row],[''43'']]+Tableau_Lancer_la_requête_à_partir_de_Excel_Files102[[#This Row],[''46'']]+Tableau_Lancer_la_requête_à_partir_de_Excel_Files102[[#This Row],[''48'']]+Tableau_Lancer_la_requête_à_partir_de_Excel_Files102[[#This Row],[''58'']]+Tableau_Lancer_la_requête_à_partir_de_Excel_Files102[[#This Row],[''63'']]+Tableau_Lancer_la_requête_à_partir_de_Excel_Files102[[#This Row],[''69'']]+Tableau_Lancer_la_requête_à_partir_de_Excel_Files102[[#This Row],[''71'']]+Tableau_Lancer_la_requête_à_partir_de_Excel_Files102[[#This Row],[''81'']]+Tableau_Lancer_la_requête_à_partir_de_Excel_Files102[[#This Row],[''82'']]+Tableau_Lancer_la_requête_à_partir_de_Excel_Files102[[#This Row],[''87'']]+Tableau_Lancer_la_requête_à_partir_de_Excel_Files102[[#This Row],[''89'']]</f>
        <v>0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>
        <v>215591</v>
      </c>
      <c r="AR14" s="10" t="s">
        <v>231</v>
      </c>
      <c r="AS14" s="49" t="s">
        <v>103</v>
      </c>
      <c r="AT14" s="57"/>
      <c r="AV14" s="125" t="s">
        <v>238</v>
      </c>
      <c r="AW14" s="10"/>
      <c r="CC14" s="4"/>
      <c r="CG14" s="3"/>
    </row>
    <row r="15" spans="1:85" ht="45" x14ac:dyDescent="0.25">
      <c r="A15" s="57" t="s">
        <v>89</v>
      </c>
      <c r="B15" s="57" t="s">
        <v>198</v>
      </c>
      <c r="C15" s="6" t="s">
        <v>179</v>
      </c>
      <c r="D15" s="5" t="s">
        <v>83</v>
      </c>
      <c r="E15" s="5" t="s">
        <v>181</v>
      </c>
      <c r="F15" s="8">
        <v>19437.8</v>
      </c>
      <c r="G15" s="8">
        <f>Tableau_Lancer_la_requête_à_partir_de_Excel_Files102[[#This Row],[Aide Massif]]+Tableau_Lancer_la_requête_à_partir_de_Excel_Files102[[#This Row],[''Autre Public'']]</f>
        <v>13605.95</v>
      </c>
      <c r="H15" s="9">
        <f>Tableau_Lancer_la_requête_à_partir_de_Excel_Files102[[#This Row],[Aide 
publique]]/Tableau_Lancer_la_requête_à_partir_de_Excel_Files102[[#This Row],[''Coût total éligible'']]</f>
        <v>0.69997376246283027</v>
      </c>
      <c r="I15" s="8">
        <f>Tableau_Lancer_la_requête_à_partir_de_Excel_Files102[[#This Row],[''FEDER'']]+Tableau_Lancer_la_requête_à_partir_de_Excel_Files102[[#This Row],[Total Etat]]+Tableau_Lancer_la_requête_à_partir_de_Excel_Files102[[#This Row],[Total Régions]]+Tableau_Lancer_la_requête_à_partir_de_Excel_Files102[[#This Row],[Total Dpts]]</f>
        <v>13605.95</v>
      </c>
      <c r="J15" s="9">
        <f>Tableau_Lancer_la_requête_à_partir_de_Excel_Files102[[#This Row],[Aide Massif]]/Tableau_Lancer_la_requête_à_partir_de_Excel_Files102[[#This Row],[''Coût total éligible'']]</f>
        <v>0.69997376246283027</v>
      </c>
      <c r="K15" s="49">
        <v>8297</v>
      </c>
      <c r="L15" s="49">
        <f>Tableau_Lancer_la_requête_à_partir_de_Excel_Files102[[#This Row],[''FNADT '']]+Tableau_Lancer_la_requête_à_partir_de_Excel_Files102[[#This Row],[''Agriculture'']]</f>
        <v>2654.44</v>
      </c>
      <c r="M15" s="8">
        <v>2654.44</v>
      </c>
      <c r="N15" s="8"/>
      <c r="O15" s="8">
        <f>Tableau_Lancer_la_requête_à_partir_de_Excel_Files102[[#This Row],[''ALPC'']]+Tableau_Lancer_la_requête_à_partir_de_Excel_Files102[[#This Row],[''AURA'']]+Tableau_Lancer_la_requête_à_partir_de_Excel_Files102[[#This Row],[''BFC'']]+Tableau_Lancer_la_requête_à_partir_de_Excel_Files102[[#This Row],[''LRMP'']]</f>
        <v>2654.51</v>
      </c>
      <c r="P15" s="8"/>
      <c r="Q15" s="8"/>
      <c r="R15" s="8"/>
      <c r="S15" s="8">
        <v>2654.51</v>
      </c>
      <c r="T15" s="8">
        <f>Tableau_Lancer_la_requête_à_partir_de_Excel_Files102[[#This Row],[''03'']]+Tableau_Lancer_la_requête_à_partir_de_Excel_Files102[[#This Row],[''07'']]+Tableau_Lancer_la_requête_à_partir_de_Excel_Files102[[#This Row],[''11'']]+Tableau_Lancer_la_requête_à_partir_de_Excel_Files102[[#This Row],[''12'']]+Tableau_Lancer_la_requête_à_partir_de_Excel_Files102[[#This Row],[''15'']]+Tableau_Lancer_la_requête_à_partir_de_Excel_Files102[[#This Row],[''19'']]+Tableau_Lancer_la_requête_à_partir_de_Excel_Files102[[#This Row],[''21'']]+Tableau_Lancer_la_requête_à_partir_de_Excel_Files102[[#This Row],[''23'']]+Tableau_Lancer_la_requête_à_partir_de_Excel_Files102[[#This Row],[''30'']]+Tableau_Lancer_la_requête_à_partir_de_Excel_Files102[[#This Row],[''34'']]+Tableau_Lancer_la_requête_à_partir_de_Excel_Files102[[#This Row],[''42'']]+Tableau_Lancer_la_requête_à_partir_de_Excel_Files102[[#This Row],[''43'']]+Tableau_Lancer_la_requête_à_partir_de_Excel_Files102[[#This Row],[''46'']]+Tableau_Lancer_la_requête_à_partir_de_Excel_Files102[[#This Row],[''48'']]+Tableau_Lancer_la_requête_à_partir_de_Excel_Files102[[#This Row],[''58'']]+Tableau_Lancer_la_requête_à_partir_de_Excel_Files102[[#This Row],[''63'']]+Tableau_Lancer_la_requête_à_partir_de_Excel_Files102[[#This Row],[''69'']]+Tableau_Lancer_la_requête_à_partir_de_Excel_Files102[[#This Row],[''71'']]+Tableau_Lancer_la_requête_à_partir_de_Excel_Files102[[#This Row],[''81'']]+Tableau_Lancer_la_requête_à_partir_de_Excel_Files102[[#This Row],[''82'']]+Tableau_Lancer_la_requête_à_partir_de_Excel_Files102[[#This Row],[''87'']]+Tableau_Lancer_la_requête_à_partir_de_Excel_Files102[[#This Row],[''89'']]</f>
        <v>0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>
        <v>0</v>
      </c>
      <c r="AR15" s="10" t="s">
        <v>231</v>
      </c>
      <c r="AS15" s="49" t="s">
        <v>231</v>
      </c>
      <c r="AT15" s="57"/>
      <c r="AV15" s="124" t="s">
        <v>232</v>
      </c>
      <c r="CC15" s="4"/>
      <c r="CG15" s="3"/>
    </row>
    <row r="16" spans="1:85" ht="45" x14ac:dyDescent="0.25">
      <c r="A16" s="57" t="s">
        <v>89</v>
      </c>
      <c r="B16" s="57" t="s">
        <v>198</v>
      </c>
      <c r="C16" s="6" t="s">
        <v>179</v>
      </c>
      <c r="D16" s="5" t="s">
        <v>180</v>
      </c>
      <c r="E16" s="5" t="s">
        <v>181</v>
      </c>
      <c r="F16" s="8">
        <v>69098.73</v>
      </c>
      <c r="G16" s="8">
        <f>Tableau_Lancer_la_requête_à_partir_de_Excel_Files102[[#This Row],[Aide Massif]]+Tableau_Lancer_la_requête_à_partir_de_Excel_Files102[[#This Row],[''Autre Public'']]</f>
        <v>48368.94</v>
      </c>
      <c r="H16" s="9">
        <f>Tableau_Lancer_la_requête_à_partir_de_Excel_Files102[[#This Row],[Aide 
publique]]/Tableau_Lancer_la_requête_à_partir_de_Excel_Files102[[#This Row],[''Coût total éligible'']]</f>
        <v>0.69999752528013182</v>
      </c>
      <c r="I16" s="8">
        <f>Tableau_Lancer_la_requête_à_partir_de_Excel_Files102[[#This Row],[''FEDER'']]+Tableau_Lancer_la_requête_à_partir_de_Excel_Files102[[#This Row],[Total Etat]]+Tableau_Lancer_la_requête_à_partir_de_Excel_Files102[[#This Row],[Total Régions]]+Tableau_Lancer_la_requête_à_partir_de_Excel_Files102[[#This Row],[Total Dpts]]</f>
        <v>48368.94</v>
      </c>
      <c r="J16" s="9">
        <f>Tableau_Lancer_la_requête_à_partir_de_Excel_Files102[[#This Row],[Aide Massif]]/Tableau_Lancer_la_requête_à_partir_de_Excel_Files102[[#This Row],[''Coût total éligible'']]</f>
        <v>0.69999752528013182</v>
      </c>
      <c r="K16" s="49">
        <v>29404</v>
      </c>
      <c r="L16" s="49">
        <f>Tableau_Lancer_la_requête_à_partir_de_Excel_Files102[[#This Row],[''FNADT '']]+Tableau_Lancer_la_requête_à_partir_de_Excel_Files102[[#This Row],[''Agriculture'']]</f>
        <v>9482.4699999999993</v>
      </c>
      <c r="M16" s="8">
        <v>9482.4699999999993</v>
      </c>
      <c r="N16" s="8"/>
      <c r="O16" s="8">
        <f>Tableau_Lancer_la_requête_à_partir_de_Excel_Files102[[#This Row],[''ALPC'']]+Tableau_Lancer_la_requête_à_partir_de_Excel_Files102[[#This Row],[''AURA'']]+Tableau_Lancer_la_requête_à_partir_de_Excel_Files102[[#This Row],[''BFC'']]+Tableau_Lancer_la_requête_à_partir_de_Excel_Files102[[#This Row],[''LRMP'']]</f>
        <v>9482.4699999999993</v>
      </c>
      <c r="P16" s="8"/>
      <c r="Q16" s="8"/>
      <c r="R16" s="8"/>
      <c r="S16" s="8">
        <v>9482.4699999999993</v>
      </c>
      <c r="T16" s="8">
        <f>Tableau_Lancer_la_requête_à_partir_de_Excel_Files102[[#This Row],[''03'']]+Tableau_Lancer_la_requête_à_partir_de_Excel_Files102[[#This Row],[''07'']]+Tableau_Lancer_la_requête_à_partir_de_Excel_Files102[[#This Row],[''11'']]+Tableau_Lancer_la_requête_à_partir_de_Excel_Files102[[#This Row],[''12'']]+Tableau_Lancer_la_requête_à_partir_de_Excel_Files102[[#This Row],[''15'']]+Tableau_Lancer_la_requête_à_partir_de_Excel_Files102[[#This Row],[''19'']]+Tableau_Lancer_la_requête_à_partir_de_Excel_Files102[[#This Row],[''21'']]+Tableau_Lancer_la_requête_à_partir_de_Excel_Files102[[#This Row],[''23'']]+Tableau_Lancer_la_requête_à_partir_de_Excel_Files102[[#This Row],[''30'']]+Tableau_Lancer_la_requête_à_partir_de_Excel_Files102[[#This Row],[''34'']]+Tableau_Lancer_la_requête_à_partir_de_Excel_Files102[[#This Row],[''42'']]+Tableau_Lancer_la_requête_à_partir_de_Excel_Files102[[#This Row],[''43'']]+Tableau_Lancer_la_requête_à_partir_de_Excel_Files102[[#This Row],[''46'']]+Tableau_Lancer_la_requête_à_partir_de_Excel_Files102[[#This Row],[''48'']]+Tableau_Lancer_la_requête_à_partir_de_Excel_Files102[[#This Row],[''58'']]+Tableau_Lancer_la_requête_à_partir_de_Excel_Files102[[#This Row],[''63'']]+Tableau_Lancer_la_requête_à_partir_de_Excel_Files102[[#This Row],[''69'']]+Tableau_Lancer_la_requête_à_partir_de_Excel_Files102[[#This Row],[''71'']]+Tableau_Lancer_la_requête_à_partir_de_Excel_Files102[[#This Row],[''81'']]+Tableau_Lancer_la_requête_à_partir_de_Excel_Files102[[#This Row],[''82'']]+Tableau_Lancer_la_requête_à_partir_de_Excel_Files102[[#This Row],[''87'']]+Tableau_Lancer_la_requête_à_partir_de_Excel_Files102[[#This Row],[''89'']]</f>
        <v>0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>
        <v>0</v>
      </c>
      <c r="AR16" s="10" t="s">
        <v>231</v>
      </c>
      <c r="AS16" s="49" t="s">
        <v>231</v>
      </c>
      <c r="AT16" s="57"/>
      <c r="AV16" s="125" t="s">
        <v>232</v>
      </c>
      <c r="CC16" s="4"/>
      <c r="CG16" s="3"/>
    </row>
    <row r="17" spans="1:85" s="7" customFormat="1" ht="45" x14ac:dyDescent="0.25">
      <c r="A17" s="57" t="s">
        <v>89</v>
      </c>
      <c r="B17" s="57" t="s">
        <v>198</v>
      </c>
      <c r="C17" s="6" t="s">
        <v>179</v>
      </c>
      <c r="D17" s="5" t="s">
        <v>182</v>
      </c>
      <c r="E17" s="5" t="s">
        <v>181</v>
      </c>
      <c r="F17" s="8">
        <v>91863.78</v>
      </c>
      <c r="G17" s="8">
        <f>Tableau_Lancer_la_requête_à_partir_de_Excel_Files102[[#This Row],[Aide Massif]]+Tableau_Lancer_la_requête_à_partir_de_Excel_Files102[[#This Row],[''Autre Public'']]</f>
        <v>64304.179999999993</v>
      </c>
      <c r="H17" s="9">
        <f>Tableau_Lancer_la_requête_à_partir_de_Excel_Files102[[#This Row],[Aide 
publique]]/Tableau_Lancer_la_requête_à_partir_de_Excel_Files102[[#This Row],[''Coût total éligible'']]</f>
        <v>0.69999492727166235</v>
      </c>
      <c r="I17" s="8">
        <f>Tableau_Lancer_la_requête_à_partir_de_Excel_Files102[[#This Row],[''FEDER'']]+Tableau_Lancer_la_requête_à_partir_de_Excel_Files102[[#This Row],[Total Etat]]+Tableau_Lancer_la_requête_à_partir_de_Excel_Files102[[#This Row],[Total Régions]]+Tableau_Lancer_la_requête_à_partir_de_Excel_Files102[[#This Row],[Total Dpts]]</f>
        <v>64304.179999999993</v>
      </c>
      <c r="J17" s="9">
        <f>Tableau_Lancer_la_requête_à_partir_de_Excel_Files102[[#This Row],[Aide Massif]]/Tableau_Lancer_la_requête_à_partir_de_Excel_Files102[[#This Row],[''Coût total éligible'']]</f>
        <v>0.69999492727166235</v>
      </c>
      <c r="K17" s="49">
        <v>40878</v>
      </c>
      <c r="L17" s="49">
        <f>Tableau_Lancer_la_requête_à_partir_de_Excel_Files102[[#This Row],[''FNADT '']]+Tableau_Lancer_la_requête_à_partir_de_Excel_Files102[[#This Row],[''Agriculture'']]</f>
        <v>11713.09</v>
      </c>
      <c r="M17" s="8">
        <v>11713.09</v>
      </c>
      <c r="N17" s="8"/>
      <c r="O17" s="8">
        <f>Tableau_Lancer_la_requête_à_partir_de_Excel_Files102[[#This Row],[''ALPC'']]+Tableau_Lancer_la_requête_à_partir_de_Excel_Files102[[#This Row],[''AURA'']]+Tableau_Lancer_la_requête_à_partir_de_Excel_Files102[[#This Row],[''BFC'']]+Tableau_Lancer_la_requête_à_partir_de_Excel_Files102[[#This Row],[''LRMP'']]</f>
        <v>11713.09</v>
      </c>
      <c r="P17" s="8"/>
      <c r="Q17" s="8"/>
      <c r="R17" s="8"/>
      <c r="S17" s="8">
        <v>11713.09</v>
      </c>
      <c r="T17" s="8">
        <f>Tableau_Lancer_la_requête_à_partir_de_Excel_Files102[[#This Row],[''03'']]+Tableau_Lancer_la_requête_à_partir_de_Excel_Files102[[#This Row],[''07'']]+Tableau_Lancer_la_requête_à_partir_de_Excel_Files102[[#This Row],[''11'']]+Tableau_Lancer_la_requête_à_partir_de_Excel_Files102[[#This Row],[''12'']]+Tableau_Lancer_la_requête_à_partir_de_Excel_Files102[[#This Row],[''15'']]+Tableau_Lancer_la_requête_à_partir_de_Excel_Files102[[#This Row],[''19'']]+Tableau_Lancer_la_requête_à_partir_de_Excel_Files102[[#This Row],[''21'']]+Tableau_Lancer_la_requête_à_partir_de_Excel_Files102[[#This Row],[''23'']]+Tableau_Lancer_la_requête_à_partir_de_Excel_Files102[[#This Row],[''30'']]+Tableau_Lancer_la_requête_à_partir_de_Excel_Files102[[#This Row],[''34'']]+Tableau_Lancer_la_requête_à_partir_de_Excel_Files102[[#This Row],[''42'']]+Tableau_Lancer_la_requête_à_partir_de_Excel_Files102[[#This Row],[''43'']]+Tableau_Lancer_la_requête_à_partir_de_Excel_Files102[[#This Row],[''46'']]+Tableau_Lancer_la_requête_à_partir_de_Excel_Files102[[#This Row],[''48'']]+Tableau_Lancer_la_requête_à_partir_de_Excel_Files102[[#This Row],[''58'']]+Tableau_Lancer_la_requête_à_partir_de_Excel_Files102[[#This Row],[''63'']]+Tableau_Lancer_la_requête_à_partir_de_Excel_Files102[[#This Row],[''69'']]+Tableau_Lancer_la_requête_à_partir_de_Excel_Files102[[#This Row],[''71'']]+Tableau_Lancer_la_requête_à_partir_de_Excel_Files102[[#This Row],[''81'']]+Tableau_Lancer_la_requête_à_partir_de_Excel_Files102[[#This Row],[''82'']]+Tableau_Lancer_la_requête_à_partir_de_Excel_Files102[[#This Row],[''87'']]+Tableau_Lancer_la_requête_à_partir_de_Excel_Files102[[#This Row],[''89'']]</f>
        <v>0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>
        <v>0</v>
      </c>
      <c r="AR17" s="10" t="s">
        <v>231</v>
      </c>
      <c r="AS17" s="49" t="s">
        <v>231</v>
      </c>
      <c r="AT17" s="57"/>
      <c r="AU17" s="5"/>
      <c r="AV17" s="124" t="s">
        <v>232</v>
      </c>
    </row>
    <row r="18" spans="1:85" s="10" customFormat="1" ht="45.75" thickBot="1" x14ac:dyDescent="0.3">
      <c r="A18" s="57" t="s">
        <v>89</v>
      </c>
      <c r="B18" s="57" t="s">
        <v>198</v>
      </c>
      <c r="C18" s="6" t="s">
        <v>119</v>
      </c>
      <c r="D18" s="5" t="s">
        <v>120</v>
      </c>
      <c r="E18" s="5" t="s">
        <v>121</v>
      </c>
      <c r="F18" s="8">
        <v>333760</v>
      </c>
      <c r="G18" s="8">
        <f>Tableau_Lancer_la_requête_à_partir_de_Excel_Files102[[#This Row],[Aide Massif]]+Tableau_Lancer_la_requête_à_partir_de_Excel_Files102[[#This Row],[''Autre Public'']]</f>
        <v>169100</v>
      </c>
      <c r="H18" s="9">
        <f>Tableau_Lancer_la_requête_à_partir_de_Excel_Files102[[#This Row],[Aide 
publique]]/Tableau_Lancer_la_requête_à_partir_de_Excel_Files102[[#This Row],[''Coût total éligible'']]</f>
        <v>0.50665148609779487</v>
      </c>
      <c r="I18" s="8">
        <f>Tableau_Lancer_la_requête_à_partir_de_Excel_Files102[[#This Row],[''FEDER'']]+Tableau_Lancer_la_requête_à_partir_de_Excel_Files102[[#This Row],[Total Etat]]+Tableau_Lancer_la_requête_à_partir_de_Excel_Files102[[#This Row],[Total Régions]]+Tableau_Lancer_la_requête_à_partir_de_Excel_Files102[[#This Row],[Total Dpts]]</f>
        <v>169100</v>
      </c>
      <c r="J18" s="9">
        <f>Tableau_Lancer_la_requête_à_partir_de_Excel_Files102[[#This Row],[Aide Massif]]/Tableau_Lancer_la_requête_à_partir_de_Excel_Files102[[#This Row],[''Coût total éligible'']]</f>
        <v>0.50665148609779487</v>
      </c>
      <c r="K18" s="49">
        <v>169100</v>
      </c>
      <c r="L18" s="8">
        <f>Tableau_Lancer_la_requête_à_partir_de_Excel_Files102[[#This Row],[''FNADT '']]+Tableau_Lancer_la_requête_à_partir_de_Excel_Files102[[#This Row],[''Agriculture'']]</f>
        <v>0</v>
      </c>
      <c r="M18" s="8"/>
      <c r="N18" s="8"/>
      <c r="O18" s="8">
        <f>Tableau_Lancer_la_requête_à_partir_de_Excel_Files102[[#This Row],[''ALPC'']]+Tableau_Lancer_la_requête_à_partir_de_Excel_Files102[[#This Row],[''AURA'']]+Tableau_Lancer_la_requête_à_partir_de_Excel_Files102[[#This Row],[''BFC'']]+Tableau_Lancer_la_requête_à_partir_de_Excel_Files102[[#This Row],[''LRMP'']]</f>
        <v>0</v>
      </c>
      <c r="P18" s="8"/>
      <c r="Q18" s="8"/>
      <c r="R18" s="8"/>
      <c r="S18" s="8"/>
      <c r="T18" s="8">
        <f>Tableau_Lancer_la_requête_à_partir_de_Excel_Files102[[#This Row],[''03'']]+Tableau_Lancer_la_requête_à_partir_de_Excel_Files102[[#This Row],[''07'']]+Tableau_Lancer_la_requête_à_partir_de_Excel_Files102[[#This Row],[''11'']]+Tableau_Lancer_la_requête_à_partir_de_Excel_Files102[[#This Row],[''12'']]+Tableau_Lancer_la_requête_à_partir_de_Excel_Files102[[#This Row],[''15'']]+Tableau_Lancer_la_requête_à_partir_de_Excel_Files102[[#This Row],[''19'']]+Tableau_Lancer_la_requête_à_partir_de_Excel_Files102[[#This Row],[''21'']]+Tableau_Lancer_la_requête_à_partir_de_Excel_Files102[[#This Row],[''23'']]+Tableau_Lancer_la_requête_à_partir_de_Excel_Files102[[#This Row],[''30'']]+Tableau_Lancer_la_requête_à_partir_de_Excel_Files102[[#This Row],[''34'']]+Tableau_Lancer_la_requête_à_partir_de_Excel_Files102[[#This Row],[''42'']]+Tableau_Lancer_la_requête_à_partir_de_Excel_Files102[[#This Row],[''43'']]+Tableau_Lancer_la_requête_à_partir_de_Excel_Files102[[#This Row],[''46'']]+Tableau_Lancer_la_requête_à_partir_de_Excel_Files102[[#This Row],[''48'']]+Tableau_Lancer_la_requête_à_partir_de_Excel_Files102[[#This Row],[''58'']]+Tableau_Lancer_la_requête_à_partir_de_Excel_Files102[[#This Row],[''63'']]+Tableau_Lancer_la_requête_à_partir_de_Excel_Files102[[#This Row],[''69'']]+Tableau_Lancer_la_requête_à_partir_de_Excel_Files102[[#This Row],[''71'']]+Tableau_Lancer_la_requête_à_partir_de_Excel_Files102[[#This Row],[''81'']]+Tableau_Lancer_la_requête_à_partir_de_Excel_Files102[[#This Row],[''82'']]+Tableau_Lancer_la_requête_à_partir_de_Excel_Files102[[#This Row],[''87'']]+Tableau_Lancer_la_requête_à_partir_de_Excel_Files102[[#This Row],[''89'']]</f>
        <v>0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>
        <v>0</v>
      </c>
      <c r="AR18" s="10" t="s">
        <v>103</v>
      </c>
      <c r="AS18" s="49" t="s">
        <v>103</v>
      </c>
      <c r="AT18" s="57">
        <v>42736</v>
      </c>
      <c r="AU18" s="3"/>
      <c r="AV18" s="125"/>
    </row>
    <row r="19" spans="1:85" ht="15.75" thickTop="1" x14ac:dyDescent="0.25">
      <c r="A19" s="10"/>
      <c r="B19" s="10"/>
      <c r="C19" s="10" t="s">
        <v>8</v>
      </c>
      <c r="D19" s="5">
        <f>SUBTOTAL(103,Tableau_Lancer_la_requête_à_partir_de_Excel_Files102[Nom_MO])</f>
        <v>12</v>
      </c>
      <c r="E19" s="5"/>
      <c r="F19" s="52">
        <f>SUBTOTAL(109,Tableau_Lancer_la_requête_à_partir_de_Excel_Files102[''Coût total éligible''])</f>
        <v>1656204.82</v>
      </c>
      <c r="G19" s="52">
        <f>SUBTOTAL(109,Tableau_Lancer_la_requête_à_partir_de_Excel_Files102[Aide 
publique])</f>
        <v>715944.07000000007</v>
      </c>
      <c r="H19" s="123"/>
      <c r="I19" s="52">
        <f>SUBTOTAL(109,Tableau_Lancer_la_requête_à_partir_de_Excel_Files102[Aide Massif])</f>
        <v>500353.07</v>
      </c>
      <c r="J19" s="123"/>
      <c r="K19" s="52">
        <f>SUBTOTAL(109,Tableau_Lancer_la_requête_à_partir_de_Excel_Files102[''FEDER''])</f>
        <v>375563</v>
      </c>
      <c r="L19" s="52">
        <f>SUBTOTAL(109,Tableau_Lancer_la_requête_à_partir_de_Excel_Files102[Total Etat])</f>
        <v>45940</v>
      </c>
      <c r="M19" s="10"/>
      <c r="N19" s="52">
        <f>SUBTOTAL(109,Tableau_Lancer_la_requête_à_partir_de_Excel_Files102[''Agriculture''])</f>
        <v>0</v>
      </c>
      <c r="O19" s="52">
        <f>SUBTOTAL(109,Tableau_Lancer_la_requête_à_partir_de_Excel_Files102[Total Régions])</f>
        <v>78850.069999999992</v>
      </c>
      <c r="P19" s="52">
        <f>SUBTOTAL(109,Tableau_Lancer_la_requête_à_partir_de_Excel_Files102[''ALPC''])</f>
        <v>20000</v>
      </c>
      <c r="Q19" s="52">
        <f>SUBTOTAL(109,Tableau_Lancer_la_requête_à_partir_de_Excel_Files102[''AURA''])</f>
        <v>0</v>
      </c>
      <c r="R19" s="52">
        <f>SUBTOTAL(109,Tableau_Lancer_la_requête_à_partir_de_Excel_Files102[''BFC''])</f>
        <v>35000</v>
      </c>
      <c r="S19" s="52">
        <f>SUBTOTAL(109,Tableau_Lancer_la_requête_à_partir_de_Excel_Files102[''LRMP''])</f>
        <v>23850.07</v>
      </c>
      <c r="T19" s="52">
        <f>SUBTOTAL(109,Tableau_Lancer_la_requête_à_partir_de_Excel_Files102[Total Dpts])</f>
        <v>0</v>
      </c>
      <c r="U19" s="52">
        <f>SUBTOTAL(109,Tableau_Lancer_la_requête_à_partir_de_Excel_Files102[''03''])</f>
        <v>0</v>
      </c>
      <c r="V19" s="52">
        <f>SUBTOTAL(109,Tableau_Lancer_la_requête_à_partir_de_Excel_Files102[''07''])</f>
        <v>0</v>
      </c>
      <c r="W19" s="52">
        <f>SUBTOTAL(109,Tableau_Lancer_la_requête_à_partir_de_Excel_Files102[''11''])</f>
        <v>0</v>
      </c>
      <c r="X19" s="52">
        <f>SUBTOTAL(109,Tableau_Lancer_la_requête_à_partir_de_Excel_Files102[''12''])</f>
        <v>0</v>
      </c>
      <c r="Y19" s="52">
        <f>SUBTOTAL(109,Tableau_Lancer_la_requête_à_partir_de_Excel_Files102[''15''])</f>
        <v>0</v>
      </c>
      <c r="Z19" s="52">
        <f>SUBTOTAL(109,Tableau_Lancer_la_requête_à_partir_de_Excel_Files102[''19''])</f>
        <v>0</v>
      </c>
      <c r="AA19" s="52">
        <f>SUBTOTAL(109,Tableau_Lancer_la_requête_à_partir_de_Excel_Files102[''21''])</f>
        <v>0</v>
      </c>
      <c r="AB19" s="52">
        <f>SUBTOTAL(109,Tableau_Lancer_la_requête_à_partir_de_Excel_Files102[''23''])</f>
        <v>0</v>
      </c>
      <c r="AC19" s="52">
        <f>SUBTOTAL(109,Tableau_Lancer_la_requête_à_partir_de_Excel_Files102[''30''])</f>
        <v>0</v>
      </c>
      <c r="AD19" s="52">
        <f>SUBTOTAL(109,Tableau_Lancer_la_requête_à_partir_de_Excel_Files102[''34''])</f>
        <v>0</v>
      </c>
      <c r="AE19" s="52">
        <f>SUBTOTAL(109,Tableau_Lancer_la_requête_à_partir_de_Excel_Files102[''42''])</f>
        <v>0</v>
      </c>
      <c r="AF19" s="52">
        <f>SUBTOTAL(109,Tableau_Lancer_la_requête_à_partir_de_Excel_Files102[''43''])</f>
        <v>0</v>
      </c>
      <c r="AG19" s="52">
        <f>SUBTOTAL(109,Tableau_Lancer_la_requête_à_partir_de_Excel_Files102[''46''])</f>
        <v>0</v>
      </c>
      <c r="AH19" s="52">
        <f>SUBTOTAL(109,Tableau_Lancer_la_requête_à_partir_de_Excel_Files102[''48''])</f>
        <v>0</v>
      </c>
      <c r="AI19" s="52">
        <f>SUBTOTAL(109,Tableau_Lancer_la_requête_à_partir_de_Excel_Files102[''58''])</f>
        <v>0</v>
      </c>
      <c r="AJ19" s="52">
        <f>SUBTOTAL(109,Tableau_Lancer_la_requête_à_partir_de_Excel_Files102[''63''])</f>
        <v>0</v>
      </c>
      <c r="AK19" s="52">
        <f>SUBTOTAL(109,Tableau_Lancer_la_requête_à_partir_de_Excel_Files102[''69''])</f>
        <v>0</v>
      </c>
      <c r="AL19" s="52">
        <f>SUBTOTAL(109,Tableau_Lancer_la_requête_à_partir_de_Excel_Files102[''71''])</f>
        <v>0</v>
      </c>
      <c r="AM19" s="52">
        <f>SUBTOTAL(109,Tableau_Lancer_la_requête_à_partir_de_Excel_Files102[''81''])</f>
        <v>0</v>
      </c>
      <c r="AN19" s="52">
        <f>SUBTOTAL(109,Tableau_Lancer_la_requête_à_partir_de_Excel_Files102[''82''])</f>
        <v>0</v>
      </c>
      <c r="AO19" s="52">
        <f>SUBTOTAL(109,Tableau_Lancer_la_requête_à_partir_de_Excel_Files102[''87''])</f>
        <v>0</v>
      </c>
      <c r="AP19" s="52">
        <f>SUBTOTAL(109,Tableau_Lancer_la_requête_à_partir_de_Excel_Files102[''89''])</f>
        <v>0</v>
      </c>
      <c r="AQ19" s="52">
        <f>SUBTOTAL(109,Tableau_Lancer_la_requête_à_partir_de_Excel_Files102[''Autre Public''])</f>
        <v>215591</v>
      </c>
      <c r="AR19" s="10"/>
      <c r="AS19" s="122"/>
      <c r="AT19" s="10"/>
      <c r="AV19" s="127"/>
      <c r="CB19" s="4"/>
      <c r="CG19" s="3"/>
    </row>
    <row r="21" spans="1:85" x14ac:dyDescent="0.25">
      <c r="AV21" s="10"/>
    </row>
    <row r="26" spans="1:85" hidden="1" x14ac:dyDescent="0.25"/>
    <row r="27" spans="1:85" hidden="1" x14ac:dyDescent="0.25"/>
    <row r="28" spans="1:85" hidden="1" x14ac:dyDescent="0.25"/>
    <row r="29" spans="1:85" hidden="1" x14ac:dyDescent="0.25">
      <c r="E29" s="3" t="s">
        <v>80</v>
      </c>
      <c r="F29" s="6" t="s">
        <v>79</v>
      </c>
    </row>
    <row r="30" spans="1:85" hidden="1" x14ac:dyDescent="0.25">
      <c r="D30" t="s">
        <v>55</v>
      </c>
      <c r="E30" s="3">
        <f>I30+J30</f>
        <v>206463</v>
      </c>
      <c r="F30" s="3">
        <f>R30+AO30</f>
        <v>206463</v>
      </c>
      <c r="I30" s="3">
        <f>SUMIF(Tableau_Lancer_la_requête_à_partir_de_Excel_Files102[Avis Prog],"1-Favorable",Tableau_Lancer_la_requête_à_partir_de_Excel_Files102[''FEDER''])</f>
        <v>206463</v>
      </c>
      <c r="J30" s="3">
        <f>SUMIF(Tableau_Lancer_la_requête_à_partir_de_Excel_Files102[Avis Prog],"2-Favorable sous réserve",Tableau_Lancer_la_requête_à_partir_de_Excel_Files102[''FEDER''])</f>
        <v>0</v>
      </c>
      <c r="R30" s="3">
        <f>SUMIF(Tableau_Lancer_la_requête_à_partir_de_Excel_Files102[Avis Cofimac],"1-Favorable",Tableau_Lancer_la_requête_à_partir_de_Excel_Files102[''FEDER''])</f>
        <v>206463</v>
      </c>
      <c r="AO30" s="3">
        <f>SUMIF(Tableau_Lancer_la_requête_à_partir_de_Excel_Files102[Avis Cofimac],"2-Favorable sous réserve",Tableau_Lancer_la_requête_à_partir_de_Excel_Files102[''FEDER''])</f>
        <v>0</v>
      </c>
    </row>
    <row r="31" spans="1:85" hidden="1" x14ac:dyDescent="0.25">
      <c r="D31" t="s">
        <v>44</v>
      </c>
      <c r="E31" s="3">
        <f t="shared" ref="E31:E59" si="0">I31+J31</f>
        <v>45940</v>
      </c>
      <c r="F31" s="3">
        <f t="shared" ref="F31:F59" si="1">R31+AO31</f>
        <v>45940</v>
      </c>
      <c r="I31" s="3">
        <f>SUMIF(Tableau_Lancer_la_requête_à_partir_de_Excel_Files102[Avis Prog],"1-Favorable",Tableau_Lancer_la_requête_à_partir_de_Excel_Files102[Total Etat])</f>
        <v>45940</v>
      </c>
      <c r="J31" s="3">
        <f>SUMIF(Tableau_Lancer_la_requête_à_partir_de_Excel_Files102[Avis Prog],"2-Favorable sous réserve",Tableau_Lancer_la_requête_à_partir_de_Excel_Files102[Total Etat])</f>
        <v>0</v>
      </c>
      <c r="R31" s="3">
        <f>SUMIF(Tableau_Lancer_la_requête_à_partir_de_Excel_Files102[Avis Cofimac],"1-Favorable",Tableau_Lancer_la_requête_à_partir_de_Excel_Files102[Total Etat])</f>
        <v>45940</v>
      </c>
      <c r="AO31" s="3">
        <f>SUMIF(Tableau_Lancer_la_requête_à_partir_de_Excel_Files102[Avis Cofimac],"2-Favorable sous réserve",Tableau_Lancer_la_requête_à_partir_de_Excel_Files102[Total Etat])</f>
        <v>0</v>
      </c>
    </row>
    <row r="32" spans="1:85" hidden="1" x14ac:dyDescent="0.25">
      <c r="D32" t="s">
        <v>45</v>
      </c>
      <c r="E32" s="3">
        <f t="shared" si="0"/>
        <v>58850.070000000007</v>
      </c>
      <c r="F32" s="3">
        <f t="shared" si="1"/>
        <v>58850.070000000007</v>
      </c>
      <c r="I32" s="3">
        <f>SUMIF(Tableau_Lancer_la_requête_à_partir_de_Excel_Files102[Avis Prog],"1-Favorable",Tableau_Lancer_la_requête_à_partir_de_Excel_Files102[Total Régions])</f>
        <v>58850.070000000007</v>
      </c>
      <c r="J32" s="3">
        <f>SUMIF(Tableau_Lancer_la_requête_à_partir_de_Excel_Files102[Avis Prog],"2-Favorable sous réserve",Tableau_Lancer_la_requête_à_partir_de_Excel_Files102[Total Régions])</f>
        <v>0</v>
      </c>
      <c r="R32" s="3">
        <f>SUMIF(Tableau_Lancer_la_requête_à_partir_de_Excel_Files102[Avis Cofimac],"1-Favorable",Tableau_Lancer_la_requête_à_partir_de_Excel_Files102[Total Régions])</f>
        <v>58850.070000000007</v>
      </c>
      <c r="AO32" s="3">
        <f>SUMIF(Tableau_Lancer_la_requête_à_partir_de_Excel_Files102[Avis Cofimac],"2-Favorable sous réserve",Tableau_Lancer_la_requête_à_partir_de_Excel_Files102[Total Régions])</f>
        <v>0</v>
      </c>
    </row>
    <row r="33" spans="4:41" hidden="1" x14ac:dyDescent="0.25">
      <c r="D33" s="3" t="s">
        <v>56</v>
      </c>
      <c r="E33" s="3">
        <f t="shared" si="0"/>
        <v>0</v>
      </c>
      <c r="F33" s="3">
        <f t="shared" si="1"/>
        <v>0</v>
      </c>
      <c r="I33" s="3">
        <f>SUMIF(Tableau_Lancer_la_requête_à_partir_de_Excel_Files102[Avis Prog],"1-Favorable",Tableau_Lancer_la_requête_à_partir_de_Excel_Files102[''ALPC''])</f>
        <v>0</v>
      </c>
      <c r="J33" s="3">
        <f>SUMIF(Tableau_Lancer_la_requête_à_partir_de_Excel_Files102[Avis Prog],"2-Favorable sous réserve",Tableau_Lancer_la_requête_à_partir_de_Excel_Files102[''ALPC''])</f>
        <v>0</v>
      </c>
      <c r="R33" s="3">
        <f>SUMIF(Tableau_Lancer_la_requête_à_partir_de_Excel_Files102[Avis Cofimac],"1-Favorable",Tableau_Lancer_la_requête_à_partir_de_Excel_Files102[''ALPC''])</f>
        <v>0</v>
      </c>
      <c r="AO33" s="3">
        <f>SUMIF(Tableau_Lancer_la_requête_à_partir_de_Excel_Files102[Avis Cofimac],"2-Favorable sous réserve",Tableau_Lancer_la_requête_à_partir_de_Excel_Files102[''ALPC''])</f>
        <v>0</v>
      </c>
    </row>
    <row r="34" spans="4:41" hidden="1" x14ac:dyDescent="0.25">
      <c r="D34" s="3" t="s">
        <v>57</v>
      </c>
      <c r="E34" s="3">
        <f t="shared" si="0"/>
        <v>0</v>
      </c>
      <c r="F34" s="3">
        <f t="shared" si="1"/>
        <v>0</v>
      </c>
      <c r="I34" s="3">
        <f>SUMIF(Tableau_Lancer_la_requête_à_partir_de_Excel_Files102[Avis Prog],"1-Favorable",Tableau_Lancer_la_requête_à_partir_de_Excel_Files102[''AURA''])</f>
        <v>0</v>
      </c>
      <c r="J34" s="3">
        <f>SUMIF(Tableau_Lancer_la_requête_à_partir_de_Excel_Files102[Avis Prog],"2-Favorable sous réserve",Tableau_Lancer_la_requête_à_partir_de_Excel_Files102[''AURA''])</f>
        <v>0</v>
      </c>
      <c r="R34" s="3">
        <f>SUMIF(Tableau_Lancer_la_requête_à_partir_de_Excel_Files102[Avis Cofimac],"1-Favorable",Tableau_Lancer_la_requête_à_partir_de_Excel_Files102[''AURA''])</f>
        <v>0</v>
      </c>
      <c r="AO34" s="3">
        <f>SUMIF(Tableau_Lancer_la_requête_à_partir_de_Excel_Files102[Avis Cofimac],"2-Favorable sous réserve",Tableau_Lancer_la_requête_à_partir_de_Excel_Files102[''AURA''])</f>
        <v>0</v>
      </c>
    </row>
    <row r="35" spans="4:41" hidden="1" x14ac:dyDescent="0.25">
      <c r="D35" s="3" t="s">
        <v>58</v>
      </c>
      <c r="E35" s="3">
        <f t="shared" si="0"/>
        <v>35000</v>
      </c>
      <c r="F35" s="3">
        <f t="shared" si="1"/>
        <v>35000</v>
      </c>
      <c r="I35" s="3">
        <f>SUMIF(Tableau_Lancer_la_requête_à_partir_de_Excel_Files102[Avis Prog],"1-Favorable",Tableau_Lancer_la_requête_à_partir_de_Excel_Files102[''BFC''])</f>
        <v>35000</v>
      </c>
      <c r="J35" s="3">
        <f>SUMIF(Tableau_Lancer_la_requête_à_partir_de_Excel_Files102[Avis Prog],"2-Favorable sous réserve",Tableau_Lancer_la_requête_à_partir_de_Excel_Files102[''BFC''])</f>
        <v>0</v>
      </c>
      <c r="R35" s="3">
        <f>SUMIF(Tableau_Lancer_la_requête_à_partir_de_Excel_Files102[Avis Cofimac],"1-Favorable",Tableau_Lancer_la_requête_à_partir_de_Excel_Files102[''BFC''])</f>
        <v>35000</v>
      </c>
      <c r="AO35" s="3">
        <f>SUMIF(Tableau_Lancer_la_requête_à_partir_de_Excel_Files102[Avis Cofimac],"2-Favorable sous réserve",Tableau_Lancer_la_requête_à_partir_de_Excel_Files102[''BFC''])</f>
        <v>0</v>
      </c>
    </row>
    <row r="36" spans="4:41" hidden="1" x14ac:dyDescent="0.25">
      <c r="D36" s="3" t="s">
        <v>59</v>
      </c>
      <c r="E36" s="3">
        <f t="shared" si="0"/>
        <v>23850.07</v>
      </c>
      <c r="F36" s="3">
        <f t="shared" si="1"/>
        <v>23850.07</v>
      </c>
      <c r="I36" s="3">
        <f>SUMIF(Tableau_Lancer_la_requête_à_partir_de_Excel_Files102[Avis Prog],"1-Favorable",Tableau_Lancer_la_requête_à_partir_de_Excel_Files102[''LRMP''])</f>
        <v>23850.07</v>
      </c>
      <c r="J36" s="3">
        <f>SUMIF(Tableau_Lancer_la_requête_à_partir_de_Excel_Files102[Avis Prog],"2-Favorable sous réserve",Tableau_Lancer_la_requête_à_partir_de_Excel_Files102[''LRMP''])</f>
        <v>0</v>
      </c>
      <c r="R36" s="3">
        <f>SUMIF(Tableau_Lancer_la_requête_à_partir_de_Excel_Files102[Avis Cofimac],"1-Favorable",Tableau_Lancer_la_requête_à_partir_de_Excel_Files102[''LRMP''])</f>
        <v>23850.07</v>
      </c>
      <c r="AO36" s="3">
        <f>SUMIF(Tableau_Lancer_la_requête_à_partir_de_Excel_Files102[Avis Cofimac],"2-Favorable sous réserve",Tableau_Lancer_la_requête_à_partir_de_Excel_Files102[''LRMP''])</f>
        <v>0</v>
      </c>
    </row>
    <row r="37" spans="4:41" hidden="1" x14ac:dyDescent="0.25">
      <c r="D37" t="s">
        <v>46</v>
      </c>
      <c r="E37" s="3">
        <f t="shared" si="0"/>
        <v>0</v>
      </c>
      <c r="F37" s="3">
        <f t="shared" si="1"/>
        <v>0</v>
      </c>
      <c r="I37" s="3">
        <f>SUMIF(Tableau_Lancer_la_requête_à_partir_de_Excel_Files102[Avis Prog],"1-Favorable",Tableau_Lancer_la_requête_à_partir_de_Excel_Files102[Total Dpts])</f>
        <v>0</v>
      </c>
      <c r="J37" s="3">
        <f>SUMIF(Tableau_Lancer_la_requête_à_partir_de_Excel_Files102[Avis Prog],"2-Favorable sous réserve",Tableau_Lancer_la_requête_à_partir_de_Excel_Files102[Total Dpts])</f>
        <v>0</v>
      </c>
      <c r="R37" s="3">
        <f>SUMIF(Tableau_Lancer_la_requête_à_partir_de_Excel_Files102[Avis Cofimac],"1-Favorable",Tableau_Lancer_la_requête_à_partir_de_Excel_Files102[Total Dpts])</f>
        <v>0</v>
      </c>
      <c r="AO37" s="3">
        <f>SUMIF(Tableau_Lancer_la_requête_à_partir_de_Excel_Files102[Avis Cofimac],"2-Favorable sous réserve",Tableau_Lancer_la_requête_à_partir_de_Excel_Files102[Total Dpts])</f>
        <v>0</v>
      </c>
    </row>
    <row r="38" spans="4:41" hidden="1" x14ac:dyDescent="0.25">
      <c r="D38" t="s">
        <v>20</v>
      </c>
      <c r="E38" s="3">
        <f t="shared" si="0"/>
        <v>0</v>
      </c>
      <c r="F38" s="3">
        <f t="shared" si="1"/>
        <v>0</v>
      </c>
      <c r="I38" s="3">
        <f>SUMIF(Tableau_Lancer_la_requête_à_partir_de_Excel_Files102[Avis Prog],"1-Favorable",Tableau_Lancer_la_requête_à_partir_de_Excel_Files102[''03''])</f>
        <v>0</v>
      </c>
      <c r="J38" s="3">
        <f>SUMIF(Tableau_Lancer_la_requête_à_partir_de_Excel_Files102[Avis Prog],"2-Favorable sous réserve",Tableau_Lancer_la_requête_à_partir_de_Excel_Files102[''03''])</f>
        <v>0</v>
      </c>
      <c r="R38" s="3">
        <f>SUMIF(Tableau_Lancer_la_requête_à_partir_de_Excel_Files102[Avis Cofimac],"1-Favorable",Tableau_Lancer_la_requête_à_partir_de_Excel_Files102[''03''])</f>
        <v>0</v>
      </c>
      <c r="AO38" s="3">
        <f>SUMIF(Tableau_Lancer_la_requête_à_partir_de_Excel_Files102[Avis Cofimac],"2-Favorable sous réserve",Tableau_Lancer_la_requête_à_partir_de_Excel_Files102[''03''])</f>
        <v>0</v>
      </c>
    </row>
    <row r="39" spans="4:41" hidden="1" x14ac:dyDescent="0.25">
      <c r="D39" t="s">
        <v>21</v>
      </c>
      <c r="E39" s="3">
        <f t="shared" si="0"/>
        <v>0</v>
      </c>
      <c r="F39" s="3">
        <f t="shared" si="1"/>
        <v>0</v>
      </c>
      <c r="I39" s="3">
        <f>SUMIF(Tableau_Lancer_la_requête_à_partir_de_Excel_Files102[Avis Prog],"1-Favorable",Tableau_Lancer_la_requête_à_partir_de_Excel_Files102[''07''])</f>
        <v>0</v>
      </c>
      <c r="J39" s="3">
        <f>SUMIF(Tableau_Lancer_la_requête_à_partir_de_Excel_Files102[Avis Prog],"2-Favorable sous réserve",Tableau_Lancer_la_requête_à_partir_de_Excel_Files102[''07''])</f>
        <v>0</v>
      </c>
      <c r="R39" s="3">
        <f>SUMIF(Tableau_Lancer_la_requête_à_partir_de_Excel_Files102[Avis Cofimac],"1-Favorable",Tableau_Lancer_la_requête_à_partir_de_Excel_Files102[''07''])</f>
        <v>0</v>
      </c>
      <c r="AO39" s="3">
        <f>SUMIF(Tableau_Lancer_la_requête_à_partir_de_Excel_Files102[Avis Cofimac],"2-Favorable sous réserve",Tableau_Lancer_la_requête_à_partir_de_Excel_Files102[''07''])</f>
        <v>0</v>
      </c>
    </row>
    <row r="40" spans="4:41" hidden="1" x14ac:dyDescent="0.25">
      <c r="D40" t="s">
        <v>22</v>
      </c>
      <c r="E40" s="3">
        <f t="shared" si="0"/>
        <v>0</v>
      </c>
      <c r="F40" s="3">
        <f t="shared" si="1"/>
        <v>0</v>
      </c>
      <c r="I40" s="3">
        <f>SUMIF(Tableau_Lancer_la_requête_à_partir_de_Excel_Files102[Avis Prog],"1-Favorable",Tableau_Lancer_la_requête_à_partir_de_Excel_Files102[''11''])</f>
        <v>0</v>
      </c>
      <c r="J40" s="3">
        <f>SUMIF(Tableau_Lancer_la_requête_à_partir_de_Excel_Files102[Avis Prog],"2-Favorable sous réserve",Tableau_Lancer_la_requête_à_partir_de_Excel_Files102[''11''])</f>
        <v>0</v>
      </c>
      <c r="R40" s="3">
        <f>SUMIF(Tableau_Lancer_la_requête_à_partir_de_Excel_Files102[Avis Cofimac],"1-Favorable",Tableau_Lancer_la_requête_à_partir_de_Excel_Files102[''11''])</f>
        <v>0</v>
      </c>
      <c r="AO40" s="3">
        <f>SUMIF(Tableau_Lancer_la_requête_à_partir_de_Excel_Files102[Avis Cofimac],"2-Favorable sous réserve",Tableau_Lancer_la_requête_à_partir_de_Excel_Files102[''11''])</f>
        <v>0</v>
      </c>
    </row>
    <row r="41" spans="4:41" hidden="1" x14ac:dyDescent="0.25">
      <c r="D41" t="s">
        <v>23</v>
      </c>
      <c r="E41" s="3">
        <f t="shared" si="0"/>
        <v>0</v>
      </c>
      <c r="F41" s="3">
        <f t="shared" si="1"/>
        <v>0</v>
      </c>
      <c r="I41" s="3">
        <f>SUMIF(Tableau_Lancer_la_requête_à_partir_de_Excel_Files102[Avis Prog],"1-Favorable",Tableau_Lancer_la_requête_à_partir_de_Excel_Files102[''12''])</f>
        <v>0</v>
      </c>
      <c r="J41" s="3">
        <f>SUMIF(Tableau_Lancer_la_requête_à_partir_de_Excel_Files102[Avis Prog],"2-Favorable sous réserve",Tableau_Lancer_la_requête_à_partir_de_Excel_Files102[''12''])</f>
        <v>0</v>
      </c>
      <c r="R41" s="3">
        <f>SUMIF(Tableau_Lancer_la_requête_à_partir_de_Excel_Files102[Avis Cofimac],"1-Favorable",Tableau_Lancer_la_requête_à_partir_de_Excel_Files102[''12''])</f>
        <v>0</v>
      </c>
      <c r="AO41" s="3">
        <f>SUMIF(Tableau_Lancer_la_requête_à_partir_de_Excel_Files102[Avis Cofimac],"2-Favorable sous réserve",Tableau_Lancer_la_requête_à_partir_de_Excel_Files102[''12''])</f>
        <v>0</v>
      </c>
    </row>
    <row r="42" spans="4:41" hidden="1" x14ac:dyDescent="0.25">
      <c r="D42" t="s">
        <v>24</v>
      </c>
      <c r="E42" s="3">
        <f t="shared" si="0"/>
        <v>0</v>
      </c>
      <c r="F42" s="3">
        <f t="shared" si="1"/>
        <v>0</v>
      </c>
      <c r="I42" s="3">
        <f>SUMIF(Tableau_Lancer_la_requête_à_partir_de_Excel_Files102[Avis Prog],"1-Favorable",Tableau_Lancer_la_requête_à_partir_de_Excel_Files102[''15''])</f>
        <v>0</v>
      </c>
      <c r="J42" s="3">
        <f>SUMIF(Tableau_Lancer_la_requête_à_partir_de_Excel_Files102[Avis Prog],"2-Favorable sous réserve",Tableau_Lancer_la_requête_à_partir_de_Excel_Files102[''15''])</f>
        <v>0</v>
      </c>
      <c r="R42" s="3">
        <f>SUMIF(Tableau_Lancer_la_requête_à_partir_de_Excel_Files102[Avis Cofimac],"1-Favorable",Tableau_Lancer_la_requête_à_partir_de_Excel_Files102[''15''])</f>
        <v>0</v>
      </c>
      <c r="AO42" s="3">
        <f>SUMIF(Tableau_Lancer_la_requête_à_partir_de_Excel_Files102[Avis Cofimac],"2-Favorable sous réserve",Tableau_Lancer_la_requête_à_partir_de_Excel_Files102[''15''])</f>
        <v>0</v>
      </c>
    </row>
    <row r="43" spans="4:41" hidden="1" x14ac:dyDescent="0.25">
      <c r="D43" t="s">
        <v>25</v>
      </c>
      <c r="E43" s="3">
        <f t="shared" si="0"/>
        <v>0</v>
      </c>
      <c r="F43" s="3">
        <f t="shared" si="1"/>
        <v>0</v>
      </c>
      <c r="I43" s="3">
        <f>SUMIF(Tableau_Lancer_la_requête_à_partir_de_Excel_Files102[Avis Prog],"1-Favorable",Tableau_Lancer_la_requête_à_partir_de_Excel_Files102[''19''])</f>
        <v>0</v>
      </c>
      <c r="J43" s="3">
        <f>SUMIF(Tableau_Lancer_la_requête_à_partir_de_Excel_Files102[Avis Prog],"2-Favorable sous réserve",Tableau_Lancer_la_requête_à_partir_de_Excel_Files102[''19''])</f>
        <v>0</v>
      </c>
      <c r="R43" s="3">
        <f>SUMIF(Tableau_Lancer_la_requête_à_partir_de_Excel_Files102[Avis Cofimac],"1-Favorable",Tableau_Lancer_la_requête_à_partir_de_Excel_Files102[''19''])</f>
        <v>0</v>
      </c>
      <c r="AO43" s="3">
        <f>SUMIF(Tableau_Lancer_la_requête_à_partir_de_Excel_Files102[Avis Cofimac],"2-Favorable sous réserve",Tableau_Lancer_la_requête_à_partir_de_Excel_Files102[''19''])</f>
        <v>0</v>
      </c>
    </row>
    <row r="44" spans="4:41" hidden="1" x14ac:dyDescent="0.25">
      <c r="D44" t="s">
        <v>26</v>
      </c>
      <c r="E44" s="3">
        <f t="shared" si="0"/>
        <v>0</v>
      </c>
      <c r="F44" s="3">
        <f t="shared" si="1"/>
        <v>0</v>
      </c>
      <c r="I44" s="3">
        <f>SUMIF(Tableau_Lancer_la_requête_à_partir_de_Excel_Files102[Avis Prog],"1-Favorable",Tableau_Lancer_la_requête_à_partir_de_Excel_Files102[''21''])</f>
        <v>0</v>
      </c>
      <c r="J44" s="3">
        <f>SUMIF(Tableau_Lancer_la_requête_à_partir_de_Excel_Files102[Avis Prog],"2-Favorable sous réserve",Tableau_Lancer_la_requête_à_partir_de_Excel_Files102[''21''])</f>
        <v>0</v>
      </c>
      <c r="R44" s="3">
        <f>SUMIF(Tableau_Lancer_la_requête_à_partir_de_Excel_Files102[Avis Cofimac],"1-Favorable",Tableau_Lancer_la_requête_à_partir_de_Excel_Files102[''21''])</f>
        <v>0</v>
      </c>
      <c r="AO44" s="3">
        <f>SUMIF(Tableau_Lancer_la_requête_à_partir_de_Excel_Files102[Avis Cofimac],"2-Favorable sous réserve",Tableau_Lancer_la_requête_à_partir_de_Excel_Files102[''21''])</f>
        <v>0</v>
      </c>
    </row>
    <row r="45" spans="4:41" hidden="1" x14ac:dyDescent="0.25">
      <c r="D45" t="s">
        <v>27</v>
      </c>
      <c r="E45" s="3">
        <f t="shared" si="0"/>
        <v>0</v>
      </c>
      <c r="F45" s="3">
        <f t="shared" si="1"/>
        <v>0</v>
      </c>
      <c r="I45" s="3">
        <f>SUMIF(Tableau_Lancer_la_requête_à_partir_de_Excel_Files102[Avis Prog],"1-Favorable",Tableau_Lancer_la_requête_à_partir_de_Excel_Files102[''23''])</f>
        <v>0</v>
      </c>
      <c r="J45" s="3">
        <f>SUMIF(Tableau_Lancer_la_requête_à_partir_de_Excel_Files102[Avis Prog],"2-Favorable sous réserve",Tableau_Lancer_la_requête_à_partir_de_Excel_Files102[''23''])</f>
        <v>0</v>
      </c>
      <c r="R45" s="3">
        <f>SUMIF(Tableau_Lancer_la_requête_à_partir_de_Excel_Files102[Avis Cofimac],"1-Favorable",Tableau_Lancer_la_requête_à_partir_de_Excel_Files102[''23''])</f>
        <v>0</v>
      </c>
      <c r="AO45" s="3">
        <f>SUMIF(Tableau_Lancer_la_requête_à_partir_de_Excel_Files102[Avis Cofimac],"2-Favorable sous réserve",Tableau_Lancer_la_requête_à_partir_de_Excel_Files102[''23''])</f>
        <v>0</v>
      </c>
    </row>
    <row r="46" spans="4:41" hidden="1" x14ac:dyDescent="0.25">
      <c r="D46" t="s">
        <v>28</v>
      </c>
      <c r="E46" s="3">
        <f t="shared" si="0"/>
        <v>0</v>
      </c>
      <c r="F46" s="3">
        <f t="shared" si="1"/>
        <v>0</v>
      </c>
      <c r="I46" s="3">
        <f>SUMIF(Tableau_Lancer_la_requête_à_partir_de_Excel_Files102[Avis Prog],"1-Favorable",Tableau_Lancer_la_requête_à_partir_de_Excel_Files102[''30''])</f>
        <v>0</v>
      </c>
      <c r="J46" s="3">
        <f>SUMIF(Tableau_Lancer_la_requête_à_partir_de_Excel_Files102[Avis Prog],"2-Favorable sous réserve",Tableau_Lancer_la_requête_à_partir_de_Excel_Files102[''30''])</f>
        <v>0</v>
      </c>
      <c r="R46" s="3">
        <f>SUMIF(Tableau_Lancer_la_requête_à_partir_de_Excel_Files102[Avis Cofimac],"1-Favorable",Tableau_Lancer_la_requête_à_partir_de_Excel_Files102[''30''])</f>
        <v>0</v>
      </c>
      <c r="AO46" s="3">
        <f>SUMIF(Tableau_Lancer_la_requête_à_partir_de_Excel_Files102[Avis Cofimac],"2-Favorable sous réserve",Tableau_Lancer_la_requête_à_partir_de_Excel_Files102[''30''])</f>
        <v>0</v>
      </c>
    </row>
    <row r="47" spans="4:41" hidden="1" x14ac:dyDescent="0.25">
      <c r="D47" t="s">
        <v>29</v>
      </c>
      <c r="E47" s="3">
        <f t="shared" si="0"/>
        <v>0</v>
      </c>
      <c r="F47" s="3">
        <f t="shared" si="1"/>
        <v>0</v>
      </c>
      <c r="I47" s="3">
        <f>SUMIF(Tableau_Lancer_la_requête_à_partir_de_Excel_Files102[Avis Prog],"1-Favorable",Tableau_Lancer_la_requête_à_partir_de_Excel_Files102[''34''])</f>
        <v>0</v>
      </c>
      <c r="J47" s="3">
        <f>SUMIF(Tableau_Lancer_la_requête_à_partir_de_Excel_Files102[Avis Prog],"2-Favorable sous réserve",Tableau_Lancer_la_requête_à_partir_de_Excel_Files102[''34''])</f>
        <v>0</v>
      </c>
      <c r="R47" s="3">
        <f>SUMIF(Tableau_Lancer_la_requête_à_partir_de_Excel_Files102[Avis Cofimac],"1-Favorable",Tableau_Lancer_la_requête_à_partir_de_Excel_Files102[''34''])</f>
        <v>0</v>
      </c>
      <c r="AO47" s="3">
        <f>SUMIF(Tableau_Lancer_la_requête_à_partir_de_Excel_Files102[Avis Cofimac],"2-Favorable sous réserve",Tableau_Lancer_la_requête_à_partir_de_Excel_Files102[''34''])</f>
        <v>0</v>
      </c>
    </row>
    <row r="48" spans="4:41" hidden="1" x14ac:dyDescent="0.25">
      <c r="D48" t="s">
        <v>30</v>
      </c>
      <c r="E48" s="3">
        <f t="shared" si="0"/>
        <v>0</v>
      </c>
      <c r="F48" s="3">
        <f t="shared" si="1"/>
        <v>0</v>
      </c>
      <c r="I48" s="3">
        <f>SUMIF(Tableau_Lancer_la_requête_à_partir_de_Excel_Files102[Avis Prog],"1-Favorable",Tableau_Lancer_la_requête_à_partir_de_Excel_Files102[''42''])</f>
        <v>0</v>
      </c>
      <c r="J48" s="3">
        <f>SUMIF(Tableau_Lancer_la_requête_à_partir_de_Excel_Files102[Avis Prog],"2-Favorable sous réserve",Tableau_Lancer_la_requête_à_partir_de_Excel_Files102[''42''])</f>
        <v>0</v>
      </c>
      <c r="R48" s="3">
        <f>SUMIF(Tableau_Lancer_la_requête_à_partir_de_Excel_Files102[Avis Cofimac],"1-Favorable",Tableau_Lancer_la_requête_à_partir_de_Excel_Files102[''42''])</f>
        <v>0</v>
      </c>
      <c r="AO48" s="3">
        <f>SUMIF(Tableau_Lancer_la_requête_à_partir_de_Excel_Files102[Avis Cofimac],"2-Favorable sous réserve",Tableau_Lancer_la_requête_à_partir_de_Excel_Files102[''42''])</f>
        <v>0</v>
      </c>
    </row>
    <row r="49" spans="4:41" hidden="1" x14ac:dyDescent="0.25">
      <c r="D49" t="s">
        <v>31</v>
      </c>
      <c r="E49" s="3">
        <f t="shared" si="0"/>
        <v>0</v>
      </c>
      <c r="F49" s="3">
        <f t="shared" si="1"/>
        <v>0</v>
      </c>
      <c r="I49" s="3">
        <f>SUMIF(Tableau_Lancer_la_requête_à_partir_de_Excel_Files102[Avis Prog],"1-Favorable",Tableau_Lancer_la_requête_à_partir_de_Excel_Files102[''43''])</f>
        <v>0</v>
      </c>
      <c r="J49" s="3">
        <f>SUMIF(Tableau_Lancer_la_requête_à_partir_de_Excel_Files102[Avis Prog],"2-Favorable sous réserve",Tableau_Lancer_la_requête_à_partir_de_Excel_Files102[''43''])</f>
        <v>0</v>
      </c>
      <c r="R49" s="3">
        <f>SUMIF(Tableau_Lancer_la_requête_à_partir_de_Excel_Files102[Avis Cofimac],"1-Favorable",Tableau_Lancer_la_requête_à_partir_de_Excel_Files102[''43''])</f>
        <v>0</v>
      </c>
      <c r="AO49" s="3">
        <f>SUMIF(Tableau_Lancer_la_requête_à_partir_de_Excel_Files102[Avis Cofimac],"2-Favorable sous réserve",Tableau_Lancer_la_requête_à_partir_de_Excel_Files102[''43''])</f>
        <v>0</v>
      </c>
    </row>
    <row r="50" spans="4:41" hidden="1" x14ac:dyDescent="0.25">
      <c r="D50" t="s">
        <v>32</v>
      </c>
      <c r="E50" s="3">
        <f t="shared" si="0"/>
        <v>0</v>
      </c>
      <c r="F50" s="3">
        <f t="shared" si="1"/>
        <v>0</v>
      </c>
      <c r="I50" s="3">
        <f>SUMIF(Tableau_Lancer_la_requête_à_partir_de_Excel_Files102[Avis Prog],"1-Favorable",Tableau_Lancer_la_requête_à_partir_de_Excel_Files102[''46''])</f>
        <v>0</v>
      </c>
      <c r="J50" s="3">
        <f>SUMIF(Tableau_Lancer_la_requête_à_partir_de_Excel_Files102[Avis Prog],"2-Favorable sous réserve",Tableau_Lancer_la_requête_à_partir_de_Excel_Files102[''46''])</f>
        <v>0</v>
      </c>
      <c r="R50" s="3">
        <f>SUMIF(Tableau_Lancer_la_requête_à_partir_de_Excel_Files102[Avis Cofimac],"1-Favorable",Tableau_Lancer_la_requête_à_partir_de_Excel_Files102[''46''])</f>
        <v>0</v>
      </c>
      <c r="AO50" s="3">
        <f>SUMIF(Tableau_Lancer_la_requête_à_partir_de_Excel_Files102[Avis Cofimac],"2-Favorable sous réserve",Tableau_Lancer_la_requête_à_partir_de_Excel_Files102[''46''])</f>
        <v>0</v>
      </c>
    </row>
    <row r="51" spans="4:41" hidden="1" x14ac:dyDescent="0.25">
      <c r="D51" t="s">
        <v>33</v>
      </c>
      <c r="E51" s="3">
        <f t="shared" si="0"/>
        <v>0</v>
      </c>
      <c r="F51" s="3">
        <f t="shared" si="1"/>
        <v>0</v>
      </c>
      <c r="I51" s="3">
        <f>SUMIF(Tableau_Lancer_la_requête_à_partir_de_Excel_Files102[Avis Prog],"1-Favorable",Tableau_Lancer_la_requête_à_partir_de_Excel_Files102[''48''])</f>
        <v>0</v>
      </c>
      <c r="J51" s="3">
        <f>SUMIF(Tableau_Lancer_la_requête_à_partir_de_Excel_Files102[Avis Prog],"2-Favorable sous réserve",Tableau_Lancer_la_requête_à_partir_de_Excel_Files102[''48''])</f>
        <v>0</v>
      </c>
      <c r="R51" s="3">
        <f>SUMIF(Tableau_Lancer_la_requête_à_partir_de_Excel_Files102[Avis Cofimac],"1-Favorable",Tableau_Lancer_la_requête_à_partir_de_Excel_Files102[''48''])</f>
        <v>0</v>
      </c>
      <c r="AO51" s="3">
        <f>SUMIF(Tableau_Lancer_la_requête_à_partir_de_Excel_Files102[Avis Cofimac],"2-Favorable sous réserve",Tableau_Lancer_la_requête_à_partir_de_Excel_Files102[''48''])</f>
        <v>0</v>
      </c>
    </row>
    <row r="52" spans="4:41" hidden="1" x14ac:dyDescent="0.25">
      <c r="D52" t="s">
        <v>34</v>
      </c>
      <c r="E52" s="3">
        <f t="shared" si="0"/>
        <v>0</v>
      </c>
      <c r="F52" s="3">
        <f t="shared" si="1"/>
        <v>0</v>
      </c>
      <c r="I52" s="3">
        <f>SUMIF(Tableau_Lancer_la_requête_à_partir_de_Excel_Files102[Avis Prog],"1-Favorable",Tableau_Lancer_la_requête_à_partir_de_Excel_Files102[''58''])</f>
        <v>0</v>
      </c>
      <c r="J52" s="3">
        <f>SUMIF(Tableau_Lancer_la_requête_à_partir_de_Excel_Files102[Avis Prog],"2-Favorable sous réserve",Tableau_Lancer_la_requête_à_partir_de_Excel_Files102[''58''])</f>
        <v>0</v>
      </c>
      <c r="R52" s="3">
        <f>SUMIF(Tableau_Lancer_la_requête_à_partir_de_Excel_Files102[Avis Cofimac],"1-Favorable",Tableau_Lancer_la_requête_à_partir_de_Excel_Files102[''58''])</f>
        <v>0</v>
      </c>
      <c r="AO52" s="3">
        <f>SUMIF(Tableau_Lancer_la_requête_à_partir_de_Excel_Files102[Avis Cofimac],"2-Favorable sous réserve",Tableau_Lancer_la_requête_à_partir_de_Excel_Files102[''58''])</f>
        <v>0</v>
      </c>
    </row>
    <row r="53" spans="4:41" hidden="1" x14ac:dyDescent="0.25">
      <c r="D53" t="s">
        <v>35</v>
      </c>
      <c r="E53" s="3">
        <f t="shared" si="0"/>
        <v>0</v>
      </c>
      <c r="F53" s="3">
        <f t="shared" si="1"/>
        <v>0</v>
      </c>
      <c r="I53" s="3">
        <f>SUMIF(Tableau_Lancer_la_requête_à_partir_de_Excel_Files102[Avis Prog],"1-Favorable",Tableau_Lancer_la_requête_à_partir_de_Excel_Files102[''63''])</f>
        <v>0</v>
      </c>
      <c r="J53" s="3">
        <f>SUMIF(Tableau_Lancer_la_requête_à_partir_de_Excel_Files102[Avis Prog],"2-Favorable sous réserve",Tableau_Lancer_la_requête_à_partir_de_Excel_Files102[''63''])</f>
        <v>0</v>
      </c>
      <c r="R53" s="3">
        <f>SUMIF(Tableau_Lancer_la_requête_à_partir_de_Excel_Files102[Avis Cofimac],"1-Favorable",Tableau_Lancer_la_requête_à_partir_de_Excel_Files102[''63''])</f>
        <v>0</v>
      </c>
      <c r="AO53" s="3">
        <f>SUMIF(Tableau_Lancer_la_requête_à_partir_de_Excel_Files102[Avis Cofimac],"2-Favorable sous réserve",Tableau_Lancer_la_requête_à_partir_de_Excel_Files102[''63''])</f>
        <v>0</v>
      </c>
    </row>
    <row r="54" spans="4:41" hidden="1" x14ac:dyDescent="0.25">
      <c r="D54" t="s">
        <v>36</v>
      </c>
      <c r="E54" s="3">
        <f t="shared" si="0"/>
        <v>0</v>
      </c>
      <c r="F54" s="3">
        <f t="shared" si="1"/>
        <v>0</v>
      </c>
      <c r="I54" s="3">
        <f>SUMIF(Tableau_Lancer_la_requête_à_partir_de_Excel_Files102[Avis Prog],"1-Favorable",Tableau_Lancer_la_requête_à_partir_de_Excel_Files102[''69''])</f>
        <v>0</v>
      </c>
      <c r="J54" s="3">
        <f>SUMIF(Tableau_Lancer_la_requête_à_partir_de_Excel_Files102[Avis Prog],"2-Favorable sous réserve",Tableau_Lancer_la_requête_à_partir_de_Excel_Files102[''69''])</f>
        <v>0</v>
      </c>
      <c r="R54" s="3">
        <f>SUMIF(Tableau_Lancer_la_requête_à_partir_de_Excel_Files102[Avis Cofimac],"1-Favorable",Tableau_Lancer_la_requête_à_partir_de_Excel_Files102[''69''])</f>
        <v>0</v>
      </c>
      <c r="AO54" s="3">
        <f>SUMIF(Tableau_Lancer_la_requête_à_partir_de_Excel_Files102[Avis Cofimac],"2-Favorable sous réserve",Tableau_Lancer_la_requête_à_partir_de_Excel_Files102[''69''])</f>
        <v>0</v>
      </c>
    </row>
    <row r="55" spans="4:41" hidden="1" x14ac:dyDescent="0.25">
      <c r="D55" t="s">
        <v>37</v>
      </c>
      <c r="E55" s="3">
        <f t="shared" si="0"/>
        <v>0</v>
      </c>
      <c r="F55" s="3">
        <f t="shared" si="1"/>
        <v>0</v>
      </c>
      <c r="I55" s="3">
        <f>SUMIF(Tableau_Lancer_la_requête_à_partir_de_Excel_Files102[Avis Prog],"1-Favorable",Tableau_Lancer_la_requête_à_partir_de_Excel_Files102[''71''])</f>
        <v>0</v>
      </c>
      <c r="J55" s="3">
        <f>SUMIF(Tableau_Lancer_la_requête_à_partir_de_Excel_Files102[Avis Prog],"2-Favorable sous réserve",Tableau_Lancer_la_requête_à_partir_de_Excel_Files102[''71''])</f>
        <v>0</v>
      </c>
      <c r="R55" s="3">
        <f>SUMIF(Tableau_Lancer_la_requête_à_partir_de_Excel_Files102[Avis Cofimac],"1-Favorable",Tableau_Lancer_la_requête_à_partir_de_Excel_Files102[''71''])</f>
        <v>0</v>
      </c>
      <c r="AO55" s="3">
        <f>SUMIF(Tableau_Lancer_la_requête_à_partir_de_Excel_Files102[Avis Cofimac],"2-Favorable sous réserve",Tableau_Lancer_la_requête_à_partir_de_Excel_Files102[''71''])</f>
        <v>0</v>
      </c>
    </row>
    <row r="56" spans="4:41" hidden="1" x14ac:dyDescent="0.25">
      <c r="D56" t="s">
        <v>38</v>
      </c>
      <c r="E56" s="3">
        <f t="shared" si="0"/>
        <v>0</v>
      </c>
      <c r="F56" s="3">
        <f t="shared" si="1"/>
        <v>0</v>
      </c>
      <c r="I56" s="3">
        <f>SUMIF(Tableau_Lancer_la_requête_à_partir_de_Excel_Files102[Avis Prog],"1-Favorable",Tableau_Lancer_la_requête_à_partir_de_Excel_Files102[''81''])</f>
        <v>0</v>
      </c>
      <c r="J56" s="3">
        <f>SUMIF(Tableau_Lancer_la_requête_à_partir_de_Excel_Files102[Avis Prog],"2-Favorable sous réserve",Tableau_Lancer_la_requête_à_partir_de_Excel_Files102[''81''])</f>
        <v>0</v>
      </c>
      <c r="R56" s="3">
        <f>SUMIF(Tableau_Lancer_la_requête_à_partir_de_Excel_Files102[Avis Cofimac],"1-Favorable",Tableau_Lancer_la_requête_à_partir_de_Excel_Files102[''81''])</f>
        <v>0</v>
      </c>
      <c r="AO56" s="3">
        <f>SUMIF(Tableau_Lancer_la_requête_à_partir_de_Excel_Files102[Avis Cofimac],"2-Favorable sous réserve",Tableau_Lancer_la_requête_à_partir_de_Excel_Files102[''81''])</f>
        <v>0</v>
      </c>
    </row>
    <row r="57" spans="4:41" hidden="1" x14ac:dyDescent="0.25">
      <c r="D57" t="s">
        <v>39</v>
      </c>
      <c r="E57" s="3">
        <f t="shared" si="0"/>
        <v>0</v>
      </c>
      <c r="F57" s="3">
        <f t="shared" si="1"/>
        <v>0</v>
      </c>
      <c r="I57" s="3">
        <f>SUMIF(Tableau_Lancer_la_requête_à_partir_de_Excel_Files102[Avis Prog],"1-Favorable",Tableau_Lancer_la_requête_à_partir_de_Excel_Files102[''82''])</f>
        <v>0</v>
      </c>
      <c r="J57" s="3">
        <f>SUMIF(Tableau_Lancer_la_requête_à_partir_de_Excel_Files102[Avis Prog],"2-Favorable sous réserve",Tableau_Lancer_la_requête_à_partir_de_Excel_Files102[''82''])</f>
        <v>0</v>
      </c>
      <c r="R57" s="3">
        <f>SUMIF(Tableau_Lancer_la_requête_à_partir_de_Excel_Files102[Avis Cofimac],"1-Favorable",Tableau_Lancer_la_requête_à_partir_de_Excel_Files102[''82''])</f>
        <v>0</v>
      </c>
      <c r="AO57" s="3">
        <f>SUMIF(Tableau_Lancer_la_requête_à_partir_de_Excel_Files102[Avis Cofimac],"2-Favorable sous réserve",Tableau_Lancer_la_requête_à_partir_de_Excel_Files102[''82''])</f>
        <v>0</v>
      </c>
    </row>
    <row r="58" spans="4:41" hidden="1" x14ac:dyDescent="0.25">
      <c r="D58" t="s">
        <v>40</v>
      </c>
      <c r="E58" s="3">
        <f t="shared" si="0"/>
        <v>0</v>
      </c>
      <c r="F58" s="3">
        <f t="shared" si="1"/>
        <v>0</v>
      </c>
      <c r="I58" s="3">
        <f>SUMIF(Tableau_Lancer_la_requête_à_partir_de_Excel_Files102[Avis Prog],"1-Favorable",Tableau_Lancer_la_requête_à_partir_de_Excel_Files102[''87''])</f>
        <v>0</v>
      </c>
      <c r="J58" s="3">
        <f>SUMIF(Tableau_Lancer_la_requête_à_partir_de_Excel_Files102[Avis Prog],"2-Favorable sous réserve",Tableau_Lancer_la_requête_à_partir_de_Excel_Files102[''87''])</f>
        <v>0</v>
      </c>
      <c r="R58" s="3">
        <f>SUMIF(Tableau_Lancer_la_requête_à_partir_de_Excel_Files102[Avis Cofimac],"1-Favorable",Tableau_Lancer_la_requête_à_partir_de_Excel_Files102[''87''])</f>
        <v>0</v>
      </c>
      <c r="AO58" s="3">
        <f>SUMIF(Tableau_Lancer_la_requête_à_partir_de_Excel_Files102[Avis Cofimac],"2-Favorable sous réserve",Tableau_Lancer_la_requête_à_partir_de_Excel_Files102[''87''])</f>
        <v>0</v>
      </c>
    </row>
    <row r="59" spans="4:41" hidden="1" x14ac:dyDescent="0.25">
      <c r="D59" t="s">
        <v>41</v>
      </c>
      <c r="E59" s="3">
        <f t="shared" si="0"/>
        <v>0</v>
      </c>
      <c r="F59" s="3">
        <f t="shared" si="1"/>
        <v>0</v>
      </c>
      <c r="I59" s="3">
        <f>SUMIF(Tableau_Lancer_la_requête_à_partir_de_Excel_Files102[Avis Prog],"1-Favorable",Tableau_Lancer_la_requête_à_partir_de_Excel_Files102[''89''])</f>
        <v>0</v>
      </c>
      <c r="J59" s="3">
        <f>SUMIF(Tableau_Lancer_la_requête_à_partir_de_Excel_Files102[Avis Prog],"2-Favorable sous réserve",Tableau_Lancer_la_requête_à_partir_de_Excel_Files102[''89''])</f>
        <v>0</v>
      </c>
      <c r="R59" s="3">
        <f>SUMIF(Tableau_Lancer_la_requête_à_partir_de_Excel_Files102[Avis Cofimac],"1-Favorable",Tableau_Lancer_la_requête_à_partir_de_Excel_Files102[''89''])</f>
        <v>0</v>
      </c>
      <c r="AO59" s="3">
        <f>SUMIF(Tableau_Lancer_la_requête_à_partir_de_Excel_Files102[Avis Cofimac],"2-Favorable sous réserve",Tableau_Lancer_la_requête_à_partir_de_Excel_Files102[''89''])</f>
        <v>0</v>
      </c>
    </row>
    <row r="60" spans="4:41" hidden="1" x14ac:dyDescent="0.25">
      <c r="R60" s="6"/>
      <c r="AO60" s="6"/>
    </row>
    <row r="61" spans="4:41" hidden="1" x14ac:dyDescent="0.25"/>
  </sheetData>
  <mergeCells count="1">
    <mergeCell ref="A1:B1"/>
  </mergeCells>
  <conditionalFormatting sqref="AR7:AS18">
    <cfRule type="cellIs" dxfId="1154" priority="6" operator="equal">
      <formula>"6-Retiré/Abandon"</formula>
    </cfRule>
    <cfRule type="cellIs" dxfId="1153" priority="15" operator="equal">
      <formula>"5-Défavorable"</formula>
    </cfRule>
    <cfRule type="cellIs" dxfId="1152" priority="16" operator="equal">
      <formula>"4-Ajournement"</formula>
    </cfRule>
    <cfRule type="cellIs" dxfId="1151" priority="17" operator="equal">
      <formula>"2-Favorable sous réserve"</formula>
    </cfRule>
    <cfRule type="cellIs" dxfId="1150" priority="18" operator="equal">
      <formula>"1-Favorable"</formula>
    </cfRule>
  </conditionalFormatting>
  <dataValidations count="1">
    <dataValidation type="list" allowBlank="1" showInputMessage="1" showErrorMessage="1" sqref="AS7:AS18">
      <formula1>"1-Favorable,2-Favorable sous réserve,4-Ajournement,5-Défavorable,6-Retiré/Abandon"</formula1>
    </dataValidation>
  </dataValidations>
  <printOptions horizontalCentered="1" verticalCentered="1"/>
  <pageMargins left="0.25" right="0.25" top="0.75" bottom="0.75" header="0.3" footer="0.3"/>
  <pageSetup paperSize="8" scale="53" fitToHeight="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58"/>
  <sheetViews>
    <sheetView view="pageBreakPreview" zoomScale="80" zoomScaleNormal="60" zoomScaleSheetLayoutView="80" workbookViewId="0">
      <selection activeCell="C1" sqref="C1"/>
    </sheetView>
  </sheetViews>
  <sheetFormatPr baseColWidth="10" defaultRowHeight="15" outlineLevelCol="1" x14ac:dyDescent="0.25"/>
  <cols>
    <col min="1" max="1" width="13.85546875" style="3" customWidth="1"/>
    <col min="2" max="2" width="35" style="4" customWidth="1"/>
    <col min="3" max="3" width="48" style="5" customWidth="1"/>
    <col min="4" max="4" width="20.28515625" style="3" customWidth="1"/>
    <col min="5" max="5" width="19.7109375" style="3" bestFit="1" customWidth="1"/>
    <col min="6" max="6" width="12" style="6" customWidth="1"/>
    <col min="7" max="7" width="16" style="3" bestFit="1" customWidth="1"/>
    <col min="8" max="8" width="11.28515625" style="6" customWidth="1"/>
    <col min="9" max="9" width="13.85546875" style="3" bestFit="1" customWidth="1"/>
    <col min="10" max="10" width="15" style="3" bestFit="1" customWidth="1"/>
    <col min="11" max="11" width="11.5703125" style="3" hidden="1" customWidth="1" outlineLevel="1"/>
    <col min="12" max="12" width="16.5703125" style="3" hidden="1" customWidth="1" outlineLevel="1"/>
    <col min="13" max="13" width="13.7109375" style="3" bestFit="1" customWidth="1" collapsed="1"/>
    <col min="14" max="14" width="11.140625" style="3" hidden="1" customWidth="1" outlineLevel="1"/>
    <col min="15" max="15" width="11.85546875" style="3" hidden="1" customWidth="1" outlineLevel="1"/>
    <col min="16" max="16" width="10" style="3" hidden="1" customWidth="1" outlineLevel="1"/>
    <col min="17" max="17" width="11.7109375" style="3" hidden="1" customWidth="1" outlineLevel="1"/>
    <col min="18" max="18" width="16.140625" style="3" bestFit="1" customWidth="1" collapsed="1"/>
    <col min="19" max="40" width="8.7109375" style="3" hidden="1" customWidth="1" outlineLevel="1"/>
    <col min="41" max="41" width="11.5703125" style="3" bestFit="1" customWidth="1" collapsed="1"/>
    <col min="42" max="42" width="11.5703125" style="3" customWidth="1"/>
    <col min="43" max="43" width="15.42578125" style="3" bestFit="1" customWidth="1"/>
    <col min="44" max="44" width="15.42578125" style="3" hidden="1" customWidth="1"/>
    <col min="45" max="45" width="54.42578125" style="3" customWidth="1"/>
    <col min="46" max="46" width="15.42578125" style="3" bestFit="1" customWidth="1"/>
    <col min="47" max="47" width="17.28515625" style="3" bestFit="1" customWidth="1"/>
    <col min="48" max="48" width="9.42578125" style="3" customWidth="1"/>
    <col min="49" max="63" width="9.7109375" style="3" customWidth="1"/>
    <col min="64" max="64" width="15.140625" style="3" customWidth="1"/>
    <col min="65" max="65" width="14.5703125" style="3" customWidth="1"/>
    <col min="66" max="66" width="18.5703125" style="3" customWidth="1"/>
    <col min="67" max="67" width="12.5703125" style="3" customWidth="1"/>
    <col min="68" max="68" width="20.42578125" style="3" customWidth="1"/>
    <col min="69" max="69" width="12.7109375" style="3" customWidth="1"/>
    <col min="70" max="70" width="9.28515625" style="3" customWidth="1"/>
    <col min="71" max="71" width="14.28515625" style="3" customWidth="1"/>
    <col min="72" max="72" width="11.42578125" style="3" customWidth="1"/>
    <col min="73" max="73" width="9" style="3" customWidth="1"/>
    <col min="74" max="74" width="9.5703125" style="3" customWidth="1"/>
    <col min="75" max="75" width="11" style="3" customWidth="1"/>
    <col min="76" max="76" width="12.7109375" style="3" customWidth="1"/>
    <col min="77" max="79" width="9.7109375" style="3" customWidth="1"/>
    <col min="80" max="80" width="15.140625" style="3" customWidth="1"/>
    <col min="81" max="81" width="17.28515625" style="3" customWidth="1"/>
    <col min="82" max="82" width="49.28515625" style="4" customWidth="1"/>
    <col min="83" max="83" width="17.28515625" style="3" customWidth="1"/>
    <col min="84" max="16384" width="11.42578125" style="3"/>
  </cols>
  <sheetData>
    <row r="1" spans="1:82" ht="18.75" x14ac:dyDescent="0.3">
      <c r="B1" s="21" t="s">
        <v>73</v>
      </c>
      <c r="C1" s="22">
        <f>Feuil1!A2</f>
        <v>42832</v>
      </c>
    </row>
    <row r="5" spans="1:82" x14ac:dyDescent="0.25">
      <c r="A5" s="1" t="s">
        <v>66</v>
      </c>
      <c r="B5" s="2"/>
    </row>
    <row r="6" spans="1:82" s="7" customFormat="1" ht="30" x14ac:dyDescent="0.25">
      <c r="A6" s="7" t="s">
        <v>7</v>
      </c>
      <c r="B6" s="7" t="s">
        <v>1</v>
      </c>
      <c r="C6" s="7" t="s">
        <v>2</v>
      </c>
      <c r="D6" s="7" t="s">
        <v>50</v>
      </c>
      <c r="E6" s="7" t="s">
        <v>52</v>
      </c>
      <c r="F6" s="7" t="s">
        <v>51</v>
      </c>
      <c r="G6" s="7" t="s">
        <v>48</v>
      </c>
      <c r="H6" s="7" t="s">
        <v>53</v>
      </c>
      <c r="I6" s="7" t="s">
        <v>42</v>
      </c>
      <c r="J6" s="7" t="s">
        <v>63</v>
      </c>
      <c r="K6" s="7" t="s">
        <v>67</v>
      </c>
      <c r="L6" s="7" t="s">
        <v>15</v>
      </c>
      <c r="M6" s="7" t="s">
        <v>64</v>
      </c>
      <c r="N6" s="7" t="s">
        <v>18</v>
      </c>
      <c r="O6" s="7" t="s">
        <v>16</v>
      </c>
      <c r="P6" s="7" t="s">
        <v>17</v>
      </c>
      <c r="Q6" s="7" t="s">
        <v>19</v>
      </c>
      <c r="R6" s="7" t="s">
        <v>65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7" t="s">
        <v>37</v>
      </c>
      <c r="AK6" s="7" t="s">
        <v>38</v>
      </c>
      <c r="AL6" s="7" t="s">
        <v>39</v>
      </c>
      <c r="AM6" s="7" t="s">
        <v>40</v>
      </c>
      <c r="AN6" s="7" t="s">
        <v>41</v>
      </c>
      <c r="AO6" s="7" t="s">
        <v>43</v>
      </c>
      <c r="AP6" s="7" t="s">
        <v>47</v>
      </c>
      <c r="AQ6" s="17" t="s">
        <v>54</v>
      </c>
      <c r="AS6" s="30" t="s">
        <v>62</v>
      </c>
    </row>
    <row r="7" spans="1:82" s="10" customFormat="1" x14ac:dyDescent="0.25">
      <c r="A7" s="13"/>
      <c r="B7" s="12"/>
      <c r="C7" s="12"/>
      <c r="D7" s="15"/>
      <c r="E7" s="15"/>
      <c r="F7" s="16"/>
      <c r="G7" s="15"/>
      <c r="H7" s="16"/>
      <c r="I7" s="15"/>
      <c r="J7" s="15"/>
      <c r="K7" s="11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1"/>
      <c r="AQ7" s="11"/>
      <c r="AS7" s="24"/>
      <c r="AT7" s="10" t="s">
        <v>77</v>
      </c>
    </row>
    <row r="8" spans="1:82" s="10" customFormat="1" x14ac:dyDescent="0.25">
      <c r="A8" s="105" t="s">
        <v>8</v>
      </c>
      <c r="B8" s="106">
        <f>SUBTOTAL(103,Tableau_Lancer_la_requête_à_partir_de_Excel_Files1025[Nom_MO])</f>
        <v>0</v>
      </c>
      <c r="C8" s="106"/>
      <c r="D8" s="107">
        <f>SUBTOTAL(109,Tableau_Lancer_la_requête_à_partir_de_Excel_Files1025[''Coût total éligible''])</f>
        <v>0</v>
      </c>
      <c r="E8" s="107">
        <f>SUBTOTAL(109,Tableau_Lancer_la_requête_à_partir_de_Excel_Files1025[Aide 
publique])</f>
        <v>0</v>
      </c>
      <c r="F8" s="108"/>
      <c r="G8" s="107">
        <f>SUBTOTAL(109,Tableau_Lancer_la_requête_à_partir_de_Excel_Files1025[Aide Massif])</f>
        <v>0</v>
      </c>
      <c r="H8" s="108"/>
      <c r="I8" s="107">
        <f>SUBTOTAL(109,Tableau_Lancer_la_requête_à_partir_de_Excel_Files1025[''FEDER''])</f>
        <v>0</v>
      </c>
      <c r="J8" s="107">
        <f>SUBTOTAL(109,Tableau_Lancer_la_requête_à_partir_de_Excel_Files1025[Total Etat])</f>
        <v>0</v>
      </c>
      <c r="K8" s="105"/>
      <c r="L8" s="107">
        <f>SUBTOTAL(109,Tableau_Lancer_la_requête_à_partir_de_Excel_Files1025[''Agriculture''])</f>
        <v>0</v>
      </c>
      <c r="M8" s="107">
        <f>SUBTOTAL(109,Tableau_Lancer_la_requête_à_partir_de_Excel_Files1025[Total Régions])</f>
        <v>0</v>
      </c>
      <c r="N8" s="107">
        <f>SUBTOTAL(109,Tableau_Lancer_la_requête_à_partir_de_Excel_Files1025[''ALPC''])</f>
        <v>0</v>
      </c>
      <c r="O8" s="107">
        <f>SUBTOTAL(109,Tableau_Lancer_la_requête_à_partir_de_Excel_Files1025[''AURA''])</f>
        <v>0</v>
      </c>
      <c r="P8" s="107">
        <f>SUBTOTAL(109,Tableau_Lancer_la_requête_à_partir_de_Excel_Files1025[''BFC''])</f>
        <v>0</v>
      </c>
      <c r="Q8" s="107">
        <f>SUBTOTAL(109,Tableau_Lancer_la_requête_à_partir_de_Excel_Files1025[''LRMP''])</f>
        <v>0</v>
      </c>
      <c r="R8" s="107">
        <f>SUBTOTAL(109,Tableau_Lancer_la_requête_à_partir_de_Excel_Files1025[Total Dpts])</f>
        <v>0</v>
      </c>
      <c r="S8" s="107">
        <f>SUBTOTAL(109,Tableau_Lancer_la_requête_à_partir_de_Excel_Files1025[''03''])</f>
        <v>0</v>
      </c>
      <c r="T8" s="107">
        <f>SUBTOTAL(109,Tableau_Lancer_la_requête_à_partir_de_Excel_Files1025[''07''])</f>
        <v>0</v>
      </c>
      <c r="U8" s="107">
        <f>SUBTOTAL(109,Tableau_Lancer_la_requête_à_partir_de_Excel_Files1025[''11''])</f>
        <v>0</v>
      </c>
      <c r="V8" s="107">
        <f>SUBTOTAL(109,Tableau_Lancer_la_requête_à_partir_de_Excel_Files1025[''12''])</f>
        <v>0</v>
      </c>
      <c r="W8" s="107">
        <f>SUBTOTAL(109,Tableau_Lancer_la_requête_à_partir_de_Excel_Files1025[''15''])</f>
        <v>0</v>
      </c>
      <c r="X8" s="107">
        <f>SUBTOTAL(109,Tableau_Lancer_la_requête_à_partir_de_Excel_Files1025[''19''])</f>
        <v>0</v>
      </c>
      <c r="Y8" s="107">
        <f>SUBTOTAL(109,Tableau_Lancer_la_requête_à_partir_de_Excel_Files1025[''21''])</f>
        <v>0</v>
      </c>
      <c r="Z8" s="107">
        <f>SUBTOTAL(109,Tableau_Lancer_la_requête_à_partir_de_Excel_Files1025[''23''])</f>
        <v>0</v>
      </c>
      <c r="AA8" s="107">
        <f>SUBTOTAL(109,Tableau_Lancer_la_requête_à_partir_de_Excel_Files1025[''30''])</f>
        <v>0</v>
      </c>
      <c r="AB8" s="107">
        <f>SUBTOTAL(109,Tableau_Lancer_la_requête_à_partir_de_Excel_Files1025[''34''])</f>
        <v>0</v>
      </c>
      <c r="AC8" s="107">
        <f>SUBTOTAL(109,Tableau_Lancer_la_requête_à_partir_de_Excel_Files1025[''42''])</f>
        <v>0</v>
      </c>
      <c r="AD8" s="107">
        <f>SUBTOTAL(109,Tableau_Lancer_la_requête_à_partir_de_Excel_Files1025[''43''])</f>
        <v>0</v>
      </c>
      <c r="AE8" s="107">
        <f>SUBTOTAL(109,Tableau_Lancer_la_requête_à_partir_de_Excel_Files1025[''46''])</f>
        <v>0</v>
      </c>
      <c r="AF8" s="107">
        <f>SUBTOTAL(109,Tableau_Lancer_la_requête_à_partir_de_Excel_Files1025[''48''])</f>
        <v>0</v>
      </c>
      <c r="AG8" s="107">
        <f>SUBTOTAL(109,Tableau_Lancer_la_requête_à_partir_de_Excel_Files1025[''58''])</f>
        <v>0</v>
      </c>
      <c r="AH8" s="107">
        <f>SUBTOTAL(109,Tableau_Lancer_la_requête_à_partir_de_Excel_Files1025[''63''])</f>
        <v>0</v>
      </c>
      <c r="AI8" s="107">
        <f>SUBTOTAL(109,Tableau_Lancer_la_requête_à_partir_de_Excel_Files1025[''69''])</f>
        <v>0</v>
      </c>
      <c r="AJ8" s="107">
        <f>SUBTOTAL(109,Tableau_Lancer_la_requête_à_partir_de_Excel_Files1025[''71''])</f>
        <v>0</v>
      </c>
      <c r="AK8" s="107">
        <f>SUBTOTAL(109,Tableau_Lancer_la_requête_à_partir_de_Excel_Files1025[''81''])</f>
        <v>0</v>
      </c>
      <c r="AL8" s="107">
        <f>SUBTOTAL(109,Tableau_Lancer_la_requête_à_partir_de_Excel_Files1025[''82''])</f>
        <v>0</v>
      </c>
      <c r="AM8" s="107">
        <f>SUBTOTAL(109,Tableau_Lancer_la_requête_à_partir_de_Excel_Files1025[''87''])</f>
        <v>0</v>
      </c>
      <c r="AN8" s="107">
        <f>SUBTOTAL(109,Tableau_Lancer_la_requête_à_partir_de_Excel_Files1025[''89''])</f>
        <v>0</v>
      </c>
      <c r="AO8" s="107">
        <f>SUBTOTAL(109,Tableau_Lancer_la_requête_à_partir_de_Excel_Files1025[''Autre Public''])</f>
        <v>0</v>
      </c>
      <c r="AP8" s="105"/>
      <c r="AQ8" s="109"/>
      <c r="AS8" s="25"/>
    </row>
    <row r="9" spans="1:82" s="10" customFormat="1" x14ac:dyDescent="0.25">
      <c r="A9" s="3"/>
      <c r="B9" s="4"/>
      <c r="C9" s="5"/>
      <c r="D9" s="3"/>
      <c r="E9" s="3"/>
      <c r="F9" s="6"/>
      <c r="G9" s="3"/>
      <c r="H9" s="6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S9" s="24"/>
    </row>
    <row r="10" spans="1:82" s="10" customFormat="1" x14ac:dyDescent="0.25">
      <c r="A10" s="3"/>
      <c r="B10" s="4"/>
      <c r="C10" s="5"/>
      <c r="D10" s="3"/>
      <c r="E10" s="3"/>
      <c r="F10" s="6"/>
      <c r="G10" s="3"/>
      <c r="H10" s="6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S10" s="25"/>
    </row>
    <row r="11" spans="1:82" s="10" customFormat="1" x14ac:dyDescent="0.25">
      <c r="A11" s="3"/>
      <c r="B11" s="4"/>
      <c r="C11" s="5"/>
      <c r="D11" s="3"/>
      <c r="E11" s="3"/>
      <c r="F11" s="6"/>
      <c r="G11" s="3"/>
      <c r="H11" s="6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S11" s="24"/>
    </row>
    <row r="12" spans="1:82" x14ac:dyDescent="0.25">
      <c r="AS12" s="25"/>
      <c r="BZ12" s="4"/>
      <c r="CD12" s="3"/>
    </row>
    <row r="13" spans="1:82" x14ac:dyDescent="0.25">
      <c r="AS13" s="24"/>
      <c r="BZ13" s="4"/>
      <c r="CD13" s="3"/>
    </row>
    <row r="14" spans="1:82" x14ac:dyDescent="0.25">
      <c r="AS14" s="26"/>
      <c r="BZ14" s="4"/>
      <c r="CD14" s="3"/>
    </row>
    <row r="15" spans="1:82" x14ac:dyDescent="0.25">
      <c r="AS15" s="27"/>
      <c r="BZ15" s="4"/>
      <c r="CD15" s="3"/>
    </row>
    <row r="16" spans="1:82" x14ac:dyDescent="0.25">
      <c r="AS16" s="25"/>
      <c r="BZ16" s="4"/>
      <c r="CD16" s="3"/>
    </row>
    <row r="17" spans="1:82" s="7" customFormat="1" ht="15.75" thickBot="1" x14ac:dyDescent="0.3">
      <c r="A17" s="3"/>
      <c r="B17" s="4"/>
      <c r="C17" s="5"/>
      <c r="D17" s="3"/>
      <c r="E17" s="3"/>
      <c r="F17" s="6"/>
      <c r="G17" s="3"/>
      <c r="H17" s="6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S17" s="24"/>
    </row>
    <row r="18" spans="1:82" s="10" customFormat="1" ht="15.75" thickTop="1" x14ac:dyDescent="0.25">
      <c r="A18" s="3"/>
      <c r="B18" s="4"/>
      <c r="C18" s="5"/>
      <c r="D18" s="3"/>
      <c r="E18" s="3" t="s">
        <v>80</v>
      </c>
      <c r="F18" s="6" t="s">
        <v>79</v>
      </c>
      <c r="G18" s="3"/>
      <c r="H18" s="6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S18" s="28"/>
    </row>
    <row r="19" spans="1:82" x14ac:dyDescent="0.25">
      <c r="D19" t="s">
        <v>55</v>
      </c>
      <c r="E19" s="3">
        <f>SUMIF(Tableau_Lancer_la_requête_à_partir_de_Excel_Files1025[Avis Prog],"1-Favorable",Tableau_Lancer_la_requête_à_partir_de_Excel_Files1025[''FEDER''])</f>
        <v>0</v>
      </c>
      <c r="F19" s="3">
        <f>SUMIF(Tableau_Lancer_la_requête_à_partir_de_Excel_Files1025[Avis Cofimac],"1-Favorable",Tableau_Lancer_la_requête_à_partir_de_Excel_Files1025[''FEDER''])</f>
        <v>0</v>
      </c>
      <c r="CC19" s="4"/>
      <c r="CD19" s="3"/>
    </row>
    <row r="20" spans="1:82" x14ac:dyDescent="0.25">
      <c r="D20" t="s">
        <v>44</v>
      </c>
      <c r="E20" s="3">
        <f>SUMIF(Tableau_Lancer_la_requête_à_partir_de_Excel_Files1025[Avis Prog],"1-Favorable",Tableau_Lancer_la_requête_à_partir_de_Excel_Files1025[Total Etat])</f>
        <v>0</v>
      </c>
      <c r="F20" s="3">
        <f>SUMIF(Tableau_Lancer_la_requête_à_partir_de_Excel_Files1025[Avis Cofimac],"1-Favorable",Tableau_Lancer_la_requête_à_partir_de_Excel_Files1025[Total Etat])</f>
        <v>0</v>
      </c>
    </row>
    <row r="21" spans="1:82" x14ac:dyDescent="0.25">
      <c r="D21" t="s">
        <v>45</v>
      </c>
      <c r="E21" s="3">
        <f>SUMIF(Tableau_Lancer_la_requête_à_partir_de_Excel_Files1025[Avis Prog],"1-Favorable",Tableau_Lancer_la_requête_à_partir_de_Excel_Files1025[Total Régions])</f>
        <v>0</v>
      </c>
      <c r="F21" s="3">
        <f>SUMIF(Tableau_Lancer_la_requête_à_partir_de_Excel_Files1025[Avis Cofimac],"1-Favorable",Tableau_Lancer_la_requête_à_partir_de_Excel_Files1025[Total Régions])</f>
        <v>0</v>
      </c>
    </row>
    <row r="22" spans="1:82" x14ac:dyDescent="0.25">
      <c r="D22" s="3" t="s">
        <v>56</v>
      </c>
      <c r="E22" s="3">
        <f>SUMIF(Tableau_Lancer_la_requête_à_partir_de_Excel_Files1025[Avis Prog],"1-Favorable",Tableau_Lancer_la_requête_à_partir_de_Excel_Files1025[''ALPC''])</f>
        <v>0</v>
      </c>
      <c r="F22" s="3">
        <f>SUMIF(Tableau_Lancer_la_requête_à_partir_de_Excel_Files1025[Avis Cofimac],"1-Favorable",Tableau_Lancer_la_requête_à_partir_de_Excel_Files1025[''ALPC''])</f>
        <v>0</v>
      </c>
    </row>
    <row r="23" spans="1:82" x14ac:dyDescent="0.25">
      <c r="D23" s="3" t="s">
        <v>57</v>
      </c>
      <c r="E23" s="3">
        <f>SUMIF(Tableau_Lancer_la_requête_à_partir_de_Excel_Files1025[Avis Prog],"1-Favorable",Tableau_Lancer_la_requête_à_partir_de_Excel_Files1025[''AURA''])</f>
        <v>0</v>
      </c>
      <c r="F23" s="3">
        <f>SUMIF(Tableau_Lancer_la_requête_à_partir_de_Excel_Files1025[Avis Cofimac],"1-Favorable",Tableau_Lancer_la_requête_à_partir_de_Excel_Files1025[''AURA''])</f>
        <v>0</v>
      </c>
    </row>
    <row r="24" spans="1:82" x14ac:dyDescent="0.25">
      <c r="D24" s="3" t="s">
        <v>58</v>
      </c>
      <c r="E24" s="3">
        <f>SUMIF(Tableau_Lancer_la_requête_à_partir_de_Excel_Files1025[Avis Prog],"1-Favorable",Tableau_Lancer_la_requête_à_partir_de_Excel_Files1025[''BFC''])</f>
        <v>0</v>
      </c>
      <c r="F24" s="3">
        <f>SUMIF(Tableau_Lancer_la_requête_à_partir_de_Excel_Files1025[Avis Cofimac],"1-Favorable",Tableau_Lancer_la_requête_à_partir_de_Excel_Files1025[''BFC''])</f>
        <v>0</v>
      </c>
    </row>
    <row r="25" spans="1:82" x14ac:dyDescent="0.25">
      <c r="D25" s="3" t="s">
        <v>59</v>
      </c>
      <c r="E25" s="3">
        <f>SUMIF(Tableau_Lancer_la_requête_à_partir_de_Excel_Files1025[Avis Prog],"1-Favorable",Tableau_Lancer_la_requête_à_partir_de_Excel_Files1025[''LRMP''])</f>
        <v>0</v>
      </c>
      <c r="F25" s="3">
        <f>SUMIF(Tableau_Lancer_la_requête_à_partir_de_Excel_Files1025[Avis Cofimac],"1-Favorable",Tableau_Lancer_la_requête_à_partir_de_Excel_Files1025[''LRMP''])</f>
        <v>0</v>
      </c>
    </row>
    <row r="26" spans="1:82" x14ac:dyDescent="0.25">
      <c r="D26" t="s">
        <v>46</v>
      </c>
      <c r="E26" s="3">
        <f>SUMIF(Tableau_Lancer_la_requête_à_partir_de_Excel_Files1025[Avis Prog],"1-Favorable",Tableau_Lancer_la_requête_à_partir_de_Excel_Files1025[Total Dpts])</f>
        <v>0</v>
      </c>
      <c r="F26" s="3">
        <f>SUMIF(Tableau_Lancer_la_requête_à_partir_de_Excel_Files1025[Avis Cofimac],"1-Favorable",Tableau_Lancer_la_requête_à_partir_de_Excel_Files1025[Total Dpts])</f>
        <v>0</v>
      </c>
    </row>
    <row r="27" spans="1:82" x14ac:dyDescent="0.25">
      <c r="D27" t="s">
        <v>20</v>
      </c>
      <c r="E27" s="3">
        <f>SUMIF(Tableau_Lancer_la_requête_à_partir_de_Excel_Files1025[Avis Prog],"1-Favorable",Tableau_Lancer_la_requête_à_partir_de_Excel_Files1025[''03''])</f>
        <v>0</v>
      </c>
      <c r="F27" s="3">
        <f>SUMIF(Tableau_Lancer_la_requête_à_partir_de_Excel_Files1025[Avis Cofimac],"1-Favorable",Tableau_Lancer_la_requête_à_partir_de_Excel_Files1025[''03''])</f>
        <v>0</v>
      </c>
    </row>
    <row r="28" spans="1:82" hidden="1" x14ac:dyDescent="0.25">
      <c r="D28" t="s">
        <v>21</v>
      </c>
      <c r="E28" s="3">
        <f>SUMIF(Tableau_Lancer_la_requête_à_partir_de_Excel_Files1025[Avis Prog],"1-Favorable",Tableau_Lancer_la_requête_à_partir_de_Excel_Files1025[''07''])</f>
        <v>0</v>
      </c>
      <c r="F28" s="3">
        <f>SUMIF(Tableau_Lancer_la_requête_à_partir_de_Excel_Files1025[Avis Cofimac],"1-Favorable",Tableau_Lancer_la_requête_à_partir_de_Excel_Files1025[''07''])</f>
        <v>0</v>
      </c>
    </row>
    <row r="29" spans="1:82" hidden="1" x14ac:dyDescent="0.25">
      <c r="D29" t="s">
        <v>22</v>
      </c>
      <c r="E29" s="3">
        <f>SUMIF(Tableau_Lancer_la_requête_à_partir_de_Excel_Files1025[Avis Prog],"1-Favorable",Tableau_Lancer_la_requête_à_partir_de_Excel_Files1025[''11''])</f>
        <v>0</v>
      </c>
      <c r="F29" s="3">
        <f>SUMIF(Tableau_Lancer_la_requête_à_partir_de_Excel_Files1025[Avis Cofimac],"1-Favorable",Tableau_Lancer_la_requête_à_partir_de_Excel_Files1025[''11''])</f>
        <v>0</v>
      </c>
    </row>
    <row r="30" spans="1:82" hidden="1" x14ac:dyDescent="0.25">
      <c r="D30" t="s">
        <v>23</v>
      </c>
      <c r="E30" s="3">
        <f>SUMIF(Tableau_Lancer_la_requête_à_partir_de_Excel_Files1025[Avis Prog],"1-Favorable",Tableau_Lancer_la_requête_à_partir_de_Excel_Files1025[''12''])</f>
        <v>0</v>
      </c>
      <c r="F30" s="3">
        <f>SUMIF(Tableau_Lancer_la_requête_à_partir_de_Excel_Files1025[Avis Cofimac],"1-Favorable",Tableau_Lancer_la_requête_à_partir_de_Excel_Files1025[''12''])</f>
        <v>0</v>
      </c>
    </row>
    <row r="31" spans="1:82" hidden="1" x14ac:dyDescent="0.25">
      <c r="D31" t="s">
        <v>24</v>
      </c>
      <c r="E31" s="3">
        <f>SUMIF(Tableau_Lancer_la_requête_à_partir_de_Excel_Files1025[Avis Prog],"1-Favorable",Tableau_Lancer_la_requête_à_partir_de_Excel_Files1025[''15''])</f>
        <v>0</v>
      </c>
      <c r="F31" s="3">
        <f>SUMIF(Tableau_Lancer_la_requête_à_partir_de_Excel_Files1025[Avis Cofimac],"1-Favorable",Tableau_Lancer_la_requête_à_partir_de_Excel_Files1025[''15''])</f>
        <v>0</v>
      </c>
    </row>
    <row r="32" spans="1:82" hidden="1" x14ac:dyDescent="0.25">
      <c r="D32" t="s">
        <v>25</v>
      </c>
      <c r="E32" s="3">
        <f>SUMIF(Tableau_Lancer_la_requête_à_partir_de_Excel_Files1025[Avis Prog],"1-Favorable",Tableau_Lancer_la_requête_à_partir_de_Excel_Files1025[''19''])</f>
        <v>0</v>
      </c>
      <c r="F32" s="3">
        <f>SUMIF(Tableau_Lancer_la_requête_à_partir_de_Excel_Files1025[Avis Cofimac],"1-Favorable",Tableau_Lancer_la_requête_à_partir_de_Excel_Files1025[''19''])</f>
        <v>0</v>
      </c>
    </row>
    <row r="33" spans="4:6" hidden="1" x14ac:dyDescent="0.25">
      <c r="D33" t="s">
        <v>26</v>
      </c>
      <c r="E33" s="3">
        <f>SUMIF(Tableau_Lancer_la_requête_à_partir_de_Excel_Files1025[Avis Prog],"1-Favorable",Tableau_Lancer_la_requête_à_partir_de_Excel_Files1025[''21''])</f>
        <v>0</v>
      </c>
      <c r="F33" s="3">
        <f>SUMIF(Tableau_Lancer_la_requête_à_partir_de_Excel_Files1025[Avis Cofimac],"1-Favorable",Tableau_Lancer_la_requête_à_partir_de_Excel_Files1025[''21''])</f>
        <v>0</v>
      </c>
    </row>
    <row r="34" spans="4:6" hidden="1" x14ac:dyDescent="0.25">
      <c r="D34" t="s">
        <v>27</v>
      </c>
      <c r="E34" s="3">
        <f>SUMIF(Tableau_Lancer_la_requête_à_partir_de_Excel_Files1025[Avis Prog],"1-Favorable",Tableau_Lancer_la_requête_à_partir_de_Excel_Files1025[''23''])</f>
        <v>0</v>
      </c>
      <c r="F34" s="3">
        <f>SUMIF(Tableau_Lancer_la_requête_à_partir_de_Excel_Files1025[Avis Cofimac],"1-Favorable",Tableau_Lancer_la_requête_à_partir_de_Excel_Files1025[''23''])</f>
        <v>0</v>
      </c>
    </row>
    <row r="35" spans="4:6" hidden="1" x14ac:dyDescent="0.25">
      <c r="D35" t="s">
        <v>28</v>
      </c>
      <c r="E35" s="3">
        <f>SUMIF(Tableau_Lancer_la_requête_à_partir_de_Excel_Files1025[Avis Prog],"1-Favorable",Tableau_Lancer_la_requête_à_partir_de_Excel_Files1025[''30''])</f>
        <v>0</v>
      </c>
      <c r="F35" s="3">
        <f>SUMIF(Tableau_Lancer_la_requête_à_partir_de_Excel_Files1025[Avis Cofimac],"1-Favorable",Tableau_Lancer_la_requête_à_partir_de_Excel_Files1025[''30''])</f>
        <v>0</v>
      </c>
    </row>
    <row r="36" spans="4:6" hidden="1" x14ac:dyDescent="0.25">
      <c r="D36" t="s">
        <v>29</v>
      </c>
      <c r="E36" s="3">
        <f>SUMIF(Tableau_Lancer_la_requête_à_partir_de_Excel_Files1025[Avis Prog],"1-Favorable",Tableau_Lancer_la_requête_à_partir_de_Excel_Files1025[''34''])</f>
        <v>0</v>
      </c>
      <c r="F36" s="3">
        <f>SUMIF(Tableau_Lancer_la_requête_à_partir_de_Excel_Files1025[Avis Cofimac],"1-Favorable",Tableau_Lancer_la_requête_à_partir_de_Excel_Files1025[''34''])</f>
        <v>0</v>
      </c>
    </row>
    <row r="37" spans="4:6" hidden="1" x14ac:dyDescent="0.25">
      <c r="D37" t="s">
        <v>30</v>
      </c>
      <c r="E37" s="3">
        <f>SUMIF(Tableau_Lancer_la_requête_à_partir_de_Excel_Files1025[Avis Prog],"1-Favorable",Tableau_Lancer_la_requête_à_partir_de_Excel_Files1025[''42''])</f>
        <v>0</v>
      </c>
      <c r="F37" s="3">
        <f>SUMIF(Tableau_Lancer_la_requête_à_partir_de_Excel_Files1025[Avis Cofimac],"1-Favorable",Tableau_Lancer_la_requête_à_partir_de_Excel_Files1025[''42''])</f>
        <v>0</v>
      </c>
    </row>
    <row r="38" spans="4:6" hidden="1" x14ac:dyDescent="0.25">
      <c r="D38" t="s">
        <v>31</v>
      </c>
      <c r="E38" s="3">
        <f>SUMIF(Tableau_Lancer_la_requête_à_partir_de_Excel_Files1025[Avis Prog],"1-Favorable",Tableau_Lancer_la_requête_à_partir_de_Excel_Files1025[''43''])</f>
        <v>0</v>
      </c>
      <c r="F38" s="3">
        <f>SUMIF(Tableau_Lancer_la_requête_à_partir_de_Excel_Files1025[Avis Cofimac],"1-Favorable",Tableau_Lancer_la_requête_à_partir_de_Excel_Files1025[''43''])</f>
        <v>0</v>
      </c>
    </row>
    <row r="39" spans="4:6" hidden="1" x14ac:dyDescent="0.25">
      <c r="D39" t="s">
        <v>32</v>
      </c>
      <c r="E39" s="3">
        <f>SUMIF(Tableau_Lancer_la_requête_à_partir_de_Excel_Files1025[Avis Prog],"1-Favorable",Tableau_Lancer_la_requête_à_partir_de_Excel_Files1025[''46''])</f>
        <v>0</v>
      </c>
      <c r="F39" s="3">
        <f>SUMIF(Tableau_Lancer_la_requête_à_partir_de_Excel_Files1025[Avis Cofimac],"1-Favorable",Tableau_Lancer_la_requête_à_partir_de_Excel_Files1025[''46''])</f>
        <v>0</v>
      </c>
    </row>
    <row r="40" spans="4:6" hidden="1" x14ac:dyDescent="0.25">
      <c r="D40" t="s">
        <v>33</v>
      </c>
      <c r="E40" s="3">
        <f>SUMIF(Tableau_Lancer_la_requête_à_partir_de_Excel_Files1025[Avis Prog],"1-Favorable",Tableau_Lancer_la_requête_à_partir_de_Excel_Files1025[''48''])</f>
        <v>0</v>
      </c>
      <c r="F40" s="3">
        <f>SUMIF(Tableau_Lancer_la_requête_à_partir_de_Excel_Files1025[Avis Cofimac],"1-Favorable",Tableau_Lancer_la_requête_à_partir_de_Excel_Files1025[''48''])</f>
        <v>0</v>
      </c>
    </row>
    <row r="41" spans="4:6" hidden="1" x14ac:dyDescent="0.25">
      <c r="D41" t="s">
        <v>34</v>
      </c>
      <c r="E41" s="3">
        <f>SUMIF(Tableau_Lancer_la_requête_à_partir_de_Excel_Files1025[Avis Prog],"1-Favorable",Tableau_Lancer_la_requête_à_partir_de_Excel_Files1025[''58''])</f>
        <v>0</v>
      </c>
      <c r="F41" s="3">
        <f>SUMIF(Tableau_Lancer_la_requête_à_partir_de_Excel_Files1025[Avis Cofimac],"1-Favorable",Tableau_Lancer_la_requête_à_partir_de_Excel_Files1025[''58''])</f>
        <v>0</v>
      </c>
    </row>
    <row r="42" spans="4:6" hidden="1" x14ac:dyDescent="0.25">
      <c r="D42" t="s">
        <v>35</v>
      </c>
      <c r="E42" s="3">
        <f>SUMIF(Tableau_Lancer_la_requête_à_partir_de_Excel_Files1025[Avis Prog],"1-Favorable",Tableau_Lancer_la_requête_à_partir_de_Excel_Files1025[''63''])</f>
        <v>0</v>
      </c>
      <c r="F42" s="3">
        <f>SUMIF(Tableau_Lancer_la_requête_à_partir_de_Excel_Files1025[Avis Cofimac],"1-Favorable",Tableau_Lancer_la_requête_à_partir_de_Excel_Files1025[''63''])</f>
        <v>0</v>
      </c>
    </row>
    <row r="43" spans="4:6" hidden="1" x14ac:dyDescent="0.25">
      <c r="D43" t="s">
        <v>36</v>
      </c>
      <c r="E43" s="3">
        <f>SUMIF(Tableau_Lancer_la_requête_à_partir_de_Excel_Files1025[Avis Prog],"1-Favorable",Tableau_Lancer_la_requête_à_partir_de_Excel_Files1025[''69''])</f>
        <v>0</v>
      </c>
      <c r="F43" s="3">
        <f>SUMIF(Tableau_Lancer_la_requête_à_partir_de_Excel_Files1025[Avis Cofimac],"1-Favorable",Tableau_Lancer_la_requête_à_partir_de_Excel_Files1025[''69''])</f>
        <v>0</v>
      </c>
    </row>
    <row r="44" spans="4:6" hidden="1" x14ac:dyDescent="0.25">
      <c r="D44" t="s">
        <v>37</v>
      </c>
      <c r="E44" s="3">
        <f>SUMIF(Tableau_Lancer_la_requête_à_partir_de_Excel_Files1025[Avis Prog],"1-Favorable",Tableau_Lancer_la_requête_à_partir_de_Excel_Files1025[''71''])</f>
        <v>0</v>
      </c>
      <c r="F44" s="3">
        <f>SUMIF(Tableau_Lancer_la_requête_à_partir_de_Excel_Files1025[Avis Cofimac],"1-Favorable",Tableau_Lancer_la_requête_à_partir_de_Excel_Files1025[''71''])</f>
        <v>0</v>
      </c>
    </row>
    <row r="45" spans="4:6" hidden="1" x14ac:dyDescent="0.25">
      <c r="D45" t="s">
        <v>38</v>
      </c>
      <c r="E45" s="3">
        <f>SUMIF(Tableau_Lancer_la_requête_à_partir_de_Excel_Files1025[Avis Prog],"1-Favorable",Tableau_Lancer_la_requête_à_partir_de_Excel_Files1025[''81''])</f>
        <v>0</v>
      </c>
      <c r="F45" s="3">
        <f>SUMIF(Tableau_Lancer_la_requête_à_partir_de_Excel_Files1025[Avis Cofimac],"1-Favorable",Tableau_Lancer_la_requête_à_partir_de_Excel_Files1025[''81''])</f>
        <v>0</v>
      </c>
    </row>
    <row r="46" spans="4:6" hidden="1" x14ac:dyDescent="0.25">
      <c r="D46" t="s">
        <v>39</v>
      </c>
      <c r="E46" s="3">
        <f>SUMIF(Tableau_Lancer_la_requête_à_partir_de_Excel_Files1025[Avis Prog],"1-Favorable",Tableau_Lancer_la_requête_à_partir_de_Excel_Files1025[''82''])</f>
        <v>0</v>
      </c>
      <c r="F46" s="3">
        <f>SUMIF(Tableau_Lancer_la_requête_à_partir_de_Excel_Files1025[Avis Cofimac],"1-Favorable",Tableau_Lancer_la_requête_à_partir_de_Excel_Files1025[''82''])</f>
        <v>0</v>
      </c>
    </row>
    <row r="47" spans="4:6" hidden="1" x14ac:dyDescent="0.25">
      <c r="D47" t="s">
        <v>40</v>
      </c>
      <c r="E47" s="3">
        <f>SUMIF(Tableau_Lancer_la_requête_à_partir_de_Excel_Files1025[Avis Prog],"1-Favorable",Tableau_Lancer_la_requête_à_partir_de_Excel_Files1025[''87''])</f>
        <v>0</v>
      </c>
      <c r="F47" s="3">
        <f>SUMIF(Tableau_Lancer_la_requête_à_partir_de_Excel_Files1025[Avis Cofimac],"1-Favorable",Tableau_Lancer_la_requête_à_partir_de_Excel_Files1025[''87''])</f>
        <v>0</v>
      </c>
    </row>
    <row r="48" spans="4:6" hidden="1" x14ac:dyDescent="0.25">
      <c r="D48" t="s">
        <v>41</v>
      </c>
      <c r="E48" s="3">
        <f>SUMIF(Tableau_Lancer_la_requête_à_partir_de_Excel_Files1025[Avis Prog],"1-Favorable",Tableau_Lancer_la_requête_à_partir_de_Excel_Files1025[''89''])</f>
        <v>0</v>
      </c>
      <c r="F48" s="3">
        <f>SUMIF(Tableau_Lancer_la_requête_à_partir_de_Excel_Files1025[Avis Cofimac],"1-Favorable",Tableau_Lancer_la_requête_à_partir_de_Excel_Files1025[''89''])</f>
        <v>0</v>
      </c>
    </row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</sheetData>
  <conditionalFormatting sqref="K7 AP7:AQ7">
    <cfRule type="cellIs" dxfId="1100" priority="17" operator="equal">
      <formula>"6-Retiré/Abandon"</formula>
    </cfRule>
    <cfRule type="cellIs" dxfId="1099" priority="18" operator="equal">
      <formula>"5-Défavorable"</formula>
    </cfRule>
    <cfRule type="cellIs" dxfId="1098" priority="19" operator="equal">
      <formula>"4-Ajournement"</formula>
    </cfRule>
    <cfRule type="cellIs" dxfId="1097" priority="20" operator="equal">
      <formula>"1-Favorable"</formula>
    </cfRule>
  </conditionalFormatting>
  <conditionalFormatting sqref="AS7:AS13 AS16">
    <cfRule type="cellIs" dxfId="1096" priority="5" operator="equal">
      <formula>"6-Retiré/Abandon"</formula>
    </cfRule>
    <cfRule type="cellIs" dxfId="1095" priority="6" operator="equal">
      <formula>"5-Défavorable"</formula>
    </cfRule>
    <cfRule type="cellIs" dxfId="1094" priority="7" operator="equal">
      <formula>"4-Ajournement"</formula>
    </cfRule>
    <cfRule type="cellIs" dxfId="1093" priority="8" operator="equal">
      <formula>"1-Favorable"</formula>
    </cfRule>
  </conditionalFormatting>
  <conditionalFormatting sqref="AS17">
    <cfRule type="cellIs" dxfId="1092" priority="1" operator="equal">
      <formula>"6-Retiré/Abandon"</formula>
    </cfRule>
    <cfRule type="cellIs" dxfId="1091" priority="2" operator="equal">
      <formula>"5-Défavorable"</formula>
    </cfRule>
    <cfRule type="cellIs" dxfId="1090" priority="3" operator="equal">
      <formula>"4-Ajournement"</formula>
    </cfRule>
    <cfRule type="cellIs" dxfId="1089" priority="4" operator="equal">
      <formula>"1-Favorable"</formula>
    </cfRule>
  </conditionalFormatting>
  <dataValidations count="1">
    <dataValidation type="list" allowBlank="1" showInputMessage="1" showErrorMessage="1" sqref="AQ7">
      <formula1>"1-Favorable,4-Ajournement,5-Défavorable,6-Retiré/Abandon"</formula1>
    </dataValidation>
  </dataValidations>
  <printOptions horizontalCentered="1" verticalCentered="1"/>
  <pageMargins left="0.25" right="0.25" top="0.75" bottom="0.75" header="0.3" footer="0.3"/>
  <pageSetup paperSize="8" scale="62" fitToHeight="0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63"/>
  <sheetViews>
    <sheetView view="pageBreakPreview" topLeftCell="A13" zoomScale="80" zoomScaleNormal="60" zoomScaleSheetLayoutView="80" workbookViewId="0">
      <selection activeCell="E16" sqref="E16"/>
    </sheetView>
  </sheetViews>
  <sheetFormatPr baseColWidth="10" defaultRowHeight="15" outlineLevelCol="1" x14ac:dyDescent="0.25"/>
  <cols>
    <col min="1" max="1" width="17.28515625" style="3" bestFit="1" customWidth="1"/>
    <col min="2" max="2" width="13.140625" style="4" customWidth="1"/>
    <col min="3" max="3" width="17.7109375" style="5" bestFit="1" customWidth="1"/>
    <col min="4" max="4" width="36.7109375" style="3" customWidth="1"/>
    <col min="5" max="5" width="40.42578125" style="3" customWidth="1"/>
    <col min="6" max="6" width="13.5703125" style="6" customWidth="1"/>
    <col min="7" max="7" width="15.28515625" style="3" customWidth="1"/>
    <col min="8" max="8" width="11.28515625" style="6" customWidth="1"/>
    <col min="9" max="9" width="13.85546875" style="3" bestFit="1" customWidth="1"/>
    <col min="10" max="10" width="15" style="3" customWidth="1"/>
    <col min="11" max="11" width="11.5703125" style="3" customWidth="1"/>
    <col min="12" max="12" width="16.5703125" style="3" customWidth="1"/>
    <col min="13" max="13" width="13.7109375" style="3" hidden="1" customWidth="1" outlineLevel="1"/>
    <col min="14" max="14" width="11.140625" style="3" hidden="1" customWidth="1" outlineLevel="1"/>
    <col min="15" max="15" width="11.85546875" style="3" customWidth="1" collapsed="1"/>
    <col min="16" max="16" width="10" style="3" hidden="1" customWidth="1" outlineLevel="1"/>
    <col min="17" max="17" width="11.7109375" style="3" hidden="1" customWidth="1" outlineLevel="1"/>
    <col min="18" max="18" width="16.140625" style="3" hidden="1" customWidth="1" outlineLevel="1"/>
    <col min="19" max="19" width="8.7109375" style="3" hidden="1" customWidth="1" outlineLevel="1"/>
    <col min="20" max="20" width="8.7109375" style="3" customWidth="1" collapsed="1"/>
    <col min="21" max="40" width="8.7109375" style="3" hidden="1" customWidth="1" outlineLevel="1"/>
    <col min="41" max="41" width="13.140625" style="3" hidden="1" customWidth="1" outlineLevel="1"/>
    <col min="42" max="42" width="11.5703125" style="3" hidden="1" customWidth="1" outlineLevel="1"/>
    <col min="43" max="43" width="13.7109375" style="3" customWidth="1" collapsed="1"/>
    <col min="44" max="44" width="15.42578125" style="3" customWidth="1"/>
    <col min="45" max="45" width="16.28515625" style="3" customWidth="1"/>
    <col min="46" max="46" width="18.7109375" style="10" hidden="1" customWidth="1"/>
    <col min="47" max="47" width="11.5703125" style="3" bestFit="1" customWidth="1"/>
    <col min="48" max="48" width="48.85546875" style="3" customWidth="1"/>
    <col min="49" max="49" width="9.42578125" style="3" customWidth="1"/>
    <col min="50" max="64" width="9.7109375" style="3" customWidth="1"/>
    <col min="65" max="65" width="15.140625" style="3" customWidth="1"/>
    <col min="66" max="66" width="14.5703125" style="3" customWidth="1"/>
    <col min="67" max="67" width="18.5703125" style="3" customWidth="1"/>
    <col min="68" max="68" width="12.5703125" style="3" customWidth="1"/>
    <col min="69" max="69" width="20.42578125" style="3" customWidth="1"/>
    <col min="70" max="70" width="12.7109375" style="3" customWidth="1"/>
    <col min="71" max="71" width="9.28515625" style="3" customWidth="1"/>
    <col min="72" max="72" width="14.28515625" style="3" customWidth="1"/>
    <col min="73" max="73" width="11.42578125" style="3" customWidth="1"/>
    <col min="74" max="74" width="9" style="3" customWidth="1"/>
    <col min="75" max="75" width="9.5703125" style="3" customWidth="1"/>
    <col min="76" max="76" width="11" style="3" customWidth="1"/>
    <col min="77" max="77" width="12.7109375" style="3" customWidth="1"/>
    <col min="78" max="80" width="9.7109375" style="3" customWidth="1"/>
    <col min="81" max="81" width="15.140625" style="3" customWidth="1"/>
    <col min="82" max="82" width="17.28515625" style="3" customWidth="1"/>
    <col min="83" max="83" width="49.28515625" style="4" customWidth="1"/>
    <col min="84" max="84" width="17.28515625" style="3" customWidth="1"/>
    <col min="85" max="16384" width="11.42578125" style="3"/>
  </cols>
  <sheetData>
    <row r="1" spans="1:83" ht="18.75" x14ac:dyDescent="0.3">
      <c r="A1" s="146" t="s">
        <v>73</v>
      </c>
      <c r="B1" s="146"/>
      <c r="C1" s="22">
        <f>Feuil1!A2</f>
        <v>42832</v>
      </c>
    </row>
    <row r="5" spans="1:83" x14ac:dyDescent="0.25">
      <c r="A5" s="1" t="s">
        <v>68</v>
      </c>
      <c r="B5" s="2"/>
    </row>
    <row r="6" spans="1:83" s="7" customFormat="1" ht="30" x14ac:dyDescent="0.25">
      <c r="A6" s="7" t="s">
        <v>0</v>
      </c>
      <c r="B6" s="7" t="s">
        <v>122</v>
      </c>
      <c r="C6" s="7" t="s">
        <v>7</v>
      </c>
      <c r="D6" s="7" t="s">
        <v>1</v>
      </c>
      <c r="E6" s="7" t="s">
        <v>2</v>
      </c>
      <c r="F6" s="7" t="s">
        <v>50</v>
      </c>
      <c r="G6" s="7" t="s">
        <v>52</v>
      </c>
      <c r="H6" s="7" t="s">
        <v>51</v>
      </c>
      <c r="I6" s="7" t="s">
        <v>48</v>
      </c>
      <c r="J6" s="7" t="s">
        <v>53</v>
      </c>
      <c r="K6" s="7" t="s">
        <v>42</v>
      </c>
      <c r="L6" s="7" t="s">
        <v>63</v>
      </c>
      <c r="M6" s="7" t="s">
        <v>67</v>
      </c>
      <c r="N6" s="7" t="s">
        <v>15</v>
      </c>
      <c r="O6" s="7" t="s">
        <v>64</v>
      </c>
      <c r="P6" s="7" t="s">
        <v>18</v>
      </c>
      <c r="Q6" s="7" t="s">
        <v>16</v>
      </c>
      <c r="R6" s="7" t="s">
        <v>17</v>
      </c>
      <c r="S6" s="7" t="s">
        <v>19</v>
      </c>
      <c r="T6" s="7" t="s">
        <v>65</v>
      </c>
      <c r="U6" s="7" t="s">
        <v>20</v>
      </c>
      <c r="V6" s="7" t="s">
        <v>21</v>
      </c>
      <c r="W6" s="7" t="s">
        <v>22</v>
      </c>
      <c r="X6" s="7" t="s">
        <v>23</v>
      </c>
      <c r="Y6" s="7" t="s">
        <v>24</v>
      </c>
      <c r="Z6" s="7" t="s">
        <v>25</v>
      </c>
      <c r="AA6" s="7" t="s">
        <v>26</v>
      </c>
      <c r="AB6" s="7" t="s">
        <v>27</v>
      </c>
      <c r="AC6" s="7" t="s">
        <v>28</v>
      </c>
      <c r="AD6" s="7" t="s">
        <v>29</v>
      </c>
      <c r="AE6" s="7" t="s">
        <v>30</v>
      </c>
      <c r="AF6" s="7" t="s">
        <v>31</v>
      </c>
      <c r="AG6" s="7" t="s">
        <v>32</v>
      </c>
      <c r="AH6" s="7" t="s">
        <v>33</v>
      </c>
      <c r="AI6" s="7" t="s">
        <v>34</v>
      </c>
      <c r="AJ6" s="7" t="s">
        <v>35</v>
      </c>
      <c r="AK6" s="7" t="s">
        <v>36</v>
      </c>
      <c r="AL6" s="7" t="s">
        <v>37</v>
      </c>
      <c r="AM6" s="7" t="s">
        <v>38</v>
      </c>
      <c r="AN6" s="7" t="s">
        <v>39</v>
      </c>
      <c r="AO6" s="7" t="s">
        <v>40</v>
      </c>
      <c r="AP6" s="7" t="s">
        <v>41</v>
      </c>
      <c r="AQ6" s="7" t="s">
        <v>43</v>
      </c>
      <c r="AR6" s="7" t="s">
        <v>47</v>
      </c>
      <c r="AS6" s="17" t="s">
        <v>54</v>
      </c>
      <c r="AU6" s="30" t="s">
        <v>88</v>
      </c>
      <c r="AV6" s="30" t="s">
        <v>62</v>
      </c>
    </row>
    <row r="7" spans="1:83" s="10" customFormat="1" ht="30" x14ac:dyDescent="0.25">
      <c r="A7" s="140" t="s">
        <v>110</v>
      </c>
      <c r="B7" s="140" t="s">
        <v>126</v>
      </c>
      <c r="C7" s="13" t="s">
        <v>239</v>
      </c>
      <c r="D7" s="54" t="s">
        <v>220</v>
      </c>
      <c r="E7" s="54" t="s">
        <v>221</v>
      </c>
      <c r="F7" s="50">
        <v>162000.14000000001</v>
      </c>
      <c r="G7" s="50">
        <f>Tableau_Lancer_la_requête_à_partir_de_Excel_Files10256[[#This Row],[Aide Massif]]+Tableau_Lancer_la_requête_à_partir_de_Excel_Files10256[[#This Row],[''Autre Public'']]</f>
        <v>113400</v>
      </c>
      <c r="H7" s="51">
        <f>Tableau_Lancer_la_requête_à_partir_de_Excel_Files10256[[#This Row],[Aide 
publique]]/Tableau_Lancer_la_requête_à_partir_de_Excel_Files10256[[#This Row],[''Coût total éligible'']]</f>
        <v>0.69999939506225117</v>
      </c>
      <c r="I7" s="50">
        <f>Tableau_Lancer_la_requête_à_partir_de_Excel_Files10256[[#This Row],[''FEDER'']]+Tableau_Lancer_la_requête_à_partir_de_Excel_Files10256[[#This Row],[Total Etat]]+Tableau_Lancer_la_requête_à_partir_de_Excel_Files10256[[#This Row],[Total Régions]]+Tableau_Lancer_la_requête_à_partir_de_Excel_Files10256[[#This Row],[Total Dpts]]</f>
        <v>113400</v>
      </c>
      <c r="J7" s="51">
        <f>Tableau_Lancer_la_requête_à_partir_de_Excel_Files10256[[#This Row],[Aide Massif]]/Tableau_Lancer_la_requête_à_partir_de_Excel_Files10256[[#This Row],[''Coût total éligible'']]</f>
        <v>0.69999939506225117</v>
      </c>
      <c r="K7" s="50">
        <v>0</v>
      </c>
      <c r="L7" s="50">
        <f>Tableau_Lancer_la_requête_à_partir_de_Excel_Files10256[[#This Row],[''FNADT '']]+Tableau_Lancer_la_requête_à_partir_de_Excel_Files10256[[#This Row],[''Agriculture'']]</f>
        <v>93400</v>
      </c>
      <c r="M7" s="50">
        <v>93400</v>
      </c>
      <c r="N7" s="50"/>
      <c r="O7" s="50">
        <f>Tableau_Lancer_la_requête_à_partir_de_Excel_Files10256[[#This Row],[''ALPC'']]+Tableau_Lancer_la_requête_à_partir_de_Excel_Files10256[[#This Row],[''AURA'']]+Tableau_Lancer_la_requête_à_partir_de_Excel_Files10256[[#This Row],[''BFC'']]+Tableau_Lancer_la_requête_à_partir_de_Excel_Files10256[[#This Row],[''LRMP'']]</f>
        <v>20000</v>
      </c>
      <c r="P7" s="50"/>
      <c r="Q7" s="50">
        <v>20000</v>
      </c>
      <c r="R7" s="50"/>
      <c r="S7" s="50"/>
      <c r="T7" s="50">
        <f>Tableau_Lancer_la_requête_à_partir_de_Excel_Files10256[[#This Row],[''03'']]+Tableau_Lancer_la_requête_à_partir_de_Excel_Files10256[[#This Row],[''07'']]+Tableau_Lancer_la_requête_à_partir_de_Excel_Files10256[[#This Row],[''11'']]+Tableau_Lancer_la_requête_à_partir_de_Excel_Files10256[[#This Row],[''12'']]+Tableau_Lancer_la_requête_à_partir_de_Excel_Files10256[[#This Row],[''15'']]+Tableau_Lancer_la_requête_à_partir_de_Excel_Files10256[[#This Row],[''19'']]+Tableau_Lancer_la_requête_à_partir_de_Excel_Files10256[[#This Row],[''21'']]+Tableau_Lancer_la_requête_à_partir_de_Excel_Files10256[[#This Row],[''23'']]+Tableau_Lancer_la_requête_à_partir_de_Excel_Files10256[[#This Row],[''30'']]+Tableau_Lancer_la_requête_à_partir_de_Excel_Files10256[[#This Row],[''34'']]+Tableau_Lancer_la_requête_à_partir_de_Excel_Files10256[[#This Row],[''42'']]+Tableau_Lancer_la_requête_à_partir_de_Excel_Files10256[[#This Row],[''43'']]+Tableau_Lancer_la_requête_à_partir_de_Excel_Files10256[[#This Row],[''46'']]+Tableau_Lancer_la_requête_à_partir_de_Excel_Files10256[[#This Row],[''48'']]+Tableau_Lancer_la_requête_à_partir_de_Excel_Files10256[[#This Row],[''58'']]+Tableau_Lancer_la_requête_à_partir_de_Excel_Files10256[[#This Row],[''63'']]+Tableau_Lancer_la_requête_à_partir_de_Excel_Files10256[[#This Row],[''69'']]+Tableau_Lancer_la_requête_à_partir_de_Excel_Files10256[[#This Row],[''71'']]+Tableau_Lancer_la_requête_à_partir_de_Excel_Files10256[[#This Row],[''81'']]+Tableau_Lancer_la_requête_à_partir_de_Excel_Files10256[[#This Row],[''82'']]+Tableau_Lancer_la_requête_à_partir_de_Excel_Files10256[[#This Row],[''87'']]+Tableau_Lancer_la_requête_à_partir_de_Excel_Files10256[[#This Row],[''89'']]</f>
        <v>0</v>
      </c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>
        <v>0</v>
      </c>
      <c r="AR7" s="10" t="s">
        <v>231</v>
      </c>
      <c r="AS7" s="11" t="s">
        <v>231</v>
      </c>
      <c r="AU7" s="133">
        <v>42736</v>
      </c>
      <c r="AV7" s="124"/>
    </row>
    <row r="8" spans="1:83" s="10" customFormat="1" ht="30" x14ac:dyDescent="0.25">
      <c r="A8" s="140" t="s">
        <v>89</v>
      </c>
      <c r="B8" s="140" t="s">
        <v>244</v>
      </c>
      <c r="C8" s="6" t="s">
        <v>219</v>
      </c>
      <c r="D8" s="55" t="s">
        <v>220</v>
      </c>
      <c r="E8" s="55" t="s">
        <v>221</v>
      </c>
      <c r="F8" s="49">
        <v>162000.14000000001</v>
      </c>
      <c r="G8" s="49">
        <f>Tableau_Lancer_la_requête_à_partir_de_Excel_Files10256[[#This Row],[Aide Massif]]+Tableau_Lancer_la_requête_à_partir_de_Excel_Files10256[[#This Row],[''Autre Public'']]</f>
        <v>113400</v>
      </c>
      <c r="H8" s="56">
        <f>Tableau_Lancer_la_requête_à_partir_de_Excel_Files10256[[#This Row],[Aide 
publique]]/Tableau_Lancer_la_requête_à_partir_de_Excel_Files10256[[#This Row],[''Coût total éligible'']]</f>
        <v>0.69999939506225117</v>
      </c>
      <c r="I8" s="49">
        <f>Tableau_Lancer_la_requête_à_partir_de_Excel_Files10256[[#This Row],[''FEDER'']]+Tableau_Lancer_la_requête_à_partir_de_Excel_Files10256[[#This Row],[Total Etat]]+Tableau_Lancer_la_requête_à_partir_de_Excel_Files10256[[#This Row],[Total Régions]]+Tableau_Lancer_la_requête_à_partir_de_Excel_Files10256[[#This Row],[Total Dpts]]</f>
        <v>113400</v>
      </c>
      <c r="J8" s="56">
        <f>Tableau_Lancer_la_requête_à_partir_de_Excel_Files10256[[#This Row],[Aide Massif]]/Tableau_Lancer_la_requête_à_partir_de_Excel_Files10256[[#This Row],[''Coût total éligible'']]</f>
        <v>0.69999939506225117</v>
      </c>
      <c r="K8" s="49">
        <v>0</v>
      </c>
      <c r="L8" s="49">
        <f>Tableau_Lancer_la_requête_à_partir_de_Excel_Files10256[[#This Row],[''FNADT '']]+Tableau_Lancer_la_requête_à_partir_de_Excel_Files10256[[#This Row],[''Agriculture'']]</f>
        <v>93400</v>
      </c>
      <c r="M8" s="49">
        <v>93400</v>
      </c>
      <c r="N8" s="49"/>
      <c r="O8" s="49">
        <f>Tableau_Lancer_la_requête_à_partir_de_Excel_Files10256[[#This Row],[''ALPC'']]+Tableau_Lancer_la_requête_à_partir_de_Excel_Files10256[[#This Row],[''AURA'']]+Tableau_Lancer_la_requête_à_partir_de_Excel_Files10256[[#This Row],[''BFC'']]+Tableau_Lancer_la_requête_à_partir_de_Excel_Files10256[[#This Row],[''LRMP'']]</f>
        <v>20000</v>
      </c>
      <c r="P8" s="49"/>
      <c r="Q8" s="49">
        <v>20000</v>
      </c>
      <c r="R8" s="49"/>
      <c r="S8" s="49"/>
      <c r="T8" s="49">
        <f>Tableau_Lancer_la_requête_à_partir_de_Excel_Files10256[[#This Row],[''03'']]+Tableau_Lancer_la_requête_à_partir_de_Excel_Files10256[[#This Row],[''07'']]+Tableau_Lancer_la_requête_à_partir_de_Excel_Files10256[[#This Row],[''11'']]+Tableau_Lancer_la_requête_à_partir_de_Excel_Files10256[[#This Row],[''12'']]+Tableau_Lancer_la_requête_à_partir_de_Excel_Files10256[[#This Row],[''15'']]+Tableau_Lancer_la_requête_à_partir_de_Excel_Files10256[[#This Row],[''19'']]+Tableau_Lancer_la_requête_à_partir_de_Excel_Files10256[[#This Row],[''21'']]+Tableau_Lancer_la_requête_à_partir_de_Excel_Files10256[[#This Row],[''23'']]+Tableau_Lancer_la_requête_à_partir_de_Excel_Files10256[[#This Row],[''30'']]+Tableau_Lancer_la_requête_à_partir_de_Excel_Files10256[[#This Row],[''34'']]+Tableau_Lancer_la_requête_à_partir_de_Excel_Files10256[[#This Row],[''42'']]+Tableau_Lancer_la_requête_à_partir_de_Excel_Files10256[[#This Row],[''43'']]+Tableau_Lancer_la_requête_à_partir_de_Excel_Files10256[[#This Row],[''46'']]+Tableau_Lancer_la_requête_à_partir_de_Excel_Files10256[[#This Row],[''48'']]+Tableau_Lancer_la_requête_à_partir_de_Excel_Files10256[[#This Row],[''58'']]+Tableau_Lancer_la_requête_à_partir_de_Excel_Files10256[[#This Row],[''63'']]+Tableau_Lancer_la_requête_à_partir_de_Excel_Files10256[[#This Row],[''69'']]+Tableau_Lancer_la_requête_à_partir_de_Excel_Files10256[[#This Row],[''71'']]+Tableau_Lancer_la_requête_à_partir_de_Excel_Files10256[[#This Row],[''81'']]+Tableau_Lancer_la_requête_à_partir_de_Excel_Files10256[[#This Row],[''82'']]+Tableau_Lancer_la_requête_à_partir_de_Excel_Files10256[[#This Row],[''87'']]+Tableau_Lancer_la_requête_à_partir_de_Excel_Files10256[[#This Row],[''89'']]</f>
        <v>0</v>
      </c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>
        <v>0</v>
      </c>
      <c r="AR8" s="10" t="s">
        <v>103</v>
      </c>
      <c r="AS8" s="10" t="s">
        <v>236</v>
      </c>
      <c r="AU8" s="134">
        <v>42736</v>
      </c>
      <c r="AV8" s="125"/>
    </row>
    <row r="9" spans="1:83" s="10" customFormat="1" ht="30" x14ac:dyDescent="0.25">
      <c r="A9" s="140" t="s">
        <v>110</v>
      </c>
      <c r="B9" s="140" t="s">
        <v>126</v>
      </c>
      <c r="C9" s="6" t="s">
        <v>208</v>
      </c>
      <c r="D9" s="55" t="s">
        <v>209</v>
      </c>
      <c r="E9" s="55" t="s">
        <v>210</v>
      </c>
      <c r="F9" s="49">
        <v>244120.76</v>
      </c>
      <c r="G9" s="49">
        <f>Tableau_Lancer_la_requête_à_partir_de_Excel_Files10256[[#This Row],[Aide Massif]]+Tableau_Lancer_la_requête_à_partir_de_Excel_Files10256[[#This Row],[''Autre Public'']]</f>
        <v>0</v>
      </c>
      <c r="H9" s="56">
        <f>Tableau_Lancer_la_requête_à_partir_de_Excel_Files10256[[#This Row],[Aide 
publique]]/Tableau_Lancer_la_requête_à_partir_de_Excel_Files10256[[#This Row],[''Coût total éligible'']]</f>
        <v>0</v>
      </c>
      <c r="I9" s="49">
        <f>Tableau_Lancer_la_requête_à_partir_de_Excel_Files10256[[#This Row],[''FEDER'']]+Tableau_Lancer_la_requête_à_partir_de_Excel_Files10256[[#This Row],[Total Etat]]+Tableau_Lancer_la_requête_à_partir_de_Excel_Files10256[[#This Row],[Total Régions]]+Tableau_Lancer_la_requête_à_partir_de_Excel_Files10256[[#This Row],[Total Dpts]]</f>
        <v>0</v>
      </c>
      <c r="J9" s="56">
        <f>Tableau_Lancer_la_requête_à_partir_de_Excel_Files10256[[#This Row],[Aide Massif]]/Tableau_Lancer_la_requête_à_partir_de_Excel_Files10256[[#This Row],[''Coût total éligible'']]</f>
        <v>0</v>
      </c>
      <c r="K9" s="49">
        <v>0</v>
      </c>
      <c r="L9" s="49">
        <f>Tableau_Lancer_la_requête_à_partir_de_Excel_Files10256[[#This Row],[''FNADT '']]+Tableau_Lancer_la_requête_à_partir_de_Excel_Files10256[[#This Row],[''Agriculture'']]</f>
        <v>0</v>
      </c>
      <c r="M9" s="49"/>
      <c r="N9" s="49"/>
      <c r="O9" s="49">
        <f>Tableau_Lancer_la_requête_à_partir_de_Excel_Files10256[[#This Row],[''ALPC'']]+Tableau_Lancer_la_requête_à_partir_de_Excel_Files10256[[#This Row],[''AURA'']]+Tableau_Lancer_la_requête_à_partir_de_Excel_Files10256[[#This Row],[''BFC'']]+Tableau_Lancer_la_requête_à_partir_de_Excel_Files10256[[#This Row],[''LRMP'']]</f>
        <v>0</v>
      </c>
      <c r="P9" s="49"/>
      <c r="Q9" s="49"/>
      <c r="R9" s="49"/>
      <c r="S9" s="49"/>
      <c r="T9" s="49">
        <f>Tableau_Lancer_la_requête_à_partir_de_Excel_Files10256[[#This Row],[''03'']]+Tableau_Lancer_la_requête_à_partir_de_Excel_Files10256[[#This Row],[''07'']]+Tableau_Lancer_la_requête_à_partir_de_Excel_Files10256[[#This Row],[''11'']]+Tableau_Lancer_la_requête_à_partir_de_Excel_Files10256[[#This Row],[''12'']]+Tableau_Lancer_la_requête_à_partir_de_Excel_Files10256[[#This Row],[''15'']]+Tableau_Lancer_la_requête_à_partir_de_Excel_Files10256[[#This Row],[''19'']]+Tableau_Lancer_la_requête_à_partir_de_Excel_Files10256[[#This Row],[''21'']]+Tableau_Lancer_la_requête_à_partir_de_Excel_Files10256[[#This Row],[''23'']]+Tableau_Lancer_la_requête_à_partir_de_Excel_Files10256[[#This Row],[''30'']]+Tableau_Lancer_la_requête_à_partir_de_Excel_Files10256[[#This Row],[''34'']]+Tableau_Lancer_la_requête_à_partir_de_Excel_Files10256[[#This Row],[''42'']]+Tableau_Lancer_la_requête_à_partir_de_Excel_Files10256[[#This Row],[''43'']]+Tableau_Lancer_la_requête_à_partir_de_Excel_Files10256[[#This Row],[''46'']]+Tableau_Lancer_la_requête_à_partir_de_Excel_Files10256[[#This Row],[''48'']]+Tableau_Lancer_la_requête_à_partir_de_Excel_Files10256[[#This Row],[''58'']]+Tableau_Lancer_la_requête_à_partir_de_Excel_Files10256[[#This Row],[''63'']]+Tableau_Lancer_la_requête_à_partir_de_Excel_Files10256[[#This Row],[''69'']]+Tableau_Lancer_la_requête_à_partir_de_Excel_Files10256[[#This Row],[''71'']]+Tableau_Lancer_la_requête_à_partir_de_Excel_Files10256[[#This Row],[''81'']]+Tableau_Lancer_la_requête_à_partir_de_Excel_Files10256[[#This Row],[''82'']]+Tableau_Lancer_la_requête_à_partir_de_Excel_Files10256[[#This Row],[''87'']]+Tableau_Lancer_la_requête_à_partir_de_Excel_Files10256[[#This Row],[''89'']]</f>
        <v>0</v>
      </c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>
        <v>0</v>
      </c>
      <c r="AR9" s="10" t="s">
        <v>103</v>
      </c>
      <c r="AS9" s="10" t="s">
        <v>103</v>
      </c>
      <c r="AU9" s="133"/>
      <c r="AV9" s="124" t="s">
        <v>238</v>
      </c>
    </row>
    <row r="10" spans="1:83" s="10" customFormat="1" ht="30" x14ac:dyDescent="0.25">
      <c r="A10" s="140" t="s">
        <v>110</v>
      </c>
      <c r="B10" s="140" t="s">
        <v>126</v>
      </c>
      <c r="C10" s="6" t="s">
        <v>240</v>
      </c>
      <c r="D10" s="55" t="s">
        <v>152</v>
      </c>
      <c r="E10" s="55" t="s">
        <v>153</v>
      </c>
      <c r="F10" s="49">
        <v>69796.84</v>
      </c>
      <c r="G10" s="49">
        <f>Tableau_Lancer_la_requête_à_partir_de_Excel_Files10256[[#This Row],[Aide Massif]]+Tableau_Lancer_la_requête_à_partir_de_Excel_Files10256[[#This Row],[''Autre Public'']]</f>
        <v>48857.79</v>
      </c>
      <c r="H10" s="56">
        <f>Tableau_Lancer_la_requête_à_partir_de_Excel_Files10256[[#This Row],[Aide 
publique]]/Tableau_Lancer_la_requête_à_partir_de_Excel_Files10256[[#This Row],[''Coût total éligible'']]</f>
        <v>0.70000002865459243</v>
      </c>
      <c r="I10" s="49">
        <f>Tableau_Lancer_la_requête_à_partir_de_Excel_Files10256[[#This Row],[''FEDER'']]+Tableau_Lancer_la_requête_à_partir_de_Excel_Files10256[[#This Row],[Total Etat]]+Tableau_Lancer_la_requête_à_partir_de_Excel_Files10256[[#This Row],[Total Régions]]+Tableau_Lancer_la_requête_à_partir_de_Excel_Files10256[[#This Row],[Total Dpts]]</f>
        <v>48857.79</v>
      </c>
      <c r="J10" s="56">
        <f>Tableau_Lancer_la_requête_à_partir_de_Excel_Files10256[[#This Row],[Aide Massif]]/Tableau_Lancer_la_requête_à_partir_de_Excel_Files10256[[#This Row],[''Coût total éligible'']]</f>
        <v>0.70000002865459243</v>
      </c>
      <c r="K10" s="49">
        <v>0</v>
      </c>
      <c r="L10" s="49">
        <f>Tableau_Lancer_la_requête_à_partir_de_Excel_Files10256[[#This Row],[''FNADT '']]+Tableau_Lancer_la_requête_à_partir_de_Excel_Files10256[[#This Row],[''Agriculture'']]</f>
        <v>48857.79</v>
      </c>
      <c r="M10" s="49">
        <v>48857.79</v>
      </c>
      <c r="N10" s="49"/>
      <c r="O10" s="49">
        <f>Tableau_Lancer_la_requête_à_partir_de_Excel_Files10256[[#This Row],[''ALPC'']]+Tableau_Lancer_la_requête_à_partir_de_Excel_Files10256[[#This Row],[''AURA'']]+Tableau_Lancer_la_requête_à_partir_de_Excel_Files10256[[#This Row],[''BFC'']]+Tableau_Lancer_la_requête_à_partir_de_Excel_Files10256[[#This Row],[''LRMP'']]</f>
        <v>0</v>
      </c>
      <c r="P10" s="49"/>
      <c r="Q10" s="49"/>
      <c r="R10" s="49"/>
      <c r="S10" s="49"/>
      <c r="T10" s="49">
        <f>Tableau_Lancer_la_requête_à_partir_de_Excel_Files10256[[#This Row],[''03'']]+Tableau_Lancer_la_requête_à_partir_de_Excel_Files10256[[#This Row],[''07'']]+Tableau_Lancer_la_requête_à_partir_de_Excel_Files10256[[#This Row],[''11'']]+Tableau_Lancer_la_requête_à_partir_de_Excel_Files10256[[#This Row],[''12'']]+Tableau_Lancer_la_requête_à_partir_de_Excel_Files10256[[#This Row],[''15'']]+Tableau_Lancer_la_requête_à_partir_de_Excel_Files10256[[#This Row],[''19'']]+Tableau_Lancer_la_requête_à_partir_de_Excel_Files10256[[#This Row],[''21'']]+Tableau_Lancer_la_requête_à_partir_de_Excel_Files10256[[#This Row],[''23'']]+Tableau_Lancer_la_requête_à_partir_de_Excel_Files10256[[#This Row],[''30'']]+Tableau_Lancer_la_requête_à_partir_de_Excel_Files10256[[#This Row],[''34'']]+Tableau_Lancer_la_requête_à_partir_de_Excel_Files10256[[#This Row],[''42'']]+Tableau_Lancer_la_requête_à_partir_de_Excel_Files10256[[#This Row],[''43'']]+Tableau_Lancer_la_requête_à_partir_de_Excel_Files10256[[#This Row],[''46'']]+Tableau_Lancer_la_requête_à_partir_de_Excel_Files10256[[#This Row],[''48'']]+Tableau_Lancer_la_requête_à_partir_de_Excel_Files10256[[#This Row],[''58'']]+Tableau_Lancer_la_requête_à_partir_de_Excel_Files10256[[#This Row],[''63'']]+Tableau_Lancer_la_requête_à_partir_de_Excel_Files10256[[#This Row],[''69'']]+Tableau_Lancer_la_requête_à_partir_de_Excel_Files10256[[#This Row],[''71'']]+Tableau_Lancer_la_requête_à_partir_de_Excel_Files10256[[#This Row],[''81'']]+Tableau_Lancer_la_requête_à_partir_de_Excel_Files10256[[#This Row],[''82'']]+Tableau_Lancer_la_requête_à_partir_de_Excel_Files10256[[#This Row],[''87'']]+Tableau_Lancer_la_requête_à_partir_de_Excel_Files10256[[#This Row],[''89'']]</f>
        <v>0</v>
      </c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>
        <v>0</v>
      </c>
      <c r="AR10" s="10" t="s">
        <v>231</v>
      </c>
      <c r="AS10" s="10" t="s">
        <v>231</v>
      </c>
      <c r="AU10" s="134"/>
      <c r="AV10" s="125" t="s">
        <v>237</v>
      </c>
    </row>
    <row r="11" spans="1:83" s="10" customFormat="1" ht="30" x14ac:dyDescent="0.25">
      <c r="A11" s="140" t="s">
        <v>89</v>
      </c>
      <c r="B11" s="140" t="s">
        <v>244</v>
      </c>
      <c r="C11" s="129" t="s">
        <v>151</v>
      </c>
      <c r="D11" s="130" t="s">
        <v>152</v>
      </c>
      <c r="E11" s="130" t="s">
        <v>153</v>
      </c>
      <c r="F11" s="131">
        <v>69796.84</v>
      </c>
      <c r="G11" s="131">
        <f>Tableau_Lancer_la_requête_à_partir_de_Excel_Files10256[[#This Row],[Aide Massif]]+Tableau_Lancer_la_requête_à_partir_de_Excel_Files10256[[#This Row],[''Autre Public'']]</f>
        <v>48857.79</v>
      </c>
      <c r="H11" s="132">
        <f>Tableau_Lancer_la_requête_à_partir_de_Excel_Files10256[[#This Row],[Aide 
publique]]/Tableau_Lancer_la_requête_à_partir_de_Excel_Files10256[[#This Row],[''Coût total éligible'']]</f>
        <v>0.70000002865459243</v>
      </c>
      <c r="I11" s="131">
        <f>Tableau_Lancer_la_requête_à_partir_de_Excel_Files10256[[#This Row],[''FEDER'']]+Tableau_Lancer_la_requête_à_partir_de_Excel_Files10256[[#This Row],[Total Etat]]+Tableau_Lancer_la_requête_à_partir_de_Excel_Files10256[[#This Row],[Total Régions]]+Tableau_Lancer_la_requête_à_partir_de_Excel_Files10256[[#This Row],[Total Dpts]]</f>
        <v>48857.79</v>
      </c>
      <c r="J11" s="132">
        <f>Tableau_Lancer_la_requête_à_partir_de_Excel_Files10256[[#This Row],[Aide Massif]]/Tableau_Lancer_la_requête_à_partir_de_Excel_Files10256[[#This Row],[''Coût total éligible'']]</f>
        <v>0.70000002865459243</v>
      </c>
      <c r="K11" s="131">
        <v>0</v>
      </c>
      <c r="L11" s="131">
        <f>Tableau_Lancer_la_requête_à_partir_de_Excel_Files10256[[#This Row],[''FNADT '']]+Tableau_Lancer_la_requête_à_partir_de_Excel_Files10256[[#This Row],[''Agriculture'']]</f>
        <v>48857.79</v>
      </c>
      <c r="M11" s="131">
        <v>48857.79</v>
      </c>
      <c r="N11" s="131"/>
      <c r="O11" s="131">
        <f>Tableau_Lancer_la_requête_à_partir_de_Excel_Files10256[[#This Row],[''ALPC'']]+Tableau_Lancer_la_requête_à_partir_de_Excel_Files10256[[#This Row],[''AURA'']]+Tableau_Lancer_la_requête_à_partir_de_Excel_Files10256[[#This Row],[''BFC'']]+Tableau_Lancer_la_requête_à_partir_de_Excel_Files10256[[#This Row],[''LRMP'']]</f>
        <v>0</v>
      </c>
      <c r="P11" s="131"/>
      <c r="Q11" s="131"/>
      <c r="R11" s="131"/>
      <c r="S11" s="131"/>
      <c r="T11" s="131">
        <f>Tableau_Lancer_la_requête_à_partir_de_Excel_Files10256[[#This Row],[''03'']]+Tableau_Lancer_la_requête_à_partir_de_Excel_Files10256[[#This Row],[''07'']]+Tableau_Lancer_la_requête_à_partir_de_Excel_Files10256[[#This Row],[''11'']]+Tableau_Lancer_la_requête_à_partir_de_Excel_Files10256[[#This Row],[''12'']]+Tableau_Lancer_la_requête_à_partir_de_Excel_Files10256[[#This Row],[''15'']]+Tableau_Lancer_la_requête_à_partir_de_Excel_Files10256[[#This Row],[''19'']]+Tableau_Lancer_la_requête_à_partir_de_Excel_Files10256[[#This Row],[''21'']]+Tableau_Lancer_la_requête_à_partir_de_Excel_Files10256[[#This Row],[''23'']]+Tableau_Lancer_la_requête_à_partir_de_Excel_Files10256[[#This Row],[''30'']]+Tableau_Lancer_la_requête_à_partir_de_Excel_Files10256[[#This Row],[''34'']]+Tableau_Lancer_la_requête_à_partir_de_Excel_Files10256[[#This Row],[''42'']]+Tableau_Lancer_la_requête_à_partir_de_Excel_Files10256[[#This Row],[''43'']]+Tableau_Lancer_la_requête_à_partir_de_Excel_Files10256[[#This Row],[''46'']]+Tableau_Lancer_la_requête_à_partir_de_Excel_Files10256[[#This Row],[''48'']]+Tableau_Lancer_la_requête_à_partir_de_Excel_Files10256[[#This Row],[''58'']]+Tableau_Lancer_la_requête_à_partir_de_Excel_Files10256[[#This Row],[''63'']]+Tableau_Lancer_la_requête_à_partir_de_Excel_Files10256[[#This Row],[''69'']]+Tableau_Lancer_la_requête_à_partir_de_Excel_Files10256[[#This Row],[''71'']]+Tableau_Lancer_la_requête_à_partir_de_Excel_Files10256[[#This Row],[''81'']]+Tableau_Lancer_la_requête_à_partir_de_Excel_Files10256[[#This Row],[''82'']]+Tableau_Lancer_la_requête_à_partir_de_Excel_Files10256[[#This Row],[''87'']]+Tableau_Lancer_la_requête_à_partir_de_Excel_Files10256[[#This Row],[''89'']]</f>
        <v>0</v>
      </c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>
        <v>0</v>
      </c>
      <c r="AR11" s="128" t="s">
        <v>241</v>
      </c>
      <c r="AS11" s="128" t="s">
        <v>241</v>
      </c>
      <c r="AU11" s="133">
        <v>42736</v>
      </c>
      <c r="AV11" s="124"/>
    </row>
    <row r="12" spans="1:83" ht="60" x14ac:dyDescent="0.25">
      <c r="A12" s="140" t="s">
        <v>110</v>
      </c>
      <c r="B12" s="139"/>
      <c r="C12" s="6" t="s">
        <v>154</v>
      </c>
      <c r="D12" s="55" t="s">
        <v>155</v>
      </c>
      <c r="E12" s="55" t="s">
        <v>156</v>
      </c>
      <c r="F12" s="49">
        <v>90418.46</v>
      </c>
      <c r="G12" s="49">
        <f>Tableau_Lancer_la_requête_à_partir_de_Excel_Files10256[[#This Row],[Aide Massif]]+Tableau_Lancer_la_requête_à_partir_de_Excel_Files10256[[#This Row],[''Autre Public'']]</f>
        <v>54410.12</v>
      </c>
      <c r="H12" s="56">
        <f>Tableau_Lancer_la_requête_à_partir_de_Excel_Files10256[[#This Row],[Aide 
publique]]/Tableau_Lancer_la_requête_à_partir_de_Excel_Files10256[[#This Row],[''Coût total éligible'']]</f>
        <v>0.60175897709383674</v>
      </c>
      <c r="I12" s="49">
        <f>Tableau_Lancer_la_requête_à_partir_de_Excel_Files10256[[#This Row],[''FEDER'']]+Tableau_Lancer_la_requête_à_partir_de_Excel_Files10256[[#This Row],[Total Etat]]+Tableau_Lancer_la_requête_à_partir_de_Excel_Files10256[[#This Row],[Total Régions]]+Tableau_Lancer_la_requête_à_partir_de_Excel_Files10256[[#This Row],[Total Dpts]]</f>
        <v>54410.12</v>
      </c>
      <c r="J12" s="56">
        <f>Tableau_Lancer_la_requête_à_partir_de_Excel_Files10256[[#This Row],[Aide Massif]]/Tableau_Lancer_la_requête_à_partir_de_Excel_Files10256[[#This Row],[''Coût total éligible'']]</f>
        <v>0.60175897709383674</v>
      </c>
      <c r="K12" s="49">
        <v>0</v>
      </c>
      <c r="L12" s="49">
        <f>Tableau_Lancer_la_requête_à_partir_de_Excel_Files10256[[#This Row],[''FNADT '']]+Tableau_Lancer_la_requête_à_partir_de_Excel_Files10256[[#This Row],[''Agriculture'']]</f>
        <v>54410.12</v>
      </c>
      <c r="M12" s="49">
        <v>54410.12</v>
      </c>
      <c r="N12" s="49"/>
      <c r="O12" s="49">
        <f>Tableau_Lancer_la_requête_à_partir_de_Excel_Files10256[[#This Row],[''ALPC'']]+Tableau_Lancer_la_requête_à_partir_de_Excel_Files10256[[#This Row],[''AURA'']]+Tableau_Lancer_la_requête_à_partir_de_Excel_Files10256[[#This Row],[''BFC'']]+Tableau_Lancer_la_requête_à_partir_de_Excel_Files10256[[#This Row],[''LRMP'']]</f>
        <v>0</v>
      </c>
      <c r="P12" s="49"/>
      <c r="Q12" s="49"/>
      <c r="R12" s="49"/>
      <c r="S12" s="49"/>
      <c r="T12" s="49">
        <f>Tableau_Lancer_la_requête_à_partir_de_Excel_Files10256[[#This Row],[''03'']]+Tableau_Lancer_la_requête_à_partir_de_Excel_Files10256[[#This Row],[''07'']]+Tableau_Lancer_la_requête_à_partir_de_Excel_Files10256[[#This Row],[''11'']]+Tableau_Lancer_la_requête_à_partir_de_Excel_Files10256[[#This Row],[''12'']]+Tableau_Lancer_la_requête_à_partir_de_Excel_Files10256[[#This Row],[''15'']]+Tableau_Lancer_la_requête_à_partir_de_Excel_Files10256[[#This Row],[''19'']]+Tableau_Lancer_la_requête_à_partir_de_Excel_Files10256[[#This Row],[''21'']]+Tableau_Lancer_la_requête_à_partir_de_Excel_Files10256[[#This Row],[''23'']]+Tableau_Lancer_la_requête_à_partir_de_Excel_Files10256[[#This Row],[''30'']]+Tableau_Lancer_la_requête_à_partir_de_Excel_Files10256[[#This Row],[''34'']]+Tableau_Lancer_la_requête_à_partir_de_Excel_Files10256[[#This Row],[''42'']]+Tableau_Lancer_la_requête_à_partir_de_Excel_Files10256[[#This Row],[''43'']]+Tableau_Lancer_la_requête_à_partir_de_Excel_Files10256[[#This Row],[''46'']]+Tableau_Lancer_la_requête_à_partir_de_Excel_Files10256[[#This Row],[''48'']]+Tableau_Lancer_la_requête_à_partir_de_Excel_Files10256[[#This Row],[''58'']]+Tableau_Lancer_la_requête_à_partir_de_Excel_Files10256[[#This Row],[''63'']]+Tableau_Lancer_la_requête_à_partir_de_Excel_Files10256[[#This Row],[''69'']]+Tableau_Lancer_la_requête_à_partir_de_Excel_Files10256[[#This Row],[''71'']]+Tableau_Lancer_la_requête_à_partir_de_Excel_Files10256[[#This Row],[''81'']]+Tableau_Lancer_la_requête_à_partir_de_Excel_Files10256[[#This Row],[''82'']]+Tableau_Lancer_la_requête_à_partir_de_Excel_Files10256[[#This Row],[''87'']]+Tableau_Lancer_la_requête_à_partir_de_Excel_Files10256[[#This Row],[''89'']]</f>
        <v>0</v>
      </c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>
        <v>0</v>
      </c>
      <c r="AR12" s="10" t="s">
        <v>231</v>
      </c>
      <c r="AS12" s="10" t="s">
        <v>231</v>
      </c>
      <c r="AT12" s="3"/>
      <c r="AU12" s="134"/>
      <c r="AV12" s="125" t="s">
        <v>237</v>
      </c>
      <c r="CC12" s="4"/>
      <c r="CE12" s="3"/>
    </row>
    <row r="13" spans="1:83" ht="30" x14ac:dyDescent="0.25">
      <c r="A13" s="140" t="s">
        <v>89</v>
      </c>
      <c r="B13" s="140" t="s">
        <v>244</v>
      </c>
      <c r="C13" s="6" t="s">
        <v>135</v>
      </c>
      <c r="D13" s="55" t="s">
        <v>136</v>
      </c>
      <c r="E13" s="55" t="s">
        <v>137</v>
      </c>
      <c r="F13" s="49">
        <v>186146</v>
      </c>
      <c r="G13" s="49">
        <f>Tableau_Lancer_la_requête_à_partir_de_Excel_Files10256[[#This Row],[Aide Massif]]+Tableau_Lancer_la_requête_à_partir_de_Excel_Files10256[[#This Row],[''Autre Public'']]</f>
        <v>130302.2</v>
      </c>
      <c r="H13" s="56">
        <f>Tableau_Lancer_la_requête_à_partir_de_Excel_Files10256[[#This Row],[Aide 
publique]]/Tableau_Lancer_la_requête_à_partir_de_Excel_Files10256[[#This Row],[''Coût total éligible'']]</f>
        <v>0.7</v>
      </c>
      <c r="I13" s="49">
        <f>Tableau_Lancer_la_requête_à_partir_de_Excel_Files10256[[#This Row],[''FEDER'']]+Tableau_Lancer_la_requête_à_partir_de_Excel_Files10256[[#This Row],[Total Etat]]+Tableau_Lancer_la_requête_à_partir_de_Excel_Files10256[[#This Row],[Total Régions]]+Tableau_Lancer_la_requête_à_partir_de_Excel_Files10256[[#This Row],[Total Dpts]]</f>
        <v>130302.2</v>
      </c>
      <c r="J13" s="56">
        <f>Tableau_Lancer_la_requête_à_partir_de_Excel_Files10256[[#This Row],[Aide Massif]]/Tableau_Lancer_la_requête_à_partir_de_Excel_Files10256[[#This Row],[''Coût total éligible'']]</f>
        <v>0.7</v>
      </c>
      <c r="K13" s="49">
        <v>74458</v>
      </c>
      <c r="L13" s="49">
        <f>Tableau_Lancer_la_requête_à_partir_de_Excel_Files10256[[#This Row],[''FNADT '']]+Tableau_Lancer_la_requête_à_partir_de_Excel_Files10256[[#This Row],[''Agriculture'']]</f>
        <v>37844.199999999997</v>
      </c>
      <c r="M13" s="49">
        <v>37844.199999999997</v>
      </c>
      <c r="N13" s="49">
        <v>0</v>
      </c>
      <c r="O13" s="49">
        <f>Tableau_Lancer_la_requête_à_partir_de_Excel_Files10256[[#This Row],[''ALPC'']]+Tableau_Lancer_la_requête_à_partir_de_Excel_Files10256[[#This Row],[''AURA'']]+Tableau_Lancer_la_requête_à_partir_de_Excel_Files10256[[#This Row],[''BFC'']]+Tableau_Lancer_la_requête_à_partir_de_Excel_Files10256[[#This Row],[''LRMP'']]</f>
        <v>18000</v>
      </c>
      <c r="P13" s="49">
        <v>0</v>
      </c>
      <c r="Q13" s="49">
        <v>0</v>
      </c>
      <c r="R13" s="49">
        <v>18000</v>
      </c>
      <c r="S13" s="49">
        <v>0</v>
      </c>
      <c r="T13" s="49">
        <f>Tableau_Lancer_la_requête_à_partir_de_Excel_Files10256[[#This Row],[''03'']]+Tableau_Lancer_la_requête_à_partir_de_Excel_Files10256[[#This Row],[''07'']]+Tableau_Lancer_la_requête_à_partir_de_Excel_Files10256[[#This Row],[''11'']]+Tableau_Lancer_la_requête_à_partir_de_Excel_Files10256[[#This Row],[''12'']]+Tableau_Lancer_la_requête_à_partir_de_Excel_Files10256[[#This Row],[''15'']]+Tableau_Lancer_la_requête_à_partir_de_Excel_Files10256[[#This Row],[''19'']]+Tableau_Lancer_la_requête_à_partir_de_Excel_Files10256[[#This Row],[''21'']]+Tableau_Lancer_la_requête_à_partir_de_Excel_Files10256[[#This Row],[''23'']]+Tableau_Lancer_la_requête_à_partir_de_Excel_Files10256[[#This Row],[''30'']]+Tableau_Lancer_la_requête_à_partir_de_Excel_Files10256[[#This Row],[''34'']]+Tableau_Lancer_la_requête_à_partir_de_Excel_Files10256[[#This Row],[''42'']]+Tableau_Lancer_la_requête_à_partir_de_Excel_Files10256[[#This Row],[''43'']]+Tableau_Lancer_la_requête_à_partir_de_Excel_Files10256[[#This Row],[''46'']]+Tableau_Lancer_la_requête_à_partir_de_Excel_Files10256[[#This Row],[''48'']]+Tableau_Lancer_la_requête_à_partir_de_Excel_Files10256[[#This Row],[''58'']]+Tableau_Lancer_la_requête_à_partir_de_Excel_Files10256[[#This Row],[''63'']]+Tableau_Lancer_la_requête_à_partir_de_Excel_Files10256[[#This Row],[''69'']]+Tableau_Lancer_la_requête_à_partir_de_Excel_Files10256[[#This Row],[''71'']]+Tableau_Lancer_la_requête_à_partir_de_Excel_Files10256[[#This Row],[''81'']]+Tableau_Lancer_la_requête_à_partir_de_Excel_Files10256[[#This Row],[''82'']]+Tableau_Lancer_la_requête_à_partir_de_Excel_Files10256[[#This Row],[''87'']]+Tableau_Lancer_la_requête_à_partir_de_Excel_Files10256[[#This Row],[''89'']]</f>
        <v>0</v>
      </c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>
        <v>0</v>
      </c>
      <c r="AR13" s="10" t="s">
        <v>231</v>
      </c>
      <c r="AS13" s="10" t="s">
        <v>231</v>
      </c>
      <c r="AT13" s="3"/>
      <c r="AU13" s="133">
        <v>42644</v>
      </c>
      <c r="AV13" s="124"/>
      <c r="CC13" s="4"/>
      <c r="CE13" s="3"/>
    </row>
    <row r="14" spans="1:83" ht="90" x14ac:dyDescent="0.25">
      <c r="A14" s="140" t="s">
        <v>89</v>
      </c>
      <c r="B14" s="140" t="s">
        <v>244</v>
      </c>
      <c r="C14" s="6" t="s">
        <v>222</v>
      </c>
      <c r="D14" s="55" t="s">
        <v>223</v>
      </c>
      <c r="E14" s="55" t="s">
        <v>224</v>
      </c>
      <c r="F14" s="49">
        <v>170298.62</v>
      </c>
      <c r="G14" s="49">
        <f>Tableau_Lancer_la_requête_à_partir_de_Excel_Files10256[[#This Row],[Aide Massif]]+Tableau_Lancer_la_requête_à_partir_de_Excel_Files10256[[#This Row],[''Autre Public'']]</f>
        <v>123499</v>
      </c>
      <c r="H14" s="56">
        <f>Tableau_Lancer_la_requête_à_partir_de_Excel_Files10256[[#This Row],[Aide 
publique]]/Tableau_Lancer_la_requête_à_partir_de_Excel_Files10256[[#This Row],[''Coût total éligible'']]</f>
        <v>0.72519084417712842</v>
      </c>
      <c r="I14" s="49">
        <f>Tableau_Lancer_la_requête_à_partir_de_Excel_Files10256[[#This Row],[''FEDER'']]+Tableau_Lancer_la_requête_à_partir_de_Excel_Files10256[[#This Row],[Total Etat]]+Tableau_Lancer_la_requête_à_partir_de_Excel_Files10256[[#This Row],[Total Régions]]+Tableau_Lancer_la_requête_à_partir_de_Excel_Files10256[[#This Row],[Total Dpts]]</f>
        <v>118499</v>
      </c>
      <c r="J14" s="56">
        <f>Tableau_Lancer_la_requête_à_partir_de_Excel_Files10256[[#This Row],[Aide Massif]]/Tableau_Lancer_la_requête_à_partir_de_Excel_Files10256[[#This Row],[''Coût total éligible'']]</f>
        <v>0.69583065323723703</v>
      </c>
      <c r="K14" s="49">
        <v>83999</v>
      </c>
      <c r="L14" s="49">
        <f>Tableau_Lancer_la_requête_à_partir_de_Excel_Files10256[[#This Row],[''FNADT '']]+Tableau_Lancer_la_requête_à_partir_de_Excel_Files10256[[#This Row],[''Agriculture'']]</f>
        <v>10000</v>
      </c>
      <c r="M14" s="49">
        <v>10000</v>
      </c>
      <c r="N14" s="49"/>
      <c r="O14" s="49">
        <f>Tableau_Lancer_la_requête_à_partir_de_Excel_Files10256[[#This Row],[''ALPC'']]+Tableau_Lancer_la_requête_à_partir_de_Excel_Files10256[[#This Row],[''AURA'']]+Tableau_Lancer_la_requête_à_partir_de_Excel_Files10256[[#This Row],[''BFC'']]+Tableau_Lancer_la_requête_à_partir_de_Excel_Files10256[[#This Row],[''LRMP'']]</f>
        <v>24500</v>
      </c>
      <c r="P14" s="49"/>
      <c r="Q14" s="49"/>
      <c r="R14" s="49">
        <v>24500</v>
      </c>
      <c r="S14" s="49"/>
      <c r="T14" s="49">
        <f>Tableau_Lancer_la_requête_à_partir_de_Excel_Files10256[[#This Row],[''03'']]+Tableau_Lancer_la_requête_à_partir_de_Excel_Files10256[[#This Row],[''07'']]+Tableau_Lancer_la_requête_à_partir_de_Excel_Files10256[[#This Row],[''11'']]+Tableau_Lancer_la_requête_à_partir_de_Excel_Files10256[[#This Row],[''12'']]+Tableau_Lancer_la_requête_à_partir_de_Excel_Files10256[[#This Row],[''15'']]+Tableau_Lancer_la_requête_à_partir_de_Excel_Files10256[[#This Row],[''19'']]+Tableau_Lancer_la_requête_à_partir_de_Excel_Files10256[[#This Row],[''21'']]+Tableau_Lancer_la_requête_à_partir_de_Excel_Files10256[[#This Row],[''23'']]+Tableau_Lancer_la_requête_à_partir_de_Excel_Files10256[[#This Row],[''30'']]+Tableau_Lancer_la_requête_à_partir_de_Excel_Files10256[[#This Row],[''34'']]+Tableau_Lancer_la_requête_à_partir_de_Excel_Files10256[[#This Row],[''42'']]+Tableau_Lancer_la_requête_à_partir_de_Excel_Files10256[[#This Row],[''43'']]+Tableau_Lancer_la_requête_à_partir_de_Excel_Files10256[[#This Row],[''46'']]+Tableau_Lancer_la_requête_à_partir_de_Excel_Files10256[[#This Row],[''48'']]+Tableau_Lancer_la_requête_à_partir_de_Excel_Files10256[[#This Row],[''58'']]+Tableau_Lancer_la_requête_à_partir_de_Excel_Files10256[[#This Row],[''63'']]+Tableau_Lancer_la_requête_à_partir_de_Excel_Files10256[[#This Row],[''69'']]+Tableau_Lancer_la_requête_à_partir_de_Excel_Files10256[[#This Row],[''71'']]+Tableau_Lancer_la_requête_à_partir_de_Excel_Files10256[[#This Row],[''81'']]+Tableau_Lancer_la_requête_à_partir_de_Excel_Files10256[[#This Row],[''82'']]+Tableau_Lancer_la_requête_à_partir_de_Excel_Files10256[[#This Row],[''87'']]+Tableau_Lancer_la_requête_à_partir_de_Excel_Files10256[[#This Row],[''89'']]</f>
        <v>0</v>
      </c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>
        <v>5000</v>
      </c>
      <c r="AR14" s="10" t="s">
        <v>231</v>
      </c>
      <c r="AS14" s="10" t="s">
        <v>231</v>
      </c>
      <c r="AT14" s="3"/>
      <c r="AU14" s="134">
        <v>42705</v>
      </c>
      <c r="AV14" s="125"/>
      <c r="CC14" s="4"/>
      <c r="CE14" s="3"/>
    </row>
    <row r="15" spans="1:83" ht="60" x14ac:dyDescent="0.25">
      <c r="A15" s="140" t="s">
        <v>89</v>
      </c>
      <c r="B15" s="140" t="s">
        <v>244</v>
      </c>
      <c r="C15" s="6" t="s">
        <v>138</v>
      </c>
      <c r="D15" s="55" t="s">
        <v>139</v>
      </c>
      <c r="E15" s="55" t="s">
        <v>140</v>
      </c>
      <c r="F15" s="49">
        <v>134514.67000000001</v>
      </c>
      <c r="G15" s="49">
        <f>Tableau_Lancer_la_requête_à_partir_de_Excel_Files10256[[#This Row],[Aide Massif]]+Tableau_Lancer_la_requête_à_partir_de_Excel_Files10256[[#This Row],[''Autre Public'']]</f>
        <v>0</v>
      </c>
      <c r="H15" s="56">
        <f>Tableau_Lancer_la_requête_à_partir_de_Excel_Files10256[[#This Row],[Aide 
publique]]/Tableau_Lancer_la_requête_à_partir_de_Excel_Files10256[[#This Row],[''Coût total éligible'']]</f>
        <v>0</v>
      </c>
      <c r="I15" s="49">
        <f>Tableau_Lancer_la_requête_à_partir_de_Excel_Files10256[[#This Row],[''FEDER'']]+Tableau_Lancer_la_requête_à_partir_de_Excel_Files10256[[#This Row],[Total Etat]]+Tableau_Lancer_la_requête_à_partir_de_Excel_Files10256[[#This Row],[Total Régions]]+Tableau_Lancer_la_requête_à_partir_de_Excel_Files10256[[#This Row],[Total Dpts]]</f>
        <v>0</v>
      </c>
      <c r="J15" s="56">
        <f>Tableau_Lancer_la_requête_à_partir_de_Excel_Files10256[[#This Row],[Aide Massif]]/Tableau_Lancer_la_requête_à_partir_de_Excel_Files10256[[#This Row],[''Coût total éligible'']]</f>
        <v>0</v>
      </c>
      <c r="K15" s="49">
        <v>0</v>
      </c>
      <c r="L15" s="49">
        <f>Tableau_Lancer_la_requête_à_partir_de_Excel_Files10256[[#This Row],[''FNADT '']]+Tableau_Lancer_la_requête_à_partir_de_Excel_Files10256[[#This Row],[''Agriculture'']]</f>
        <v>0</v>
      </c>
      <c r="M15" s="49"/>
      <c r="N15" s="49"/>
      <c r="O15" s="49">
        <f>Tableau_Lancer_la_requête_à_partir_de_Excel_Files10256[[#This Row],[''ALPC'']]+Tableau_Lancer_la_requête_à_partir_de_Excel_Files10256[[#This Row],[''AURA'']]+Tableau_Lancer_la_requête_à_partir_de_Excel_Files10256[[#This Row],[''BFC'']]+Tableau_Lancer_la_requête_à_partir_de_Excel_Files10256[[#This Row],[''LRMP'']]</f>
        <v>0</v>
      </c>
      <c r="P15" s="49"/>
      <c r="Q15" s="49"/>
      <c r="R15" s="49"/>
      <c r="S15" s="49"/>
      <c r="T15" s="49">
        <f>Tableau_Lancer_la_requête_à_partir_de_Excel_Files10256[[#This Row],[''03'']]+Tableau_Lancer_la_requête_à_partir_de_Excel_Files10256[[#This Row],[''07'']]+Tableau_Lancer_la_requête_à_partir_de_Excel_Files10256[[#This Row],[''11'']]+Tableau_Lancer_la_requête_à_partir_de_Excel_Files10256[[#This Row],[''12'']]+Tableau_Lancer_la_requête_à_partir_de_Excel_Files10256[[#This Row],[''15'']]+Tableau_Lancer_la_requête_à_partir_de_Excel_Files10256[[#This Row],[''19'']]+Tableau_Lancer_la_requête_à_partir_de_Excel_Files10256[[#This Row],[''21'']]+Tableau_Lancer_la_requête_à_partir_de_Excel_Files10256[[#This Row],[''23'']]+Tableau_Lancer_la_requête_à_partir_de_Excel_Files10256[[#This Row],[''30'']]+Tableau_Lancer_la_requête_à_partir_de_Excel_Files10256[[#This Row],[''34'']]+Tableau_Lancer_la_requête_à_partir_de_Excel_Files10256[[#This Row],[''42'']]+Tableau_Lancer_la_requête_à_partir_de_Excel_Files10256[[#This Row],[''43'']]+Tableau_Lancer_la_requête_à_partir_de_Excel_Files10256[[#This Row],[''46'']]+Tableau_Lancer_la_requête_à_partir_de_Excel_Files10256[[#This Row],[''48'']]+Tableau_Lancer_la_requête_à_partir_de_Excel_Files10256[[#This Row],[''58'']]+Tableau_Lancer_la_requête_à_partir_de_Excel_Files10256[[#This Row],[''63'']]+Tableau_Lancer_la_requête_à_partir_de_Excel_Files10256[[#This Row],[''69'']]+Tableau_Lancer_la_requête_à_partir_de_Excel_Files10256[[#This Row],[''71'']]+Tableau_Lancer_la_requête_à_partir_de_Excel_Files10256[[#This Row],[''81'']]+Tableau_Lancer_la_requête_à_partir_de_Excel_Files10256[[#This Row],[''82'']]+Tableau_Lancer_la_requête_à_partir_de_Excel_Files10256[[#This Row],[''87'']]+Tableau_Lancer_la_requête_à_partir_de_Excel_Files10256[[#This Row],[''89'']]</f>
        <v>0</v>
      </c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>
        <v>0</v>
      </c>
      <c r="AR15" s="10" t="s">
        <v>103</v>
      </c>
      <c r="AS15" s="10" t="s">
        <v>103</v>
      </c>
      <c r="AT15" s="3"/>
      <c r="AU15" s="133">
        <v>42828</v>
      </c>
      <c r="AV15" s="124" t="s">
        <v>238</v>
      </c>
      <c r="CC15" s="4"/>
      <c r="CE15" s="3"/>
    </row>
    <row r="16" spans="1:83" ht="60" x14ac:dyDescent="0.25">
      <c r="A16" s="140" t="s">
        <v>89</v>
      </c>
      <c r="B16" s="140" t="s">
        <v>244</v>
      </c>
      <c r="C16" s="6" t="s">
        <v>141</v>
      </c>
      <c r="D16" s="55" t="s">
        <v>142</v>
      </c>
      <c r="E16" s="55" t="s">
        <v>140</v>
      </c>
      <c r="F16" s="49">
        <v>135299.1</v>
      </c>
      <c r="G16" s="49">
        <f>Tableau_Lancer_la_requête_à_partir_de_Excel_Files10256[[#This Row],[Aide Massif]]+Tableau_Lancer_la_requête_à_partir_de_Excel_Files10256[[#This Row],[''Autre Public'']]</f>
        <v>0</v>
      </c>
      <c r="H16" s="56">
        <f>Tableau_Lancer_la_requête_à_partir_de_Excel_Files10256[[#This Row],[Aide 
publique]]/Tableau_Lancer_la_requête_à_partir_de_Excel_Files10256[[#This Row],[''Coût total éligible'']]</f>
        <v>0</v>
      </c>
      <c r="I16" s="49">
        <f>Tableau_Lancer_la_requête_à_partir_de_Excel_Files10256[[#This Row],[''FEDER'']]+Tableau_Lancer_la_requête_à_partir_de_Excel_Files10256[[#This Row],[Total Etat]]+Tableau_Lancer_la_requête_à_partir_de_Excel_Files10256[[#This Row],[Total Régions]]+Tableau_Lancer_la_requête_à_partir_de_Excel_Files10256[[#This Row],[Total Dpts]]</f>
        <v>0</v>
      </c>
      <c r="J16" s="56">
        <f>Tableau_Lancer_la_requête_à_partir_de_Excel_Files10256[[#This Row],[Aide Massif]]/Tableau_Lancer_la_requête_à_partir_de_Excel_Files10256[[#This Row],[''Coût total éligible'']]</f>
        <v>0</v>
      </c>
      <c r="K16" s="49">
        <v>0</v>
      </c>
      <c r="L16" s="49">
        <f>Tableau_Lancer_la_requête_à_partir_de_Excel_Files10256[[#This Row],[''FNADT '']]+Tableau_Lancer_la_requête_à_partir_de_Excel_Files10256[[#This Row],[''Agriculture'']]</f>
        <v>0</v>
      </c>
      <c r="M16" s="49"/>
      <c r="N16" s="49"/>
      <c r="O16" s="49">
        <f>Tableau_Lancer_la_requête_à_partir_de_Excel_Files10256[[#This Row],[''ALPC'']]+Tableau_Lancer_la_requête_à_partir_de_Excel_Files10256[[#This Row],[''AURA'']]+Tableau_Lancer_la_requête_à_partir_de_Excel_Files10256[[#This Row],[''BFC'']]+Tableau_Lancer_la_requête_à_partir_de_Excel_Files10256[[#This Row],[''LRMP'']]</f>
        <v>0</v>
      </c>
      <c r="P16" s="49"/>
      <c r="Q16" s="49"/>
      <c r="R16" s="49"/>
      <c r="S16" s="49"/>
      <c r="T16" s="49">
        <f>Tableau_Lancer_la_requête_à_partir_de_Excel_Files10256[[#This Row],[''03'']]+Tableau_Lancer_la_requête_à_partir_de_Excel_Files10256[[#This Row],[''07'']]+Tableau_Lancer_la_requête_à_partir_de_Excel_Files10256[[#This Row],[''11'']]+Tableau_Lancer_la_requête_à_partir_de_Excel_Files10256[[#This Row],[''12'']]+Tableau_Lancer_la_requête_à_partir_de_Excel_Files10256[[#This Row],[''15'']]+Tableau_Lancer_la_requête_à_partir_de_Excel_Files10256[[#This Row],[''19'']]+Tableau_Lancer_la_requête_à_partir_de_Excel_Files10256[[#This Row],[''21'']]+Tableau_Lancer_la_requête_à_partir_de_Excel_Files10256[[#This Row],[''23'']]+Tableau_Lancer_la_requête_à_partir_de_Excel_Files10256[[#This Row],[''30'']]+Tableau_Lancer_la_requête_à_partir_de_Excel_Files10256[[#This Row],[''34'']]+Tableau_Lancer_la_requête_à_partir_de_Excel_Files10256[[#This Row],[''42'']]+Tableau_Lancer_la_requête_à_partir_de_Excel_Files10256[[#This Row],[''43'']]+Tableau_Lancer_la_requête_à_partir_de_Excel_Files10256[[#This Row],[''46'']]+Tableau_Lancer_la_requête_à_partir_de_Excel_Files10256[[#This Row],[''48'']]+Tableau_Lancer_la_requête_à_partir_de_Excel_Files10256[[#This Row],[''58'']]+Tableau_Lancer_la_requête_à_partir_de_Excel_Files10256[[#This Row],[''63'']]+Tableau_Lancer_la_requête_à_partir_de_Excel_Files10256[[#This Row],[''69'']]+Tableau_Lancer_la_requête_à_partir_de_Excel_Files10256[[#This Row],[''71'']]+Tableau_Lancer_la_requête_à_partir_de_Excel_Files10256[[#This Row],[''81'']]+Tableau_Lancer_la_requête_à_partir_de_Excel_Files10256[[#This Row],[''82'']]+Tableau_Lancer_la_requête_à_partir_de_Excel_Files10256[[#This Row],[''87'']]+Tableau_Lancer_la_requête_à_partir_de_Excel_Files10256[[#This Row],[''89'']]</f>
        <v>0</v>
      </c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>
        <v>0</v>
      </c>
      <c r="AR16" s="10" t="s">
        <v>103</v>
      </c>
      <c r="AS16" s="10" t="s">
        <v>103</v>
      </c>
      <c r="AT16" s="3"/>
      <c r="AU16" s="134">
        <v>42828</v>
      </c>
      <c r="AV16" s="125" t="s">
        <v>238</v>
      </c>
      <c r="CC16" s="4"/>
      <c r="CE16" s="3"/>
    </row>
    <row r="17" spans="1:85" s="7" customFormat="1" ht="60" x14ac:dyDescent="0.25">
      <c r="A17" s="140" t="s">
        <v>89</v>
      </c>
      <c r="B17" s="140" t="s">
        <v>244</v>
      </c>
      <c r="C17" s="6" t="s">
        <v>143</v>
      </c>
      <c r="D17" s="55" t="s">
        <v>144</v>
      </c>
      <c r="E17" s="55" t="s">
        <v>140</v>
      </c>
      <c r="F17" s="49">
        <v>63700</v>
      </c>
      <c r="G17" s="49">
        <f>Tableau_Lancer_la_requête_à_partir_de_Excel_Files10256[[#This Row],[Aide Massif]]+Tableau_Lancer_la_requête_à_partir_de_Excel_Files10256[[#This Row],[''Autre Public'']]</f>
        <v>0</v>
      </c>
      <c r="H17" s="56">
        <f>Tableau_Lancer_la_requête_à_partir_de_Excel_Files10256[[#This Row],[Aide 
publique]]/Tableau_Lancer_la_requête_à_partir_de_Excel_Files10256[[#This Row],[''Coût total éligible'']]</f>
        <v>0</v>
      </c>
      <c r="I17" s="49">
        <f>Tableau_Lancer_la_requête_à_partir_de_Excel_Files10256[[#This Row],[''FEDER'']]+Tableau_Lancer_la_requête_à_partir_de_Excel_Files10256[[#This Row],[Total Etat]]+Tableau_Lancer_la_requête_à_partir_de_Excel_Files10256[[#This Row],[Total Régions]]+Tableau_Lancer_la_requête_à_partir_de_Excel_Files10256[[#This Row],[Total Dpts]]</f>
        <v>0</v>
      </c>
      <c r="J17" s="56">
        <f>Tableau_Lancer_la_requête_à_partir_de_Excel_Files10256[[#This Row],[Aide Massif]]/Tableau_Lancer_la_requête_à_partir_de_Excel_Files10256[[#This Row],[''Coût total éligible'']]</f>
        <v>0</v>
      </c>
      <c r="K17" s="49">
        <v>0</v>
      </c>
      <c r="L17" s="49">
        <f>Tableau_Lancer_la_requête_à_partir_de_Excel_Files10256[[#This Row],[''FNADT '']]+Tableau_Lancer_la_requête_à_partir_de_Excel_Files10256[[#This Row],[''Agriculture'']]</f>
        <v>0</v>
      </c>
      <c r="M17" s="49"/>
      <c r="N17" s="49"/>
      <c r="O17" s="49">
        <f>Tableau_Lancer_la_requête_à_partir_de_Excel_Files10256[[#This Row],[''ALPC'']]+Tableau_Lancer_la_requête_à_partir_de_Excel_Files10256[[#This Row],[''AURA'']]+Tableau_Lancer_la_requête_à_partir_de_Excel_Files10256[[#This Row],[''BFC'']]+Tableau_Lancer_la_requête_à_partir_de_Excel_Files10256[[#This Row],[''LRMP'']]</f>
        <v>0</v>
      </c>
      <c r="P17" s="49"/>
      <c r="Q17" s="49"/>
      <c r="R17" s="49"/>
      <c r="S17" s="49"/>
      <c r="T17" s="49">
        <f>Tableau_Lancer_la_requête_à_partir_de_Excel_Files10256[[#This Row],[''03'']]+Tableau_Lancer_la_requête_à_partir_de_Excel_Files10256[[#This Row],[''07'']]+Tableau_Lancer_la_requête_à_partir_de_Excel_Files10256[[#This Row],[''11'']]+Tableau_Lancer_la_requête_à_partir_de_Excel_Files10256[[#This Row],[''12'']]+Tableau_Lancer_la_requête_à_partir_de_Excel_Files10256[[#This Row],[''15'']]+Tableau_Lancer_la_requête_à_partir_de_Excel_Files10256[[#This Row],[''19'']]+Tableau_Lancer_la_requête_à_partir_de_Excel_Files10256[[#This Row],[''21'']]+Tableau_Lancer_la_requête_à_partir_de_Excel_Files10256[[#This Row],[''23'']]+Tableau_Lancer_la_requête_à_partir_de_Excel_Files10256[[#This Row],[''30'']]+Tableau_Lancer_la_requête_à_partir_de_Excel_Files10256[[#This Row],[''34'']]+Tableau_Lancer_la_requête_à_partir_de_Excel_Files10256[[#This Row],[''42'']]+Tableau_Lancer_la_requête_à_partir_de_Excel_Files10256[[#This Row],[''43'']]+Tableau_Lancer_la_requête_à_partir_de_Excel_Files10256[[#This Row],[''46'']]+Tableau_Lancer_la_requête_à_partir_de_Excel_Files10256[[#This Row],[''48'']]+Tableau_Lancer_la_requête_à_partir_de_Excel_Files10256[[#This Row],[''58'']]+Tableau_Lancer_la_requête_à_partir_de_Excel_Files10256[[#This Row],[''63'']]+Tableau_Lancer_la_requête_à_partir_de_Excel_Files10256[[#This Row],[''69'']]+Tableau_Lancer_la_requête_à_partir_de_Excel_Files10256[[#This Row],[''71'']]+Tableau_Lancer_la_requête_à_partir_de_Excel_Files10256[[#This Row],[''81'']]+Tableau_Lancer_la_requête_à_partir_de_Excel_Files10256[[#This Row],[''82'']]+Tableau_Lancer_la_requête_à_partir_de_Excel_Files10256[[#This Row],[''87'']]+Tableau_Lancer_la_requête_à_partir_de_Excel_Files10256[[#This Row],[''89'']]</f>
        <v>0</v>
      </c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>
        <v>0</v>
      </c>
      <c r="AR17" s="10" t="s">
        <v>103</v>
      </c>
      <c r="AS17" s="10" t="s">
        <v>103</v>
      </c>
      <c r="AU17" s="133">
        <v>42828</v>
      </c>
      <c r="AV17" s="124" t="s">
        <v>238</v>
      </c>
    </row>
    <row r="18" spans="1:85" s="10" customFormat="1" ht="60" x14ac:dyDescent="0.25">
      <c r="A18" s="140" t="s">
        <v>89</v>
      </c>
      <c r="B18" s="140" t="s">
        <v>244</v>
      </c>
      <c r="C18" s="6" t="s">
        <v>145</v>
      </c>
      <c r="D18" s="55" t="s">
        <v>146</v>
      </c>
      <c r="E18" s="55" t="s">
        <v>140</v>
      </c>
      <c r="F18" s="49">
        <v>135503.75</v>
      </c>
      <c r="G18" s="49">
        <f>Tableau_Lancer_la_requête_à_partir_de_Excel_Files10256[[#This Row],[Aide Massif]]+Tableau_Lancer_la_requête_à_partir_de_Excel_Files10256[[#This Row],[''Autre Public'']]</f>
        <v>0</v>
      </c>
      <c r="H18" s="56">
        <f>Tableau_Lancer_la_requête_à_partir_de_Excel_Files10256[[#This Row],[Aide 
publique]]/Tableau_Lancer_la_requête_à_partir_de_Excel_Files10256[[#This Row],[''Coût total éligible'']]</f>
        <v>0</v>
      </c>
      <c r="I18" s="49">
        <f>Tableau_Lancer_la_requête_à_partir_de_Excel_Files10256[[#This Row],[''FEDER'']]+Tableau_Lancer_la_requête_à_partir_de_Excel_Files10256[[#This Row],[Total Etat]]+Tableau_Lancer_la_requête_à_partir_de_Excel_Files10256[[#This Row],[Total Régions]]+Tableau_Lancer_la_requête_à_partir_de_Excel_Files10256[[#This Row],[Total Dpts]]</f>
        <v>0</v>
      </c>
      <c r="J18" s="56">
        <f>Tableau_Lancer_la_requête_à_partir_de_Excel_Files10256[[#This Row],[Aide Massif]]/Tableau_Lancer_la_requête_à_partir_de_Excel_Files10256[[#This Row],[''Coût total éligible'']]</f>
        <v>0</v>
      </c>
      <c r="K18" s="49">
        <v>0</v>
      </c>
      <c r="L18" s="49">
        <f>Tableau_Lancer_la_requête_à_partir_de_Excel_Files10256[[#This Row],[''FNADT '']]+Tableau_Lancer_la_requête_à_partir_de_Excel_Files10256[[#This Row],[''Agriculture'']]</f>
        <v>0</v>
      </c>
      <c r="M18" s="49"/>
      <c r="N18" s="49"/>
      <c r="O18" s="49">
        <f>Tableau_Lancer_la_requête_à_partir_de_Excel_Files10256[[#This Row],[''ALPC'']]+Tableau_Lancer_la_requête_à_partir_de_Excel_Files10256[[#This Row],[''AURA'']]+Tableau_Lancer_la_requête_à_partir_de_Excel_Files10256[[#This Row],[''BFC'']]+Tableau_Lancer_la_requête_à_partir_de_Excel_Files10256[[#This Row],[''LRMP'']]</f>
        <v>0</v>
      </c>
      <c r="P18" s="49"/>
      <c r="Q18" s="49"/>
      <c r="R18" s="49"/>
      <c r="S18" s="49"/>
      <c r="T18" s="49">
        <f>Tableau_Lancer_la_requête_à_partir_de_Excel_Files10256[[#This Row],[''03'']]+Tableau_Lancer_la_requête_à_partir_de_Excel_Files10256[[#This Row],[''07'']]+Tableau_Lancer_la_requête_à_partir_de_Excel_Files10256[[#This Row],[''11'']]+Tableau_Lancer_la_requête_à_partir_de_Excel_Files10256[[#This Row],[''12'']]+Tableau_Lancer_la_requête_à_partir_de_Excel_Files10256[[#This Row],[''15'']]+Tableau_Lancer_la_requête_à_partir_de_Excel_Files10256[[#This Row],[''19'']]+Tableau_Lancer_la_requête_à_partir_de_Excel_Files10256[[#This Row],[''21'']]+Tableau_Lancer_la_requête_à_partir_de_Excel_Files10256[[#This Row],[''23'']]+Tableau_Lancer_la_requête_à_partir_de_Excel_Files10256[[#This Row],[''30'']]+Tableau_Lancer_la_requête_à_partir_de_Excel_Files10256[[#This Row],[''34'']]+Tableau_Lancer_la_requête_à_partir_de_Excel_Files10256[[#This Row],[''42'']]+Tableau_Lancer_la_requête_à_partir_de_Excel_Files10256[[#This Row],[''43'']]+Tableau_Lancer_la_requête_à_partir_de_Excel_Files10256[[#This Row],[''46'']]+Tableau_Lancer_la_requête_à_partir_de_Excel_Files10256[[#This Row],[''48'']]+Tableau_Lancer_la_requête_à_partir_de_Excel_Files10256[[#This Row],[''58'']]+Tableau_Lancer_la_requête_à_partir_de_Excel_Files10256[[#This Row],[''63'']]+Tableau_Lancer_la_requête_à_partir_de_Excel_Files10256[[#This Row],[''69'']]+Tableau_Lancer_la_requête_à_partir_de_Excel_Files10256[[#This Row],[''71'']]+Tableau_Lancer_la_requête_à_partir_de_Excel_Files10256[[#This Row],[''81'']]+Tableau_Lancer_la_requête_à_partir_de_Excel_Files10256[[#This Row],[''82'']]+Tableau_Lancer_la_requête_à_partir_de_Excel_Files10256[[#This Row],[''87'']]+Tableau_Lancer_la_requête_à_partir_de_Excel_Files10256[[#This Row],[''89'']]</f>
        <v>0</v>
      </c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>
        <v>0</v>
      </c>
      <c r="AR18" s="10" t="s">
        <v>103</v>
      </c>
      <c r="AS18" s="10" t="s">
        <v>103</v>
      </c>
      <c r="AU18" s="134">
        <v>42828</v>
      </c>
      <c r="AV18" s="125" t="s">
        <v>238</v>
      </c>
    </row>
    <row r="19" spans="1:85" ht="60" x14ac:dyDescent="0.25">
      <c r="A19" s="140" t="s">
        <v>89</v>
      </c>
      <c r="B19" s="140" t="s">
        <v>244</v>
      </c>
      <c r="C19" s="6" t="s">
        <v>147</v>
      </c>
      <c r="D19" s="55" t="s">
        <v>148</v>
      </c>
      <c r="E19" s="55" t="s">
        <v>140</v>
      </c>
      <c r="F19" s="49">
        <v>97472.42</v>
      </c>
      <c r="G19" s="49">
        <f>Tableau_Lancer_la_requête_à_partir_de_Excel_Files10256[[#This Row],[Aide Massif]]+Tableau_Lancer_la_requête_à_partir_de_Excel_Files10256[[#This Row],[''Autre Public'']]</f>
        <v>0</v>
      </c>
      <c r="H19" s="56">
        <f>Tableau_Lancer_la_requête_à_partir_de_Excel_Files10256[[#This Row],[Aide 
publique]]/Tableau_Lancer_la_requête_à_partir_de_Excel_Files10256[[#This Row],[''Coût total éligible'']]</f>
        <v>0</v>
      </c>
      <c r="I19" s="49">
        <f>Tableau_Lancer_la_requête_à_partir_de_Excel_Files10256[[#This Row],[''FEDER'']]+Tableau_Lancer_la_requête_à_partir_de_Excel_Files10256[[#This Row],[Total Etat]]+Tableau_Lancer_la_requête_à_partir_de_Excel_Files10256[[#This Row],[Total Régions]]+Tableau_Lancer_la_requête_à_partir_de_Excel_Files10256[[#This Row],[Total Dpts]]</f>
        <v>0</v>
      </c>
      <c r="J19" s="56">
        <f>Tableau_Lancer_la_requête_à_partir_de_Excel_Files10256[[#This Row],[Aide Massif]]/Tableau_Lancer_la_requête_à_partir_de_Excel_Files10256[[#This Row],[''Coût total éligible'']]</f>
        <v>0</v>
      </c>
      <c r="K19" s="49">
        <v>0</v>
      </c>
      <c r="L19" s="49">
        <f>Tableau_Lancer_la_requête_à_partir_de_Excel_Files10256[[#This Row],[''FNADT '']]+Tableau_Lancer_la_requête_à_partir_de_Excel_Files10256[[#This Row],[''Agriculture'']]</f>
        <v>0</v>
      </c>
      <c r="M19" s="49"/>
      <c r="N19" s="49"/>
      <c r="O19" s="49">
        <f>Tableau_Lancer_la_requête_à_partir_de_Excel_Files10256[[#This Row],[''ALPC'']]+Tableau_Lancer_la_requête_à_partir_de_Excel_Files10256[[#This Row],[''AURA'']]+Tableau_Lancer_la_requête_à_partir_de_Excel_Files10256[[#This Row],[''BFC'']]+Tableau_Lancer_la_requête_à_partir_de_Excel_Files10256[[#This Row],[''LRMP'']]</f>
        <v>0</v>
      </c>
      <c r="P19" s="49"/>
      <c r="Q19" s="49"/>
      <c r="R19" s="49"/>
      <c r="S19" s="49"/>
      <c r="T19" s="49">
        <f>Tableau_Lancer_la_requête_à_partir_de_Excel_Files10256[[#This Row],[''03'']]+Tableau_Lancer_la_requête_à_partir_de_Excel_Files10256[[#This Row],[''07'']]+Tableau_Lancer_la_requête_à_partir_de_Excel_Files10256[[#This Row],[''11'']]+Tableau_Lancer_la_requête_à_partir_de_Excel_Files10256[[#This Row],[''12'']]+Tableau_Lancer_la_requête_à_partir_de_Excel_Files10256[[#This Row],[''15'']]+Tableau_Lancer_la_requête_à_partir_de_Excel_Files10256[[#This Row],[''19'']]+Tableau_Lancer_la_requête_à_partir_de_Excel_Files10256[[#This Row],[''21'']]+Tableau_Lancer_la_requête_à_partir_de_Excel_Files10256[[#This Row],[''23'']]+Tableau_Lancer_la_requête_à_partir_de_Excel_Files10256[[#This Row],[''30'']]+Tableau_Lancer_la_requête_à_partir_de_Excel_Files10256[[#This Row],[''34'']]+Tableau_Lancer_la_requête_à_partir_de_Excel_Files10256[[#This Row],[''42'']]+Tableau_Lancer_la_requête_à_partir_de_Excel_Files10256[[#This Row],[''43'']]+Tableau_Lancer_la_requête_à_partir_de_Excel_Files10256[[#This Row],[''46'']]+Tableau_Lancer_la_requête_à_partir_de_Excel_Files10256[[#This Row],[''48'']]+Tableau_Lancer_la_requête_à_partir_de_Excel_Files10256[[#This Row],[''58'']]+Tableau_Lancer_la_requête_à_partir_de_Excel_Files10256[[#This Row],[''63'']]+Tableau_Lancer_la_requête_à_partir_de_Excel_Files10256[[#This Row],[''69'']]+Tableau_Lancer_la_requête_à_partir_de_Excel_Files10256[[#This Row],[''71'']]+Tableau_Lancer_la_requête_à_partir_de_Excel_Files10256[[#This Row],[''81'']]+Tableau_Lancer_la_requête_à_partir_de_Excel_Files10256[[#This Row],[''82'']]+Tableau_Lancer_la_requête_à_partir_de_Excel_Files10256[[#This Row],[''87'']]+Tableau_Lancer_la_requête_à_partir_de_Excel_Files10256[[#This Row],[''89'']]</f>
        <v>0</v>
      </c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>
        <v>0</v>
      </c>
      <c r="AR19" s="10" t="s">
        <v>103</v>
      </c>
      <c r="AS19" s="10" t="s">
        <v>103</v>
      </c>
      <c r="AT19" s="3"/>
      <c r="AU19" s="133">
        <v>42828</v>
      </c>
      <c r="AV19" s="124" t="s">
        <v>238</v>
      </c>
      <c r="CE19" s="3"/>
      <c r="CF19" s="4"/>
    </row>
    <row r="20" spans="1:85" ht="60" x14ac:dyDescent="0.25">
      <c r="A20" s="140" t="s">
        <v>89</v>
      </c>
      <c r="B20" s="140" t="s">
        <v>244</v>
      </c>
      <c r="C20" s="6" t="s">
        <v>149</v>
      </c>
      <c r="D20" s="55" t="s">
        <v>150</v>
      </c>
      <c r="E20" s="55" t="s">
        <v>140</v>
      </c>
      <c r="F20" s="49">
        <v>77487.09</v>
      </c>
      <c r="G20" s="49">
        <f>Tableau_Lancer_la_requête_à_partir_de_Excel_Files10256[[#This Row],[Aide Massif]]+Tableau_Lancer_la_requête_à_partir_de_Excel_Files10256[[#This Row],[''Autre Public'']]</f>
        <v>0</v>
      </c>
      <c r="H20" s="56">
        <f>Tableau_Lancer_la_requête_à_partir_de_Excel_Files10256[[#This Row],[Aide 
publique]]/Tableau_Lancer_la_requête_à_partir_de_Excel_Files10256[[#This Row],[''Coût total éligible'']]</f>
        <v>0</v>
      </c>
      <c r="I20" s="49">
        <f>Tableau_Lancer_la_requête_à_partir_de_Excel_Files10256[[#This Row],[''FEDER'']]+Tableau_Lancer_la_requête_à_partir_de_Excel_Files10256[[#This Row],[Total Etat]]+Tableau_Lancer_la_requête_à_partir_de_Excel_Files10256[[#This Row],[Total Régions]]+Tableau_Lancer_la_requête_à_partir_de_Excel_Files10256[[#This Row],[Total Dpts]]</f>
        <v>0</v>
      </c>
      <c r="J20" s="56">
        <f>Tableau_Lancer_la_requête_à_partir_de_Excel_Files10256[[#This Row],[Aide Massif]]/Tableau_Lancer_la_requête_à_partir_de_Excel_Files10256[[#This Row],[''Coût total éligible'']]</f>
        <v>0</v>
      </c>
      <c r="K20" s="49">
        <v>0</v>
      </c>
      <c r="L20" s="49">
        <f>Tableau_Lancer_la_requête_à_partir_de_Excel_Files10256[[#This Row],[''FNADT '']]+Tableau_Lancer_la_requête_à_partir_de_Excel_Files10256[[#This Row],[''Agriculture'']]</f>
        <v>0</v>
      </c>
      <c r="M20" s="49"/>
      <c r="N20" s="49"/>
      <c r="O20" s="49">
        <f>Tableau_Lancer_la_requête_à_partir_de_Excel_Files10256[[#This Row],[''ALPC'']]+Tableau_Lancer_la_requête_à_partir_de_Excel_Files10256[[#This Row],[''AURA'']]+Tableau_Lancer_la_requête_à_partir_de_Excel_Files10256[[#This Row],[''BFC'']]+Tableau_Lancer_la_requête_à_partir_de_Excel_Files10256[[#This Row],[''LRMP'']]</f>
        <v>0</v>
      </c>
      <c r="P20" s="49"/>
      <c r="Q20" s="49"/>
      <c r="R20" s="49"/>
      <c r="S20" s="49"/>
      <c r="T20" s="49">
        <f>Tableau_Lancer_la_requête_à_partir_de_Excel_Files10256[[#This Row],[''03'']]+Tableau_Lancer_la_requête_à_partir_de_Excel_Files10256[[#This Row],[''07'']]+Tableau_Lancer_la_requête_à_partir_de_Excel_Files10256[[#This Row],[''11'']]+Tableau_Lancer_la_requête_à_partir_de_Excel_Files10256[[#This Row],[''12'']]+Tableau_Lancer_la_requête_à_partir_de_Excel_Files10256[[#This Row],[''15'']]+Tableau_Lancer_la_requête_à_partir_de_Excel_Files10256[[#This Row],[''19'']]+Tableau_Lancer_la_requête_à_partir_de_Excel_Files10256[[#This Row],[''21'']]+Tableau_Lancer_la_requête_à_partir_de_Excel_Files10256[[#This Row],[''23'']]+Tableau_Lancer_la_requête_à_partir_de_Excel_Files10256[[#This Row],[''30'']]+Tableau_Lancer_la_requête_à_partir_de_Excel_Files10256[[#This Row],[''34'']]+Tableau_Lancer_la_requête_à_partir_de_Excel_Files10256[[#This Row],[''42'']]+Tableau_Lancer_la_requête_à_partir_de_Excel_Files10256[[#This Row],[''43'']]+Tableau_Lancer_la_requête_à_partir_de_Excel_Files10256[[#This Row],[''46'']]+Tableau_Lancer_la_requête_à_partir_de_Excel_Files10256[[#This Row],[''48'']]+Tableau_Lancer_la_requête_à_partir_de_Excel_Files10256[[#This Row],[''58'']]+Tableau_Lancer_la_requête_à_partir_de_Excel_Files10256[[#This Row],[''63'']]+Tableau_Lancer_la_requête_à_partir_de_Excel_Files10256[[#This Row],[''69'']]+Tableau_Lancer_la_requête_à_partir_de_Excel_Files10256[[#This Row],[''71'']]+Tableau_Lancer_la_requête_à_partir_de_Excel_Files10256[[#This Row],[''81'']]+Tableau_Lancer_la_requête_à_partir_de_Excel_Files10256[[#This Row],[''82'']]+Tableau_Lancer_la_requête_à_partir_de_Excel_Files10256[[#This Row],[''87'']]+Tableau_Lancer_la_requête_à_partir_de_Excel_Files10256[[#This Row],[''89'']]</f>
        <v>0</v>
      </c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>
        <v>0</v>
      </c>
      <c r="AR20" s="10" t="s">
        <v>103</v>
      </c>
      <c r="AS20" s="10" t="s">
        <v>103</v>
      </c>
      <c r="AT20" s="3"/>
      <c r="AU20" s="134">
        <v>42828</v>
      </c>
      <c r="AV20" s="125" t="s">
        <v>238</v>
      </c>
      <c r="CE20" s="3"/>
      <c r="CG20" s="4"/>
    </row>
    <row r="21" spans="1:85" ht="30.75" thickBot="1" x14ac:dyDescent="0.3">
      <c r="A21" s="140" t="s">
        <v>89</v>
      </c>
      <c r="B21" s="140" t="s">
        <v>244</v>
      </c>
      <c r="C21" s="129" t="s">
        <v>225</v>
      </c>
      <c r="D21" s="130" t="s">
        <v>226</v>
      </c>
      <c r="E21" s="130" t="s">
        <v>227</v>
      </c>
      <c r="F21" s="131">
        <v>350162.95</v>
      </c>
      <c r="G21" s="131">
        <f>Tableau_Lancer_la_requête_à_partir_de_Excel_Files10256[[#This Row],[Aide Massif]]+Tableau_Lancer_la_requête_à_partir_de_Excel_Files10256[[#This Row],[''Autre Public'']]</f>
        <v>72557</v>
      </c>
      <c r="H21" s="132">
        <f>Tableau_Lancer_la_requête_à_partir_de_Excel_Files10256[[#This Row],[Aide 
publique]]/Tableau_Lancer_la_requête_à_partir_de_Excel_Files10256[[#This Row],[''Coût total éligible'']]</f>
        <v>0.20720924358216652</v>
      </c>
      <c r="I21" s="131">
        <f>Tableau_Lancer_la_requête_à_partir_de_Excel_Files10256[[#This Row],[''FEDER'']]+Tableau_Lancer_la_requête_à_partir_de_Excel_Files10256[[#This Row],[Total Etat]]+Tableau_Lancer_la_requête_à_partir_de_Excel_Files10256[[#This Row],[Total Régions]]+Tableau_Lancer_la_requête_à_partir_de_Excel_Files10256[[#This Row],[Total Dpts]]</f>
        <v>72557</v>
      </c>
      <c r="J21" s="132">
        <f>Tableau_Lancer_la_requête_à_partir_de_Excel_Files10256[[#This Row],[Aide Massif]]/Tableau_Lancer_la_requête_à_partir_de_Excel_Files10256[[#This Row],[''Coût total éligible'']]</f>
        <v>0.20720924358216652</v>
      </c>
      <c r="K21" s="131">
        <v>62557</v>
      </c>
      <c r="L21" s="131">
        <f>Tableau_Lancer_la_requête_à_partir_de_Excel_Files10256[[#This Row],[''FNADT '']]+Tableau_Lancer_la_requête_à_partir_de_Excel_Files10256[[#This Row],[''Agriculture'']]</f>
        <v>10000</v>
      </c>
      <c r="M21" s="131">
        <v>10000</v>
      </c>
      <c r="N21" s="131"/>
      <c r="O21" s="131">
        <f>Tableau_Lancer_la_requête_à_partir_de_Excel_Files10256[[#This Row],[''ALPC'']]+Tableau_Lancer_la_requête_à_partir_de_Excel_Files10256[[#This Row],[''AURA'']]+Tableau_Lancer_la_requête_à_partir_de_Excel_Files10256[[#This Row],[''BFC'']]+Tableau_Lancer_la_requête_à_partir_de_Excel_Files10256[[#This Row],[''LRMP'']]</f>
        <v>0</v>
      </c>
      <c r="P21" s="131"/>
      <c r="Q21" s="131"/>
      <c r="R21" s="131"/>
      <c r="S21" s="131"/>
      <c r="T21" s="131">
        <f>Tableau_Lancer_la_requête_à_partir_de_Excel_Files10256[[#This Row],[''03'']]+Tableau_Lancer_la_requête_à_partir_de_Excel_Files10256[[#This Row],[''07'']]+Tableau_Lancer_la_requête_à_partir_de_Excel_Files10256[[#This Row],[''11'']]+Tableau_Lancer_la_requête_à_partir_de_Excel_Files10256[[#This Row],[''12'']]+Tableau_Lancer_la_requête_à_partir_de_Excel_Files10256[[#This Row],[''15'']]+Tableau_Lancer_la_requête_à_partir_de_Excel_Files10256[[#This Row],[''19'']]+Tableau_Lancer_la_requête_à_partir_de_Excel_Files10256[[#This Row],[''21'']]+Tableau_Lancer_la_requête_à_partir_de_Excel_Files10256[[#This Row],[''23'']]+Tableau_Lancer_la_requête_à_partir_de_Excel_Files10256[[#This Row],[''30'']]+Tableau_Lancer_la_requête_à_partir_de_Excel_Files10256[[#This Row],[''34'']]+Tableau_Lancer_la_requête_à_partir_de_Excel_Files10256[[#This Row],[''42'']]+Tableau_Lancer_la_requête_à_partir_de_Excel_Files10256[[#This Row],[''43'']]+Tableau_Lancer_la_requête_à_partir_de_Excel_Files10256[[#This Row],[''46'']]+Tableau_Lancer_la_requête_à_partir_de_Excel_Files10256[[#This Row],[''48'']]+Tableau_Lancer_la_requête_à_partir_de_Excel_Files10256[[#This Row],[''58'']]+Tableau_Lancer_la_requête_à_partir_de_Excel_Files10256[[#This Row],[''63'']]+Tableau_Lancer_la_requête_à_partir_de_Excel_Files10256[[#This Row],[''69'']]+Tableau_Lancer_la_requête_à_partir_de_Excel_Files10256[[#This Row],[''71'']]+Tableau_Lancer_la_requête_à_partir_de_Excel_Files10256[[#This Row],[''81'']]+Tableau_Lancer_la_requête_à_partir_de_Excel_Files10256[[#This Row],[''82'']]+Tableau_Lancer_la_requête_à_partir_de_Excel_Files10256[[#This Row],[''87'']]+Tableau_Lancer_la_requête_à_partir_de_Excel_Files10256[[#This Row],[''89'']]</f>
        <v>0</v>
      </c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>
        <v>0</v>
      </c>
      <c r="AR21" s="128" t="s">
        <v>103</v>
      </c>
      <c r="AS21" s="128" t="s">
        <v>103</v>
      </c>
      <c r="AT21" s="3"/>
      <c r="AU21" s="133">
        <v>42887</v>
      </c>
      <c r="AV21" s="124" t="s">
        <v>238</v>
      </c>
      <c r="CE21" s="3"/>
      <c r="CG21" s="4"/>
    </row>
    <row r="22" spans="1:85" ht="15.75" thickTop="1" x14ac:dyDescent="0.25">
      <c r="A22" s="138"/>
      <c r="B22" s="138"/>
      <c r="C22" s="10" t="s">
        <v>8</v>
      </c>
      <c r="D22" s="5">
        <f>SUBTOTAL(103,Tableau_Lancer_la_requête_à_partir_de_Excel_Files10256[Nom_MO])</f>
        <v>15</v>
      </c>
      <c r="E22" s="5"/>
      <c r="F22" s="52">
        <f>SUBTOTAL(109,Tableau_Lancer_la_requête_à_partir_de_Excel_Files10256[''Coût total éligible''])</f>
        <v>2148717.7799999998</v>
      </c>
      <c r="G22" s="52">
        <f>SUBTOTAL(109,Tableau_Lancer_la_requête_à_partir_de_Excel_Files10256[Aide 
publique])</f>
        <v>705283.89999999991</v>
      </c>
      <c r="H22" s="123"/>
      <c r="I22" s="52">
        <f>SUBTOTAL(109,Tableau_Lancer_la_requête_à_partir_de_Excel_Files10256[Aide Massif])</f>
        <v>700283.89999999991</v>
      </c>
      <c r="J22" s="123"/>
      <c r="K22" s="52">
        <f>SUBTOTAL(109,Tableau_Lancer_la_requête_à_partir_de_Excel_Files10256[''FEDER''])</f>
        <v>221014</v>
      </c>
      <c r="L22" s="52">
        <f>SUBTOTAL(109,Tableau_Lancer_la_requête_à_partir_de_Excel_Files10256[Total Etat])</f>
        <v>396769.9</v>
      </c>
      <c r="M22" s="10"/>
      <c r="N22" s="52">
        <f>SUBTOTAL(109,Tableau_Lancer_la_requête_à_partir_de_Excel_Files10256[''Agriculture''])</f>
        <v>0</v>
      </c>
      <c r="O22" s="52">
        <f>SUBTOTAL(109,Tableau_Lancer_la_requête_à_partir_de_Excel_Files10256[Total Régions])</f>
        <v>82500</v>
      </c>
      <c r="P22" s="52">
        <f>SUBTOTAL(109,Tableau_Lancer_la_requête_à_partir_de_Excel_Files10256[''ALPC''])</f>
        <v>0</v>
      </c>
      <c r="Q22" s="52">
        <f>SUBTOTAL(109,Tableau_Lancer_la_requête_à_partir_de_Excel_Files10256[''AURA''])</f>
        <v>40000</v>
      </c>
      <c r="R22" s="52">
        <f>SUBTOTAL(109,Tableau_Lancer_la_requête_à_partir_de_Excel_Files10256[''BFC''])</f>
        <v>42500</v>
      </c>
      <c r="S22" s="52">
        <f>SUBTOTAL(109,Tableau_Lancer_la_requête_à_partir_de_Excel_Files10256[''LRMP''])</f>
        <v>0</v>
      </c>
      <c r="T22" s="52">
        <f>SUBTOTAL(109,Tableau_Lancer_la_requête_à_partir_de_Excel_Files10256[Total Dpts])</f>
        <v>0</v>
      </c>
      <c r="U22" s="52">
        <f>SUBTOTAL(109,Tableau_Lancer_la_requête_à_partir_de_Excel_Files10256[''03''])</f>
        <v>0</v>
      </c>
      <c r="V22" s="52">
        <f>SUBTOTAL(109,Tableau_Lancer_la_requête_à_partir_de_Excel_Files10256[''07''])</f>
        <v>0</v>
      </c>
      <c r="W22" s="52">
        <f>SUBTOTAL(109,Tableau_Lancer_la_requête_à_partir_de_Excel_Files10256[''11''])</f>
        <v>0</v>
      </c>
      <c r="X22" s="52">
        <f>SUBTOTAL(109,Tableau_Lancer_la_requête_à_partir_de_Excel_Files10256[''12''])</f>
        <v>0</v>
      </c>
      <c r="Y22" s="52">
        <f>SUBTOTAL(109,Tableau_Lancer_la_requête_à_partir_de_Excel_Files10256[''15''])</f>
        <v>0</v>
      </c>
      <c r="Z22" s="52">
        <f>SUBTOTAL(109,Tableau_Lancer_la_requête_à_partir_de_Excel_Files10256[''19''])</f>
        <v>0</v>
      </c>
      <c r="AA22" s="52">
        <f>SUBTOTAL(109,Tableau_Lancer_la_requête_à_partir_de_Excel_Files10256[''21''])</f>
        <v>0</v>
      </c>
      <c r="AB22" s="52">
        <f>SUBTOTAL(109,Tableau_Lancer_la_requête_à_partir_de_Excel_Files10256[''23''])</f>
        <v>0</v>
      </c>
      <c r="AC22" s="52">
        <f>SUBTOTAL(109,Tableau_Lancer_la_requête_à_partir_de_Excel_Files10256[''30''])</f>
        <v>0</v>
      </c>
      <c r="AD22" s="52">
        <f>SUBTOTAL(109,Tableau_Lancer_la_requête_à_partir_de_Excel_Files10256[''34''])</f>
        <v>0</v>
      </c>
      <c r="AE22" s="52">
        <f>SUBTOTAL(109,Tableau_Lancer_la_requête_à_partir_de_Excel_Files10256[''42''])</f>
        <v>0</v>
      </c>
      <c r="AF22" s="52">
        <f>SUBTOTAL(109,Tableau_Lancer_la_requête_à_partir_de_Excel_Files10256[''43''])</f>
        <v>0</v>
      </c>
      <c r="AG22" s="52">
        <f>SUBTOTAL(109,Tableau_Lancer_la_requête_à_partir_de_Excel_Files10256[''46''])</f>
        <v>0</v>
      </c>
      <c r="AH22" s="52">
        <f>SUBTOTAL(109,Tableau_Lancer_la_requête_à_partir_de_Excel_Files10256[''48''])</f>
        <v>0</v>
      </c>
      <c r="AI22" s="52">
        <f>SUBTOTAL(109,Tableau_Lancer_la_requête_à_partir_de_Excel_Files10256[''58''])</f>
        <v>0</v>
      </c>
      <c r="AJ22" s="52">
        <f>SUBTOTAL(109,Tableau_Lancer_la_requête_à_partir_de_Excel_Files10256[''63''])</f>
        <v>0</v>
      </c>
      <c r="AK22" s="52">
        <f>SUBTOTAL(109,Tableau_Lancer_la_requête_à_partir_de_Excel_Files10256[''69''])</f>
        <v>0</v>
      </c>
      <c r="AL22" s="52">
        <f>SUBTOTAL(109,Tableau_Lancer_la_requête_à_partir_de_Excel_Files10256[''71''])</f>
        <v>0</v>
      </c>
      <c r="AM22" s="52">
        <f>SUBTOTAL(109,Tableau_Lancer_la_requête_à_partir_de_Excel_Files10256[''81''])</f>
        <v>0</v>
      </c>
      <c r="AN22" s="52">
        <f>SUBTOTAL(109,Tableau_Lancer_la_requête_à_partir_de_Excel_Files10256[''82''])</f>
        <v>0</v>
      </c>
      <c r="AO22" s="52">
        <f>SUBTOTAL(109,Tableau_Lancer_la_requête_à_partir_de_Excel_Files10256[''87''])</f>
        <v>0</v>
      </c>
      <c r="AP22" s="52">
        <f>SUBTOTAL(109,Tableau_Lancer_la_requête_à_partir_de_Excel_Files10256[''89''])</f>
        <v>0</v>
      </c>
      <c r="AQ22" s="52">
        <f>SUBTOTAL(109,Tableau_Lancer_la_requête_à_partir_de_Excel_Files10256[''Autre Public''])</f>
        <v>5000</v>
      </c>
      <c r="AR22" s="10"/>
      <c r="AT22" s="3"/>
      <c r="AU22" s="28"/>
      <c r="AV22" s="127"/>
      <c r="CE22" s="3"/>
      <c r="CG22" s="4"/>
    </row>
    <row r="30" spans="1:85" hidden="1" x14ac:dyDescent="0.25"/>
    <row r="31" spans="1:85" hidden="1" x14ac:dyDescent="0.25"/>
    <row r="32" spans="1:85" hidden="1" x14ac:dyDescent="0.25">
      <c r="E32" s="3" t="s">
        <v>81</v>
      </c>
      <c r="F32" s="6" t="s">
        <v>79</v>
      </c>
    </row>
    <row r="33" spans="4:18" hidden="1" x14ac:dyDescent="0.25">
      <c r="D33" t="s">
        <v>55</v>
      </c>
      <c r="E33" s="3">
        <f>H33+I33</f>
        <v>158457</v>
      </c>
      <c r="F33" s="3">
        <f>M33+R33</f>
        <v>158457</v>
      </c>
      <c r="H33" s="3">
        <f>SUMIF(Tableau_Lancer_la_requête_à_partir_de_Excel_Files10256[Avis Prog],"1-Favorable",Tableau_Lancer_la_requête_à_partir_de_Excel_Files10256[''FEDER''])</f>
        <v>158457</v>
      </c>
      <c r="I33" s="3">
        <f>SUMIF(Tableau_Lancer_la_requête_à_partir_de_Excel_Files10256[Avis Prog],"2-Favorable sous réserve",Tableau_Lancer_la_requête_à_partir_de_Excel_Files10256[''FEDER''])</f>
        <v>0</v>
      </c>
      <c r="M33" s="3">
        <f>SUMIF(Tableau_Lancer_la_requête_à_partir_de_Excel_Files10256[Avis Cofimac],"1-Favorable",Tableau_Lancer_la_requête_à_partir_de_Excel_Files10256[''FEDER''])</f>
        <v>158457</v>
      </c>
      <c r="R33" s="3">
        <f>SUMIF(Tableau_Lancer_la_requête_à_partir_de_Excel_Files10256[Avis Cofimac],"2-Favorable sous réserve",Tableau_Lancer_la_requête_à_partir_de_Excel_Files10256[''FEDER''])</f>
        <v>0</v>
      </c>
    </row>
    <row r="34" spans="4:18" hidden="1" x14ac:dyDescent="0.25">
      <c r="D34" t="s">
        <v>44</v>
      </c>
      <c r="E34" s="3">
        <f t="shared" ref="E34:E61" si="0">H34+I34</f>
        <v>244512.11</v>
      </c>
      <c r="F34" s="3">
        <f t="shared" ref="F34:F62" si="1">M34+R34</f>
        <v>244512.11</v>
      </c>
      <c r="H34" s="3">
        <f>SUMIF(Tableau_Lancer_la_requête_à_partir_de_Excel_Files10256[Avis Prog],"1-Favorable",Tableau_Lancer_la_requête_à_partir_de_Excel_Files10256[Total Etat])</f>
        <v>244512.11</v>
      </c>
      <c r="I34" s="3">
        <f>SUMIF(Tableau_Lancer_la_requête_à_partir_de_Excel_Files10256[Avis Prog],"2-Favorable sous réserve",Tableau_Lancer_la_requête_à_partir_de_Excel_Files10256[Total Etat])</f>
        <v>0</v>
      </c>
      <c r="M34" s="3">
        <f>SUMIF(Tableau_Lancer_la_requête_à_partir_de_Excel_Files10256[Avis Cofimac],"1-Favorable",Tableau_Lancer_la_requête_à_partir_de_Excel_Files10256[Total Etat])</f>
        <v>244512.11</v>
      </c>
      <c r="R34" s="3">
        <f>SUMIF(Tableau_Lancer_la_requête_à_partir_de_Excel_Files10256[Avis Cofimac],"2-Favorable sous réserve",Tableau_Lancer_la_requête_à_partir_de_Excel_Files10256[Total Etat])</f>
        <v>0</v>
      </c>
    </row>
    <row r="35" spans="4:18" hidden="1" x14ac:dyDescent="0.25">
      <c r="D35" t="s">
        <v>45</v>
      </c>
      <c r="E35" s="3">
        <f t="shared" si="0"/>
        <v>62500</v>
      </c>
      <c r="F35" s="3">
        <f t="shared" si="1"/>
        <v>62500</v>
      </c>
      <c r="H35" s="3">
        <f>SUMIF(Tableau_Lancer_la_requête_à_partir_de_Excel_Files10256[Avis Prog],"1-Favorable",Tableau_Lancer_la_requête_à_partir_de_Excel_Files10256[Total Régions])</f>
        <v>62500</v>
      </c>
      <c r="I35" s="3">
        <f>SUMIF(Tableau_Lancer_la_requête_à_partir_de_Excel_Files10256[Avis Prog],"2-Favorable sous réserve",Tableau_Lancer_la_requête_à_partir_de_Excel_Files10256[Total Régions])</f>
        <v>0</v>
      </c>
      <c r="M35" s="3">
        <f>SUMIF(Tableau_Lancer_la_requête_à_partir_de_Excel_Files10256[Avis Cofimac],"1-Favorable",Tableau_Lancer_la_requête_à_partir_de_Excel_Files10256[Total Régions])</f>
        <v>62500</v>
      </c>
      <c r="R35" s="3">
        <f>SUMIF(Tableau_Lancer_la_requête_à_partir_de_Excel_Files10256[Avis Cofimac],"2-Favorable sous réserve",Tableau_Lancer_la_requête_à_partir_de_Excel_Files10256[Total Régions])</f>
        <v>0</v>
      </c>
    </row>
    <row r="36" spans="4:18" hidden="1" x14ac:dyDescent="0.25">
      <c r="D36" s="3" t="s">
        <v>56</v>
      </c>
      <c r="E36" s="3">
        <f t="shared" si="0"/>
        <v>0</v>
      </c>
      <c r="F36" s="3">
        <f t="shared" si="1"/>
        <v>0</v>
      </c>
      <c r="H36" s="3">
        <f>SUMIF(Tableau_Lancer_la_requête_à_partir_de_Excel_Files10256[Avis Prog],"1-Favorable",Tableau_Lancer_la_requête_à_partir_de_Excel_Files10256[''ALPC''])</f>
        <v>0</v>
      </c>
      <c r="I36" s="3">
        <f>SUMIF(Tableau_Lancer_la_requête_à_partir_de_Excel_Files10256[Avis Prog],"2-Favorable sous réserve",Tableau_Lancer_la_requête_à_partir_de_Excel_Files10256[''ALPC''])</f>
        <v>0</v>
      </c>
      <c r="M36" s="3">
        <f>SUMIF(Tableau_Lancer_la_requête_à_partir_de_Excel_Files10256[Avis Cofimac],"1-Favorable",Tableau_Lancer_la_requête_à_partir_de_Excel_Files10256[''ALPC''])</f>
        <v>0</v>
      </c>
      <c r="R36" s="3">
        <f>SUMIF(Tableau_Lancer_la_requête_à_partir_de_Excel_Files10256[Avis Cofimac],"2-Favorable sous réserve",Tableau_Lancer_la_requête_à_partir_de_Excel_Files10256[''ALPC''])</f>
        <v>0</v>
      </c>
    </row>
    <row r="37" spans="4:18" hidden="1" x14ac:dyDescent="0.25">
      <c r="D37" s="3" t="s">
        <v>57</v>
      </c>
      <c r="E37" s="3">
        <f t="shared" si="0"/>
        <v>20000</v>
      </c>
      <c r="F37" s="3">
        <f t="shared" si="1"/>
        <v>20000</v>
      </c>
      <c r="H37" s="3">
        <f>SUMIF(Tableau_Lancer_la_requête_à_partir_de_Excel_Files10256[Avis Prog],"1-Favorable",Tableau_Lancer_la_requête_à_partir_de_Excel_Files10256[''AURA''])</f>
        <v>20000</v>
      </c>
      <c r="I37" s="3">
        <f>SUMIF(Tableau_Lancer_la_requête_à_partir_de_Excel_Files10256[Avis Prog],"2-Favorable sous réserve",Tableau_Lancer_la_requête_à_partir_de_Excel_Files10256[''AURA''])</f>
        <v>0</v>
      </c>
      <c r="M37" s="3">
        <f>SUMIF(Tableau_Lancer_la_requête_à_partir_de_Excel_Files10256[Avis Cofimac],"1-Favorable",Tableau_Lancer_la_requête_à_partir_de_Excel_Files10256[''AURA''])</f>
        <v>20000</v>
      </c>
      <c r="R37" s="3">
        <f>SUMIF(Tableau_Lancer_la_requête_à_partir_de_Excel_Files10256[Avis Cofimac],"2-Favorable sous réserve",Tableau_Lancer_la_requête_à_partir_de_Excel_Files10256[''AURA''])</f>
        <v>0</v>
      </c>
    </row>
    <row r="38" spans="4:18" hidden="1" x14ac:dyDescent="0.25">
      <c r="D38" s="3" t="s">
        <v>58</v>
      </c>
      <c r="E38" s="3">
        <f t="shared" si="0"/>
        <v>42500</v>
      </c>
      <c r="F38" s="3">
        <f t="shared" si="1"/>
        <v>42500</v>
      </c>
      <c r="H38" s="3">
        <f>SUMIF(Tableau_Lancer_la_requête_à_partir_de_Excel_Files10256[Avis Prog],"1-Favorable",Tableau_Lancer_la_requête_à_partir_de_Excel_Files10256[''BFC''])</f>
        <v>42500</v>
      </c>
      <c r="I38" s="3">
        <f>SUMIF(Tableau_Lancer_la_requête_à_partir_de_Excel_Files10256[Avis Prog],"2-Favorable sous réserve",Tableau_Lancer_la_requête_à_partir_de_Excel_Files10256[''BFC''])</f>
        <v>0</v>
      </c>
      <c r="M38" s="3">
        <f>SUMIF(Tableau_Lancer_la_requête_à_partir_de_Excel_Files10256[Avis Cofimac],"1-Favorable",Tableau_Lancer_la_requête_à_partir_de_Excel_Files10256[''BFC''])</f>
        <v>42500</v>
      </c>
      <c r="R38" s="3">
        <f>SUMIF(Tableau_Lancer_la_requête_à_partir_de_Excel_Files10256[Avis Cofimac],"2-Favorable sous réserve",Tableau_Lancer_la_requête_à_partir_de_Excel_Files10256[''BFC''])</f>
        <v>0</v>
      </c>
    </row>
    <row r="39" spans="4:18" hidden="1" x14ac:dyDescent="0.25">
      <c r="D39" s="3" t="s">
        <v>59</v>
      </c>
      <c r="E39" s="3">
        <f t="shared" si="0"/>
        <v>0</v>
      </c>
      <c r="F39" s="3">
        <f t="shared" si="1"/>
        <v>0</v>
      </c>
      <c r="H39" s="3">
        <f>SUMIF(Tableau_Lancer_la_requête_à_partir_de_Excel_Files10256[Avis Prog],"1-Favorable",Tableau_Lancer_la_requête_à_partir_de_Excel_Files10256[''LRMP''])</f>
        <v>0</v>
      </c>
      <c r="I39" s="3">
        <f>SUMIF(Tableau_Lancer_la_requête_à_partir_de_Excel_Files10256[Avis Prog],"2-Favorable sous réserve",Tableau_Lancer_la_requête_à_partir_de_Excel_Files10256[''LRMP''])</f>
        <v>0</v>
      </c>
      <c r="M39" s="3">
        <f>SUMIF(Tableau_Lancer_la_requête_à_partir_de_Excel_Files10256[Avis Cofimac],"1-Favorable",Tableau_Lancer_la_requête_à_partir_de_Excel_Files10256[''LRMP''])</f>
        <v>0</v>
      </c>
      <c r="R39" s="3">
        <f>SUMIF(Tableau_Lancer_la_requête_à_partir_de_Excel_Files10256[Avis Cofimac],"2-Favorable sous réserve",Tableau_Lancer_la_requête_à_partir_de_Excel_Files10256[''LRMP''])</f>
        <v>0</v>
      </c>
    </row>
    <row r="40" spans="4:18" hidden="1" x14ac:dyDescent="0.25">
      <c r="D40" t="s">
        <v>46</v>
      </c>
      <c r="E40" s="3">
        <f t="shared" si="0"/>
        <v>0</v>
      </c>
      <c r="F40" s="3">
        <f t="shared" si="1"/>
        <v>0</v>
      </c>
      <c r="H40" s="3">
        <f>SUMIF(Tableau_Lancer_la_requête_à_partir_de_Excel_Files10256[Avis Prog],"1-Favorable",Tableau_Lancer_la_requête_à_partir_de_Excel_Files10256[Total Dpts])</f>
        <v>0</v>
      </c>
      <c r="I40" s="3">
        <f>SUMIF(Tableau_Lancer_la_requête_à_partir_de_Excel_Files10256[Avis Prog],"2-Favorable sous réserve",Tableau_Lancer_la_requête_à_partir_de_Excel_Files10256[Total Dpts])</f>
        <v>0</v>
      </c>
      <c r="M40" s="3">
        <f>SUMIF(Tableau_Lancer_la_requête_à_partir_de_Excel_Files10256[Avis Cofimac],"1-Favorable",Tableau_Lancer_la_requête_à_partir_de_Excel_Files10256[Total Dpts])</f>
        <v>0</v>
      </c>
      <c r="R40" s="3">
        <f>SUMIF(Tableau_Lancer_la_requête_à_partir_de_Excel_Files10256[Avis Cofimac],"2-Favorable sous réserve",Tableau_Lancer_la_requête_à_partir_de_Excel_Files10256[Total Dpts])</f>
        <v>0</v>
      </c>
    </row>
    <row r="41" spans="4:18" hidden="1" x14ac:dyDescent="0.25">
      <c r="D41" t="s">
        <v>20</v>
      </c>
      <c r="E41" s="3">
        <f t="shared" si="0"/>
        <v>0</v>
      </c>
      <c r="F41" s="3">
        <f t="shared" si="1"/>
        <v>0</v>
      </c>
      <c r="H41" s="3">
        <f>SUMIF(Tableau_Lancer_la_requête_à_partir_de_Excel_Files10256[Avis Prog],"1-Favorable",Tableau_Lancer_la_requête_à_partir_de_Excel_Files10256[''03''])</f>
        <v>0</v>
      </c>
      <c r="I41" s="3">
        <f>SUMIF(Tableau_Lancer_la_requête_à_partir_de_Excel_Files10256[Avis Prog],"2-Favorable sous réserve",Tableau_Lancer_la_requête_à_partir_de_Excel_Files10256[''03''])</f>
        <v>0</v>
      </c>
      <c r="M41" s="3">
        <f>SUMIF(Tableau_Lancer_la_requête_à_partir_de_Excel_Files10256[Avis Cofimac],"1-Favorable",Tableau_Lancer_la_requête_à_partir_de_Excel_Files10256[''03''])</f>
        <v>0</v>
      </c>
      <c r="R41" s="3">
        <f>SUMIF(Tableau_Lancer_la_requête_à_partir_de_Excel_Files10256[Avis Cofimac],"2-Favorable sous réserve",Tableau_Lancer_la_requête_à_partir_de_Excel_Files10256[''03''])</f>
        <v>0</v>
      </c>
    </row>
    <row r="42" spans="4:18" hidden="1" x14ac:dyDescent="0.25">
      <c r="D42" t="s">
        <v>21</v>
      </c>
      <c r="E42" s="3">
        <f t="shared" si="0"/>
        <v>0</v>
      </c>
      <c r="F42" s="3">
        <f t="shared" si="1"/>
        <v>0</v>
      </c>
      <c r="H42" s="3">
        <f>SUMIF(Tableau_Lancer_la_requête_à_partir_de_Excel_Files10256[Avis Prog],"1-Favorable",Tableau_Lancer_la_requête_à_partir_de_Excel_Files10256[''07''])</f>
        <v>0</v>
      </c>
      <c r="I42" s="3">
        <f>SUMIF(Tableau_Lancer_la_requête_à_partir_de_Excel_Files10256[Avis Prog],"2-Favorable sous réserve",Tableau_Lancer_la_requête_à_partir_de_Excel_Files10256[''07''])</f>
        <v>0</v>
      </c>
      <c r="M42" s="3">
        <f>SUMIF(Tableau_Lancer_la_requête_à_partir_de_Excel_Files10256[Avis Cofimac],"1-Favorable",Tableau_Lancer_la_requête_à_partir_de_Excel_Files10256[''07''])</f>
        <v>0</v>
      </c>
      <c r="R42" s="3">
        <f>SUMIF(Tableau_Lancer_la_requête_à_partir_de_Excel_Files10256[Avis Cofimac],"2-Favorable sous réserve",Tableau_Lancer_la_requête_à_partir_de_Excel_Files10256[''07''])</f>
        <v>0</v>
      </c>
    </row>
    <row r="43" spans="4:18" hidden="1" x14ac:dyDescent="0.25">
      <c r="D43" t="s">
        <v>22</v>
      </c>
      <c r="E43" s="3">
        <f t="shared" si="0"/>
        <v>0</v>
      </c>
      <c r="F43" s="3">
        <f t="shared" si="1"/>
        <v>0</v>
      </c>
      <c r="H43" s="3">
        <f>SUMIF(Tableau_Lancer_la_requête_à_partir_de_Excel_Files10256[Avis Prog],"1-Favorable",Tableau_Lancer_la_requête_à_partir_de_Excel_Files10256[''11''])</f>
        <v>0</v>
      </c>
      <c r="I43" s="3">
        <f>SUMIF(Tableau_Lancer_la_requête_à_partir_de_Excel_Files10256[Avis Prog],"2-Favorable sous réserve",Tableau_Lancer_la_requête_à_partir_de_Excel_Files10256[''11''])</f>
        <v>0</v>
      </c>
      <c r="M43" s="3">
        <f>SUMIF(Tableau_Lancer_la_requête_à_partir_de_Excel_Files10256[Avis Cofimac],"1-Favorable",Tableau_Lancer_la_requête_à_partir_de_Excel_Files10256[''11''])</f>
        <v>0</v>
      </c>
      <c r="R43" s="3">
        <f>SUMIF(Tableau_Lancer_la_requête_à_partir_de_Excel_Files10256[Avis Cofimac],"2-Favorable sous réserve",Tableau_Lancer_la_requête_à_partir_de_Excel_Files10256[''11''])</f>
        <v>0</v>
      </c>
    </row>
    <row r="44" spans="4:18" hidden="1" x14ac:dyDescent="0.25">
      <c r="D44" t="s">
        <v>23</v>
      </c>
      <c r="E44" s="3">
        <f t="shared" si="0"/>
        <v>0</v>
      </c>
      <c r="F44" s="3">
        <f t="shared" si="1"/>
        <v>0</v>
      </c>
      <c r="H44" s="3">
        <f>SUMIF(Tableau_Lancer_la_requête_à_partir_de_Excel_Files10256[Avis Prog],"1-Favorable",Tableau_Lancer_la_requête_à_partir_de_Excel_Files10256[''12''])</f>
        <v>0</v>
      </c>
      <c r="I44" s="3">
        <f>SUMIF(Tableau_Lancer_la_requête_à_partir_de_Excel_Files10256[Avis Prog],"2-Favorable sous réserve",Tableau_Lancer_la_requête_à_partir_de_Excel_Files10256[''12''])</f>
        <v>0</v>
      </c>
      <c r="M44" s="3">
        <f>SUMIF(Tableau_Lancer_la_requête_à_partir_de_Excel_Files10256[Avis Cofimac],"1-Favorable",Tableau_Lancer_la_requête_à_partir_de_Excel_Files10256[''12''])</f>
        <v>0</v>
      </c>
      <c r="R44" s="3">
        <f>SUMIF(Tableau_Lancer_la_requête_à_partir_de_Excel_Files10256[Avis Cofimac],"2-Favorable sous réserve",Tableau_Lancer_la_requête_à_partir_de_Excel_Files10256[''12''])</f>
        <v>0</v>
      </c>
    </row>
    <row r="45" spans="4:18" hidden="1" x14ac:dyDescent="0.25">
      <c r="D45" t="s">
        <v>24</v>
      </c>
      <c r="E45" s="3">
        <f t="shared" si="0"/>
        <v>0</v>
      </c>
      <c r="F45" s="3">
        <f t="shared" si="1"/>
        <v>0</v>
      </c>
      <c r="H45" s="3">
        <f>SUMIF(Tableau_Lancer_la_requête_à_partir_de_Excel_Files10256[Avis Prog],"1-Favorable",Tableau_Lancer_la_requête_à_partir_de_Excel_Files10256[''15''])</f>
        <v>0</v>
      </c>
      <c r="I45" s="3">
        <f>SUMIF(Tableau_Lancer_la_requête_à_partir_de_Excel_Files10256[Avis Prog],"2-Favorable sous réserve",Tableau_Lancer_la_requête_à_partir_de_Excel_Files10256[''15''])</f>
        <v>0</v>
      </c>
      <c r="M45" s="3">
        <f>SUMIF(Tableau_Lancer_la_requête_à_partir_de_Excel_Files10256[Avis Cofimac],"1-Favorable",Tableau_Lancer_la_requête_à_partir_de_Excel_Files10256[''15''])</f>
        <v>0</v>
      </c>
      <c r="R45" s="3">
        <f>SUMIF(Tableau_Lancer_la_requête_à_partir_de_Excel_Files10256[Avis Cofimac],"2-Favorable sous réserve",Tableau_Lancer_la_requête_à_partir_de_Excel_Files10256[''15''])</f>
        <v>0</v>
      </c>
    </row>
    <row r="46" spans="4:18" hidden="1" x14ac:dyDescent="0.25">
      <c r="D46" t="s">
        <v>25</v>
      </c>
      <c r="E46" s="3">
        <f t="shared" si="0"/>
        <v>0</v>
      </c>
      <c r="F46" s="3">
        <f t="shared" si="1"/>
        <v>0</v>
      </c>
      <c r="H46" s="3">
        <f>SUMIF(Tableau_Lancer_la_requête_à_partir_de_Excel_Files10256[Avis Prog],"1-Favorable",Tableau_Lancer_la_requête_à_partir_de_Excel_Files10256[''19''])</f>
        <v>0</v>
      </c>
      <c r="I46" s="3">
        <f>SUMIF(Tableau_Lancer_la_requête_à_partir_de_Excel_Files10256[Avis Prog],"2-Favorable sous réserve",Tableau_Lancer_la_requête_à_partir_de_Excel_Files10256[''19''])</f>
        <v>0</v>
      </c>
      <c r="M46" s="3">
        <f>SUMIF(Tableau_Lancer_la_requête_à_partir_de_Excel_Files10256[Avis Cofimac],"1-Favorable",Tableau_Lancer_la_requête_à_partir_de_Excel_Files10256[''19''])</f>
        <v>0</v>
      </c>
      <c r="R46" s="3">
        <f>SUMIF(Tableau_Lancer_la_requête_à_partir_de_Excel_Files10256[Avis Cofimac],"2-Favorable sous réserve",Tableau_Lancer_la_requête_à_partir_de_Excel_Files10256[''19''])</f>
        <v>0</v>
      </c>
    </row>
    <row r="47" spans="4:18" hidden="1" x14ac:dyDescent="0.25">
      <c r="D47" t="s">
        <v>26</v>
      </c>
      <c r="E47" s="3">
        <f t="shared" si="0"/>
        <v>0</v>
      </c>
      <c r="F47" s="3">
        <f t="shared" si="1"/>
        <v>0</v>
      </c>
      <c r="H47" s="3">
        <f>SUMIF(Tableau_Lancer_la_requête_à_partir_de_Excel_Files10256[Avis Prog],"1-Favorable",Tableau_Lancer_la_requête_à_partir_de_Excel_Files10256[''21''])</f>
        <v>0</v>
      </c>
      <c r="I47" s="3">
        <f>SUMIF(Tableau_Lancer_la_requête_à_partir_de_Excel_Files10256[Avis Prog],"2-Favorable sous réserve",Tableau_Lancer_la_requête_à_partir_de_Excel_Files10256[''21''])</f>
        <v>0</v>
      </c>
      <c r="M47" s="3">
        <f>SUMIF(Tableau_Lancer_la_requête_à_partir_de_Excel_Files10256[Avis Cofimac],"1-Favorable",Tableau_Lancer_la_requête_à_partir_de_Excel_Files10256[''21''])</f>
        <v>0</v>
      </c>
      <c r="R47" s="3">
        <f>SUMIF(Tableau_Lancer_la_requête_à_partir_de_Excel_Files10256[Avis Cofimac],"2-Favorable sous réserve",Tableau_Lancer_la_requête_à_partir_de_Excel_Files10256[''21''])</f>
        <v>0</v>
      </c>
    </row>
    <row r="48" spans="4:18" hidden="1" x14ac:dyDescent="0.25">
      <c r="D48" t="s">
        <v>27</v>
      </c>
      <c r="E48" s="3">
        <f t="shared" si="0"/>
        <v>0</v>
      </c>
      <c r="F48" s="3">
        <f t="shared" si="1"/>
        <v>0</v>
      </c>
      <c r="H48" s="3">
        <f>SUMIF(Tableau_Lancer_la_requête_à_partir_de_Excel_Files10256[Avis Prog],"1-Favorable",Tableau_Lancer_la_requête_à_partir_de_Excel_Files10256[''23''])</f>
        <v>0</v>
      </c>
      <c r="I48" s="3">
        <f>SUMIF(Tableau_Lancer_la_requête_à_partir_de_Excel_Files10256[Avis Prog],"2-Favorable sous réserve",Tableau_Lancer_la_requête_à_partir_de_Excel_Files10256[''23''])</f>
        <v>0</v>
      </c>
      <c r="M48" s="3">
        <f>SUMIF(Tableau_Lancer_la_requête_à_partir_de_Excel_Files10256[Avis Cofimac],"1-Favorable",Tableau_Lancer_la_requête_à_partir_de_Excel_Files10256[''23''])</f>
        <v>0</v>
      </c>
      <c r="R48" s="3">
        <f>SUMIF(Tableau_Lancer_la_requête_à_partir_de_Excel_Files10256[Avis Cofimac],"2-Favorable sous réserve",Tableau_Lancer_la_requête_à_partir_de_Excel_Files10256[''23''])</f>
        <v>0</v>
      </c>
    </row>
    <row r="49" spans="4:18" hidden="1" x14ac:dyDescent="0.25">
      <c r="D49" t="s">
        <v>28</v>
      </c>
      <c r="E49" s="3">
        <f t="shared" si="0"/>
        <v>0</v>
      </c>
      <c r="F49" s="3">
        <f t="shared" si="1"/>
        <v>0</v>
      </c>
      <c r="H49" s="3">
        <f>SUMIF(Tableau_Lancer_la_requête_à_partir_de_Excel_Files10256[Avis Prog],"1-Favorable",Tableau_Lancer_la_requête_à_partir_de_Excel_Files10256[''30''])</f>
        <v>0</v>
      </c>
      <c r="I49" s="3">
        <f>SUMIF(Tableau_Lancer_la_requête_à_partir_de_Excel_Files10256[Avis Prog],"2-Favorable sous réserve",Tableau_Lancer_la_requête_à_partir_de_Excel_Files10256[''30''])</f>
        <v>0</v>
      </c>
      <c r="M49" s="3">
        <f>SUMIF(Tableau_Lancer_la_requête_à_partir_de_Excel_Files10256[Avis Cofimac],"1-Favorable",Tableau_Lancer_la_requête_à_partir_de_Excel_Files10256[''30''])</f>
        <v>0</v>
      </c>
      <c r="R49" s="3">
        <f>SUMIF(Tableau_Lancer_la_requête_à_partir_de_Excel_Files10256[Avis Cofimac],"2-Favorable sous réserve",Tableau_Lancer_la_requête_à_partir_de_Excel_Files10256[''30''])</f>
        <v>0</v>
      </c>
    </row>
    <row r="50" spans="4:18" hidden="1" x14ac:dyDescent="0.25">
      <c r="D50" t="s">
        <v>29</v>
      </c>
      <c r="E50" s="3">
        <f t="shared" si="0"/>
        <v>0</v>
      </c>
      <c r="F50" s="3">
        <f t="shared" si="1"/>
        <v>0</v>
      </c>
      <c r="H50" s="3">
        <f>SUMIF(Tableau_Lancer_la_requête_à_partir_de_Excel_Files10256[Avis Prog],"1-Favorable",Tableau_Lancer_la_requête_à_partir_de_Excel_Files10256[''34''])</f>
        <v>0</v>
      </c>
      <c r="I50" s="3">
        <f>SUMIF(Tableau_Lancer_la_requête_à_partir_de_Excel_Files10256[Avis Prog],"2-Favorable sous réserve",Tableau_Lancer_la_requête_à_partir_de_Excel_Files10256[''34''])</f>
        <v>0</v>
      </c>
      <c r="M50" s="3">
        <f>SUMIF(Tableau_Lancer_la_requête_à_partir_de_Excel_Files10256[Avis Cofimac],"1-Favorable",Tableau_Lancer_la_requête_à_partir_de_Excel_Files10256[''34''])</f>
        <v>0</v>
      </c>
      <c r="R50" s="3">
        <f>SUMIF(Tableau_Lancer_la_requête_à_partir_de_Excel_Files10256[Avis Cofimac],"2-Favorable sous réserve",Tableau_Lancer_la_requête_à_partir_de_Excel_Files10256[''34''])</f>
        <v>0</v>
      </c>
    </row>
    <row r="51" spans="4:18" hidden="1" x14ac:dyDescent="0.25">
      <c r="D51" t="s">
        <v>30</v>
      </c>
      <c r="E51" s="3">
        <f t="shared" si="0"/>
        <v>0</v>
      </c>
      <c r="F51" s="3">
        <f t="shared" si="1"/>
        <v>0</v>
      </c>
      <c r="H51" s="3">
        <f>SUMIF(Tableau_Lancer_la_requête_à_partir_de_Excel_Files10256[Avis Prog],"1-Favorable",Tableau_Lancer_la_requête_à_partir_de_Excel_Files10256[''42''])</f>
        <v>0</v>
      </c>
      <c r="I51" s="3">
        <f>SUMIF(Tableau_Lancer_la_requête_à_partir_de_Excel_Files10256[Avis Prog],"2-Favorable sous réserve",Tableau_Lancer_la_requête_à_partir_de_Excel_Files10256[''42''])</f>
        <v>0</v>
      </c>
      <c r="M51" s="3">
        <f>SUMIF(Tableau_Lancer_la_requête_à_partir_de_Excel_Files10256[Avis Cofimac],"1-Favorable",Tableau_Lancer_la_requête_à_partir_de_Excel_Files10256[''42''])</f>
        <v>0</v>
      </c>
      <c r="R51" s="3">
        <f>SUMIF(Tableau_Lancer_la_requête_à_partir_de_Excel_Files10256[Avis Cofimac],"2-Favorable sous réserve",Tableau_Lancer_la_requête_à_partir_de_Excel_Files10256[''42''])</f>
        <v>0</v>
      </c>
    </row>
    <row r="52" spans="4:18" hidden="1" x14ac:dyDescent="0.25">
      <c r="D52" t="s">
        <v>31</v>
      </c>
      <c r="E52" s="3">
        <f t="shared" si="0"/>
        <v>0</v>
      </c>
      <c r="F52" s="3">
        <f t="shared" si="1"/>
        <v>0</v>
      </c>
      <c r="H52" s="3">
        <f>SUMIF(Tableau_Lancer_la_requête_à_partir_de_Excel_Files10256[Avis Prog],"1-Favorable",Tableau_Lancer_la_requête_à_partir_de_Excel_Files10256[''43''])</f>
        <v>0</v>
      </c>
      <c r="I52" s="3">
        <f>SUMIF(Tableau_Lancer_la_requête_à_partir_de_Excel_Files10256[Avis Prog],"2-Favorable sous réserve",Tableau_Lancer_la_requête_à_partir_de_Excel_Files10256[''43''])</f>
        <v>0</v>
      </c>
      <c r="M52" s="3">
        <f>SUMIF(Tableau_Lancer_la_requête_à_partir_de_Excel_Files10256[Avis Cofimac],"1-Favorable",Tableau_Lancer_la_requête_à_partir_de_Excel_Files10256[''43''])</f>
        <v>0</v>
      </c>
      <c r="R52" s="3">
        <f>SUMIF(Tableau_Lancer_la_requête_à_partir_de_Excel_Files10256[Avis Cofimac],"2-Favorable sous réserve",Tableau_Lancer_la_requête_à_partir_de_Excel_Files10256[''43''])</f>
        <v>0</v>
      </c>
    </row>
    <row r="53" spans="4:18" hidden="1" x14ac:dyDescent="0.25">
      <c r="D53" t="s">
        <v>32</v>
      </c>
      <c r="E53" s="3">
        <f t="shared" si="0"/>
        <v>0</v>
      </c>
      <c r="F53" s="3">
        <f t="shared" si="1"/>
        <v>0</v>
      </c>
      <c r="H53" s="3">
        <f>SUMIF(Tableau_Lancer_la_requête_à_partir_de_Excel_Files10256[Avis Prog],"1-Favorable",Tableau_Lancer_la_requête_à_partir_de_Excel_Files10256[''46''])</f>
        <v>0</v>
      </c>
      <c r="I53" s="3">
        <f>SUMIF(Tableau_Lancer_la_requête_à_partir_de_Excel_Files10256[Avis Prog],"2-Favorable sous réserve",Tableau_Lancer_la_requête_à_partir_de_Excel_Files10256[''46''])</f>
        <v>0</v>
      </c>
      <c r="M53" s="3">
        <f>SUMIF(Tableau_Lancer_la_requête_à_partir_de_Excel_Files10256[Avis Cofimac],"1-Favorable",Tableau_Lancer_la_requête_à_partir_de_Excel_Files10256[''46''])</f>
        <v>0</v>
      </c>
      <c r="R53" s="3">
        <f>SUMIF(Tableau_Lancer_la_requête_à_partir_de_Excel_Files10256[Avis Cofimac],"2-Favorable sous réserve",Tableau_Lancer_la_requête_à_partir_de_Excel_Files10256[''46''])</f>
        <v>0</v>
      </c>
    </row>
    <row r="54" spans="4:18" hidden="1" x14ac:dyDescent="0.25">
      <c r="D54" t="s">
        <v>33</v>
      </c>
      <c r="E54" s="3">
        <f t="shared" si="0"/>
        <v>0</v>
      </c>
      <c r="F54" s="3">
        <f t="shared" si="1"/>
        <v>0</v>
      </c>
      <c r="H54" s="3">
        <f>SUMIF(Tableau_Lancer_la_requête_à_partir_de_Excel_Files10256[Avis Prog],"1-Favorable",Tableau_Lancer_la_requête_à_partir_de_Excel_Files10256[''48''])</f>
        <v>0</v>
      </c>
      <c r="I54" s="3">
        <f>SUMIF(Tableau_Lancer_la_requête_à_partir_de_Excel_Files10256[Avis Prog],"2-Favorable sous réserve",Tableau_Lancer_la_requête_à_partir_de_Excel_Files10256[''48''])</f>
        <v>0</v>
      </c>
      <c r="M54" s="3">
        <f>SUMIF(Tableau_Lancer_la_requête_à_partir_de_Excel_Files10256[Avis Cofimac],"1-Favorable",Tableau_Lancer_la_requête_à_partir_de_Excel_Files10256[''48''])</f>
        <v>0</v>
      </c>
      <c r="R54" s="3">
        <f>SUMIF(Tableau_Lancer_la_requête_à_partir_de_Excel_Files10256[Avis Cofimac],"2-Favorable sous réserve",Tableau_Lancer_la_requête_à_partir_de_Excel_Files10256[''48''])</f>
        <v>0</v>
      </c>
    </row>
    <row r="55" spans="4:18" hidden="1" x14ac:dyDescent="0.25">
      <c r="D55" t="s">
        <v>34</v>
      </c>
      <c r="E55" s="3">
        <f t="shared" si="0"/>
        <v>0</v>
      </c>
      <c r="F55" s="3">
        <f t="shared" si="1"/>
        <v>0</v>
      </c>
      <c r="H55" s="3">
        <f>SUMIF(Tableau_Lancer_la_requête_à_partir_de_Excel_Files10256[Avis Prog],"1-Favorable",Tableau_Lancer_la_requête_à_partir_de_Excel_Files10256[''58''])</f>
        <v>0</v>
      </c>
      <c r="I55" s="3">
        <f>SUMIF(Tableau_Lancer_la_requête_à_partir_de_Excel_Files10256[Avis Prog],"2-Favorable sous réserve",Tableau_Lancer_la_requête_à_partir_de_Excel_Files10256[''58''])</f>
        <v>0</v>
      </c>
      <c r="M55" s="3">
        <f>SUMIF(Tableau_Lancer_la_requête_à_partir_de_Excel_Files10256[Avis Cofimac],"1-Favorable",Tableau_Lancer_la_requête_à_partir_de_Excel_Files10256[''58''])</f>
        <v>0</v>
      </c>
      <c r="R55" s="3">
        <f>SUMIF(Tableau_Lancer_la_requête_à_partir_de_Excel_Files10256[Avis Cofimac],"2-Favorable sous réserve",Tableau_Lancer_la_requête_à_partir_de_Excel_Files10256[''58''])</f>
        <v>0</v>
      </c>
    </row>
    <row r="56" spans="4:18" hidden="1" x14ac:dyDescent="0.25">
      <c r="D56" t="s">
        <v>35</v>
      </c>
      <c r="E56" s="3">
        <f t="shared" si="0"/>
        <v>0</v>
      </c>
      <c r="F56" s="3">
        <f t="shared" si="1"/>
        <v>0</v>
      </c>
      <c r="H56" s="3">
        <f>SUMIF(Tableau_Lancer_la_requête_à_partir_de_Excel_Files10256[Avis Prog],"1-Favorable",Tableau_Lancer_la_requête_à_partir_de_Excel_Files10256[''63''])</f>
        <v>0</v>
      </c>
      <c r="I56" s="3">
        <f>SUMIF(Tableau_Lancer_la_requête_à_partir_de_Excel_Files10256[Avis Prog],"2-Favorable sous réserve",Tableau_Lancer_la_requête_à_partir_de_Excel_Files10256[''63''])</f>
        <v>0</v>
      </c>
      <c r="M56" s="3">
        <f>SUMIF(Tableau_Lancer_la_requête_à_partir_de_Excel_Files10256[Avis Cofimac],"1-Favorable",Tableau_Lancer_la_requête_à_partir_de_Excel_Files10256[''63''])</f>
        <v>0</v>
      </c>
      <c r="R56" s="3">
        <f>SUMIF(Tableau_Lancer_la_requête_à_partir_de_Excel_Files10256[Avis Cofimac],"2-Favorable sous réserve",Tableau_Lancer_la_requête_à_partir_de_Excel_Files10256[''63''])</f>
        <v>0</v>
      </c>
    </row>
    <row r="57" spans="4:18" hidden="1" x14ac:dyDescent="0.25">
      <c r="D57" t="s">
        <v>36</v>
      </c>
      <c r="E57" s="3">
        <f t="shared" si="0"/>
        <v>0</v>
      </c>
      <c r="F57" s="3">
        <f t="shared" si="1"/>
        <v>0</v>
      </c>
      <c r="H57" s="3">
        <f>SUMIF(Tableau_Lancer_la_requête_à_partir_de_Excel_Files10256[Avis Prog],"1-Favorable",Tableau_Lancer_la_requête_à_partir_de_Excel_Files10256[''69''])</f>
        <v>0</v>
      </c>
      <c r="I57" s="3">
        <f>SUMIF(Tableau_Lancer_la_requête_à_partir_de_Excel_Files10256[Avis Prog],"2-Favorable sous réserve",Tableau_Lancer_la_requête_à_partir_de_Excel_Files10256[''69''])</f>
        <v>0</v>
      </c>
      <c r="M57" s="3">
        <f>SUMIF(Tableau_Lancer_la_requête_à_partir_de_Excel_Files10256[Avis Cofimac],"1-Favorable",Tableau_Lancer_la_requête_à_partir_de_Excel_Files10256[''69''])</f>
        <v>0</v>
      </c>
      <c r="R57" s="3">
        <f>SUMIF(Tableau_Lancer_la_requête_à_partir_de_Excel_Files10256[Avis Cofimac],"2-Favorable sous réserve",Tableau_Lancer_la_requête_à_partir_de_Excel_Files10256[''69''])</f>
        <v>0</v>
      </c>
    </row>
    <row r="58" spans="4:18" hidden="1" x14ac:dyDescent="0.25">
      <c r="D58" t="s">
        <v>37</v>
      </c>
      <c r="E58" s="3">
        <f t="shared" si="0"/>
        <v>0</v>
      </c>
      <c r="F58" s="3">
        <f t="shared" si="1"/>
        <v>0</v>
      </c>
      <c r="H58" s="3">
        <f>SUMIF(Tableau_Lancer_la_requête_à_partir_de_Excel_Files10256[Avis Prog],"1-Favorable",Tableau_Lancer_la_requête_à_partir_de_Excel_Files10256[''71''])</f>
        <v>0</v>
      </c>
      <c r="I58" s="3">
        <f>SUMIF(Tableau_Lancer_la_requête_à_partir_de_Excel_Files10256[Avis Prog],"2-Favorable sous réserve",Tableau_Lancer_la_requête_à_partir_de_Excel_Files10256[''71''])</f>
        <v>0</v>
      </c>
      <c r="M58" s="3">
        <f>SUMIF(Tableau_Lancer_la_requête_à_partir_de_Excel_Files10256[Avis Cofimac],"1-Favorable",Tableau_Lancer_la_requête_à_partir_de_Excel_Files10256[''71''])</f>
        <v>0</v>
      </c>
      <c r="R58" s="3">
        <f>SUMIF(Tableau_Lancer_la_requête_à_partir_de_Excel_Files10256[Avis Cofimac],"2-Favorable sous réserve",Tableau_Lancer_la_requête_à_partir_de_Excel_Files10256[''71''])</f>
        <v>0</v>
      </c>
    </row>
    <row r="59" spans="4:18" hidden="1" x14ac:dyDescent="0.25">
      <c r="D59" t="s">
        <v>38</v>
      </c>
      <c r="E59" s="3">
        <f t="shared" si="0"/>
        <v>0</v>
      </c>
      <c r="F59" s="3">
        <f t="shared" si="1"/>
        <v>0</v>
      </c>
      <c r="H59" s="3">
        <f>SUMIF(Tableau_Lancer_la_requête_à_partir_de_Excel_Files10256[Avis Prog],"1-Favorable",Tableau_Lancer_la_requête_à_partir_de_Excel_Files10256[''81''])</f>
        <v>0</v>
      </c>
      <c r="I59" s="3">
        <f>SUMIF(Tableau_Lancer_la_requête_à_partir_de_Excel_Files10256[Avis Prog],"2-Favorable sous réserve",Tableau_Lancer_la_requête_à_partir_de_Excel_Files10256[''81''])</f>
        <v>0</v>
      </c>
      <c r="M59" s="3">
        <f>SUMIF(Tableau_Lancer_la_requête_à_partir_de_Excel_Files10256[Avis Cofimac],"1-Favorable",Tableau_Lancer_la_requête_à_partir_de_Excel_Files10256[''81''])</f>
        <v>0</v>
      </c>
      <c r="R59" s="3">
        <f>SUMIF(Tableau_Lancer_la_requête_à_partir_de_Excel_Files10256[Avis Cofimac],"2-Favorable sous réserve",Tableau_Lancer_la_requête_à_partir_de_Excel_Files10256[''81''])</f>
        <v>0</v>
      </c>
    </row>
    <row r="60" spans="4:18" hidden="1" x14ac:dyDescent="0.25">
      <c r="D60" t="s">
        <v>39</v>
      </c>
      <c r="E60" s="3">
        <f t="shared" si="0"/>
        <v>0</v>
      </c>
      <c r="F60" s="3">
        <f t="shared" si="1"/>
        <v>0</v>
      </c>
      <c r="H60" s="3">
        <f>SUMIF(Tableau_Lancer_la_requête_à_partir_de_Excel_Files10256[Avis Prog],"1-Favorable",Tableau_Lancer_la_requête_à_partir_de_Excel_Files10256[''82''])</f>
        <v>0</v>
      </c>
      <c r="I60" s="3">
        <f>SUMIF(Tableau_Lancer_la_requête_à_partir_de_Excel_Files10256[Avis Prog],"2-Favorable sous réserve",Tableau_Lancer_la_requête_à_partir_de_Excel_Files10256[''82''])</f>
        <v>0</v>
      </c>
      <c r="M60" s="3">
        <f>SUMIF(Tableau_Lancer_la_requête_à_partir_de_Excel_Files10256[Avis Cofimac],"1-Favorable",Tableau_Lancer_la_requête_à_partir_de_Excel_Files10256[''82''])</f>
        <v>0</v>
      </c>
      <c r="R60" s="3">
        <f>SUMIF(Tableau_Lancer_la_requête_à_partir_de_Excel_Files10256[Avis Cofimac],"2-Favorable sous réserve",Tableau_Lancer_la_requête_à_partir_de_Excel_Files10256[''82''])</f>
        <v>0</v>
      </c>
    </row>
    <row r="61" spans="4:18" hidden="1" x14ac:dyDescent="0.25">
      <c r="D61" t="s">
        <v>40</v>
      </c>
      <c r="E61" s="3">
        <f t="shared" si="0"/>
        <v>0</v>
      </c>
      <c r="F61" s="3">
        <f t="shared" si="1"/>
        <v>0</v>
      </c>
      <c r="H61" s="3">
        <f>SUMIF(Tableau_Lancer_la_requête_à_partir_de_Excel_Files10256[Avis Prog],"1-Favorable",Tableau_Lancer_la_requête_à_partir_de_Excel_Files10256[''87''])</f>
        <v>0</v>
      </c>
      <c r="I61" s="3">
        <f>SUMIF(Tableau_Lancer_la_requête_à_partir_de_Excel_Files10256[Avis Prog],"2-Favorable sous réserve",Tableau_Lancer_la_requête_à_partir_de_Excel_Files10256[''87''])</f>
        <v>0</v>
      </c>
      <c r="M61" s="3">
        <f>SUMIF(Tableau_Lancer_la_requête_à_partir_de_Excel_Files10256[Avis Cofimac],"1-Favorable",Tableau_Lancer_la_requête_à_partir_de_Excel_Files10256[''87''])</f>
        <v>0</v>
      </c>
      <c r="R61" s="3">
        <f>SUMIF(Tableau_Lancer_la_requête_à_partir_de_Excel_Files10256[Avis Cofimac],"2-Favorable sous réserve",Tableau_Lancer_la_requête_à_partir_de_Excel_Files10256[''87''])</f>
        <v>0</v>
      </c>
    </row>
    <row r="62" spans="4:18" hidden="1" x14ac:dyDescent="0.25">
      <c r="D62" t="s">
        <v>41</v>
      </c>
      <c r="E62" s="3">
        <f>H62+I62</f>
        <v>0</v>
      </c>
      <c r="F62" s="3">
        <f t="shared" si="1"/>
        <v>0</v>
      </c>
      <c r="H62" s="3">
        <f>SUMIF(Tableau_Lancer_la_requête_à_partir_de_Excel_Files10256[Avis Prog],"1-Favorable",Tableau_Lancer_la_requête_à_partir_de_Excel_Files10256[''89''])</f>
        <v>0</v>
      </c>
      <c r="I62" s="3">
        <f>SUMIF(Tableau_Lancer_la_requête_à_partir_de_Excel_Files10256[Avis Prog],"2-Favorable sous réserve",Tableau_Lancer_la_requête_à_partir_de_Excel_Files10256[''89''])</f>
        <v>0</v>
      </c>
      <c r="M62" s="3">
        <f>SUMIF(Tableau_Lancer_la_requête_à_partir_de_Excel_Files10256[Avis Cofimac],"1-Favorable",Tableau_Lancer_la_requête_à_partir_de_Excel_Files10256[''89''])</f>
        <v>0</v>
      </c>
      <c r="R62" s="3">
        <f>SUMIF(Tableau_Lancer_la_requête_à_partir_de_Excel_Files10256[Avis Cofimac],"2-Favorable sous réserve",Tableau_Lancer_la_requête_à_partir_de_Excel_Files10256[''89''])</f>
        <v>0</v>
      </c>
    </row>
    <row r="63" spans="4:18" hidden="1" x14ac:dyDescent="0.25"/>
  </sheetData>
  <mergeCells count="1">
    <mergeCell ref="A1:B1"/>
  </mergeCells>
  <conditionalFormatting sqref="AR6:AR22 AS7:AS21">
    <cfRule type="cellIs" dxfId="999" priority="12" operator="equal">
      <formula>"6-Retiré/Abandon"</formula>
    </cfRule>
    <cfRule type="cellIs" dxfId="998" priority="13" operator="equal">
      <formula>"5-Défavorable"</formula>
    </cfRule>
    <cfRule type="cellIs" dxfId="997" priority="14" operator="equal">
      <formula>"4-Ajournement"</formula>
    </cfRule>
    <cfRule type="cellIs" dxfId="996" priority="15" operator="equal">
      <formula>"1-Favorable"</formula>
    </cfRule>
  </conditionalFormatting>
  <conditionalFormatting sqref="AR7:AS21">
    <cfRule type="cellIs" dxfId="995" priority="11" operator="equal">
      <formula>"2-Favorable sous réserve"</formula>
    </cfRule>
  </conditionalFormatting>
  <dataValidations count="1">
    <dataValidation type="list" allowBlank="1" showInputMessage="1" showErrorMessage="1" sqref="AS7:AS20 AS21">
      <formula1>"1-Favorable,2-Favorable sous réserve,4-Ajournement,5-Défavorable,6-Retiré/Abandon"</formula1>
    </dataValidation>
  </dataValidations>
  <printOptions horizontalCentered="1" verticalCentered="1"/>
  <pageMargins left="0.25" right="0.25" top="0.75" bottom="0.75" header="0.3" footer="0.3"/>
  <pageSetup paperSize="8" scale="58" fitToHeight="0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52"/>
  <sheetViews>
    <sheetView view="pageBreakPreview" zoomScale="80" zoomScaleNormal="60" zoomScaleSheetLayoutView="80" workbookViewId="0">
      <selection activeCell="E12" sqref="E12"/>
    </sheetView>
  </sheetViews>
  <sheetFormatPr baseColWidth="10" defaultRowHeight="15" outlineLevelCol="1" x14ac:dyDescent="0.25"/>
  <cols>
    <col min="1" max="1" width="13.85546875" style="3" customWidth="1"/>
    <col min="2" max="2" width="17.5703125" style="4" customWidth="1"/>
    <col min="3" max="3" width="17.7109375" style="5" bestFit="1" customWidth="1"/>
    <col min="4" max="4" width="27.42578125" style="3" customWidth="1"/>
    <col min="5" max="5" width="32.7109375" style="3" customWidth="1"/>
    <col min="6" max="6" width="11.140625" style="6" customWidth="1"/>
    <col min="7" max="7" width="16" style="3" hidden="1" customWidth="1"/>
    <col min="8" max="8" width="11.28515625" style="6" hidden="1" customWidth="1"/>
    <col min="9" max="9" width="17" style="3" customWidth="1"/>
    <col min="10" max="10" width="15" style="3" customWidth="1"/>
    <col min="11" max="11" width="11.5703125" style="3" customWidth="1"/>
    <col min="12" max="12" width="16.5703125" style="3" customWidth="1"/>
    <col min="13" max="13" width="13.7109375" style="3" hidden="1" customWidth="1" outlineLevel="1"/>
    <col min="14" max="14" width="11.140625" style="3" hidden="1" customWidth="1" outlineLevel="1"/>
    <col min="15" max="15" width="11.85546875" style="3" customWidth="1" collapsed="1"/>
    <col min="16" max="16" width="10" style="3" hidden="1" customWidth="1" outlineLevel="1"/>
    <col min="17" max="17" width="11.7109375" style="3" hidden="1" customWidth="1" outlineLevel="1"/>
    <col min="18" max="18" width="16.140625" style="3" hidden="1" customWidth="1" outlineLevel="1"/>
    <col min="19" max="19" width="8.7109375" style="3" hidden="1" customWidth="1" outlineLevel="1"/>
    <col min="20" max="20" width="8.7109375" style="3" customWidth="1" collapsed="1"/>
    <col min="21" max="40" width="8.7109375" style="3" hidden="1" customWidth="1" outlineLevel="1"/>
    <col min="41" max="41" width="13.140625" style="3" hidden="1" customWidth="1" outlineLevel="1"/>
    <col min="42" max="42" width="11.5703125" style="3" hidden="1" customWidth="1" outlineLevel="1"/>
    <col min="43" max="43" width="13.7109375" style="3" customWidth="1" collapsed="1"/>
    <col min="44" max="45" width="13.7109375" style="3" customWidth="1"/>
    <col min="46" max="46" width="12.7109375" style="3" bestFit="1" customWidth="1"/>
    <col min="47" max="47" width="1.5703125" style="3" hidden="1" customWidth="1"/>
    <col min="48" max="48" width="64" style="10" customWidth="1"/>
    <col min="49" max="49" width="15.42578125" style="3" bestFit="1" customWidth="1"/>
    <col min="50" max="50" width="17.28515625" style="3" bestFit="1" customWidth="1"/>
    <col min="51" max="51" width="9.42578125" style="3" customWidth="1"/>
    <col min="52" max="66" width="9.7109375" style="3" customWidth="1"/>
    <col min="67" max="67" width="15.140625" style="3" customWidth="1"/>
    <col min="68" max="68" width="14.5703125" style="3" customWidth="1"/>
    <col min="69" max="69" width="18.5703125" style="3" customWidth="1"/>
    <col min="70" max="70" width="12.5703125" style="3" customWidth="1"/>
    <col min="71" max="71" width="20.42578125" style="3" customWidth="1"/>
    <col min="72" max="72" width="12.7109375" style="3" customWidth="1"/>
    <col min="73" max="73" width="9.28515625" style="3" customWidth="1"/>
    <col min="74" max="74" width="14.28515625" style="3" customWidth="1"/>
    <col min="75" max="75" width="11.42578125" style="3" customWidth="1"/>
    <col min="76" max="76" width="9" style="3" customWidth="1"/>
    <col min="77" max="77" width="9.5703125" style="3" customWidth="1"/>
    <col min="78" max="78" width="11" style="3" customWidth="1"/>
    <col min="79" max="79" width="12.7109375" style="3" customWidth="1"/>
    <col min="80" max="82" width="9.7109375" style="3" customWidth="1"/>
    <col min="83" max="83" width="15.140625" style="3" customWidth="1"/>
    <col min="84" max="84" width="17.28515625" style="3" customWidth="1"/>
    <col min="85" max="85" width="49.28515625" style="4" customWidth="1"/>
    <col min="86" max="86" width="17.28515625" style="3" customWidth="1"/>
    <col min="87" max="16384" width="11.42578125" style="3"/>
  </cols>
  <sheetData>
    <row r="1" spans="1:85" ht="18.75" x14ac:dyDescent="0.3">
      <c r="A1" s="148" t="s">
        <v>73</v>
      </c>
      <c r="B1" s="149"/>
      <c r="C1" s="22">
        <f>Feuil1!A2</f>
        <v>42832</v>
      </c>
    </row>
    <row r="5" spans="1:85" x14ac:dyDescent="0.25">
      <c r="A5" s="1" t="s">
        <v>68</v>
      </c>
      <c r="B5" s="2"/>
    </row>
    <row r="6" spans="1:85" s="7" customFormat="1" ht="30" x14ac:dyDescent="0.25">
      <c r="A6" s="7" t="s">
        <v>0</v>
      </c>
      <c r="B6" s="7" t="s">
        <v>122</v>
      </c>
      <c r="C6" s="7" t="s">
        <v>7</v>
      </c>
      <c r="D6" s="7" t="s">
        <v>1</v>
      </c>
      <c r="E6" s="7" t="s">
        <v>2</v>
      </c>
      <c r="F6" s="87" t="s">
        <v>50</v>
      </c>
      <c r="G6" s="7" t="s">
        <v>52</v>
      </c>
      <c r="H6" s="7" t="s">
        <v>51</v>
      </c>
      <c r="I6" s="7" t="s">
        <v>48</v>
      </c>
      <c r="J6" s="7" t="s">
        <v>53</v>
      </c>
      <c r="K6" s="7" t="s">
        <v>42</v>
      </c>
      <c r="L6" s="7" t="s">
        <v>63</v>
      </c>
      <c r="M6" s="7" t="s">
        <v>67</v>
      </c>
      <c r="N6" s="7" t="s">
        <v>15</v>
      </c>
      <c r="O6" s="7" t="s">
        <v>64</v>
      </c>
      <c r="P6" s="7" t="s">
        <v>18</v>
      </c>
      <c r="Q6" s="7" t="s">
        <v>16</v>
      </c>
      <c r="R6" s="7" t="s">
        <v>17</v>
      </c>
      <c r="S6" s="7" t="s">
        <v>19</v>
      </c>
      <c r="T6" s="7" t="s">
        <v>65</v>
      </c>
      <c r="U6" s="7" t="s">
        <v>20</v>
      </c>
      <c r="V6" s="7" t="s">
        <v>21</v>
      </c>
      <c r="W6" s="7" t="s">
        <v>22</v>
      </c>
      <c r="X6" s="7" t="s">
        <v>23</v>
      </c>
      <c r="Y6" s="7" t="s">
        <v>24</v>
      </c>
      <c r="Z6" s="7" t="s">
        <v>25</v>
      </c>
      <c r="AA6" s="7" t="s">
        <v>26</v>
      </c>
      <c r="AB6" s="7" t="s">
        <v>27</v>
      </c>
      <c r="AC6" s="7" t="s">
        <v>28</v>
      </c>
      <c r="AD6" s="7" t="s">
        <v>29</v>
      </c>
      <c r="AE6" s="7" t="s">
        <v>30</v>
      </c>
      <c r="AF6" s="7" t="s">
        <v>31</v>
      </c>
      <c r="AG6" s="7" t="s">
        <v>32</v>
      </c>
      <c r="AH6" s="7" t="s">
        <v>33</v>
      </c>
      <c r="AI6" s="7" t="s">
        <v>34</v>
      </c>
      <c r="AJ6" s="7" t="s">
        <v>35</v>
      </c>
      <c r="AK6" s="7" t="s">
        <v>36</v>
      </c>
      <c r="AL6" s="7" t="s">
        <v>37</v>
      </c>
      <c r="AM6" s="7" t="s">
        <v>38</v>
      </c>
      <c r="AN6" s="7" t="s">
        <v>39</v>
      </c>
      <c r="AO6" s="7" t="s">
        <v>40</v>
      </c>
      <c r="AP6" s="7" t="s">
        <v>41</v>
      </c>
      <c r="AQ6" s="7" t="s">
        <v>43</v>
      </c>
      <c r="AR6" s="7" t="s">
        <v>47</v>
      </c>
      <c r="AS6" s="17" t="s">
        <v>54</v>
      </c>
      <c r="AT6" s="7" t="s">
        <v>88</v>
      </c>
      <c r="AV6" s="59" t="s">
        <v>62</v>
      </c>
    </row>
    <row r="7" spans="1:85" s="10" customFormat="1" ht="30" x14ac:dyDescent="0.25">
      <c r="A7" s="57" t="s">
        <v>110</v>
      </c>
      <c r="B7" s="57" t="s">
        <v>126</v>
      </c>
      <c r="C7" s="13" t="s">
        <v>123</v>
      </c>
      <c r="D7" s="54" t="s">
        <v>124</v>
      </c>
      <c r="E7" s="54" t="s">
        <v>125</v>
      </c>
      <c r="F7" s="50">
        <v>80265.3</v>
      </c>
      <c r="G7" s="50">
        <f>Tableau_Lancer_la_requête_à_partir_de_Excel_Files1025615[[#This Row],[Aide Massif]]+Tableau_Lancer_la_requête_à_partir_de_Excel_Files1025615[[#This Row],[''Autre Public'']]</f>
        <v>40132.639999999999</v>
      </c>
      <c r="H7" s="51">
        <f>Tableau_Lancer_la_requête_à_partir_de_Excel_Files1025615[[#This Row],[Aide 
publique]]/Tableau_Lancer_la_requête_à_partir_de_Excel_Files1025615[[#This Row],[''Coût total éligible'']]</f>
        <v>0.4999998754131611</v>
      </c>
      <c r="I7" s="50">
        <f>Tableau_Lancer_la_requête_à_partir_de_Excel_Files1025615[[#This Row],[''FEDER'']]+Tableau_Lancer_la_requête_à_partir_de_Excel_Files1025615[[#This Row],[Total Etat]]+Tableau_Lancer_la_requête_à_partir_de_Excel_Files1025615[[#This Row],[Total Régions]]+Tableau_Lancer_la_requête_à_partir_de_Excel_Files1025615[[#This Row],[Total Dpts]]</f>
        <v>40132.639999999999</v>
      </c>
      <c r="J7" s="51">
        <f>Tableau_Lancer_la_requête_à_partir_de_Excel_Files1025615[[#This Row],[Aide Massif]]/Tableau_Lancer_la_requête_à_partir_de_Excel_Files1025615[[#This Row],[''Coût total éligible'']]</f>
        <v>0.4999998754131611</v>
      </c>
      <c r="K7" s="50">
        <v>0</v>
      </c>
      <c r="L7" s="50">
        <f>Tableau_Lancer_la_requête_à_partir_de_Excel_Files1025615[[#This Row],[''FNADT '']]+Tableau_Lancer_la_requête_à_partir_de_Excel_Files1025615[[#This Row],[''Agriculture'']]</f>
        <v>40132.639999999999</v>
      </c>
      <c r="M7" s="50">
        <v>40132.639999999999</v>
      </c>
      <c r="N7" s="50"/>
      <c r="O7" s="50">
        <f>Tableau_Lancer_la_requête_à_partir_de_Excel_Files1025615[[#This Row],[''ALPC'']]+Tableau_Lancer_la_requête_à_partir_de_Excel_Files1025615[[#This Row],[''AURA'']]+Tableau_Lancer_la_requête_à_partir_de_Excel_Files1025615[[#This Row],[''BFC'']]+Tableau_Lancer_la_requête_à_partir_de_Excel_Files1025615[[#This Row],[''LRMP'']]</f>
        <v>0</v>
      </c>
      <c r="P7" s="50"/>
      <c r="Q7" s="50"/>
      <c r="R7" s="50"/>
      <c r="S7" s="50"/>
      <c r="T7" s="50">
        <f>Tableau_Lancer_la_requête_à_partir_de_Excel_Files1025615[[#This Row],[''03'']]+Tableau_Lancer_la_requête_à_partir_de_Excel_Files1025615[[#This Row],[''07'']]+Tableau_Lancer_la_requête_à_partir_de_Excel_Files1025615[[#This Row],[''11'']]+Tableau_Lancer_la_requête_à_partir_de_Excel_Files1025615[[#This Row],[''12'']]+Tableau_Lancer_la_requête_à_partir_de_Excel_Files1025615[[#This Row],[''15'']]+Tableau_Lancer_la_requête_à_partir_de_Excel_Files1025615[[#This Row],[''19'']]+Tableau_Lancer_la_requête_à_partir_de_Excel_Files1025615[[#This Row],[''21'']]+Tableau_Lancer_la_requête_à_partir_de_Excel_Files1025615[[#This Row],[''23'']]+Tableau_Lancer_la_requête_à_partir_de_Excel_Files1025615[[#This Row],[''30'']]+Tableau_Lancer_la_requête_à_partir_de_Excel_Files1025615[[#This Row],[''34'']]+Tableau_Lancer_la_requête_à_partir_de_Excel_Files1025615[[#This Row],[''42'']]+Tableau_Lancer_la_requête_à_partir_de_Excel_Files1025615[[#This Row],[''43'']]+Tableau_Lancer_la_requête_à_partir_de_Excel_Files1025615[[#This Row],[''46'']]+Tableau_Lancer_la_requête_à_partir_de_Excel_Files1025615[[#This Row],[''48'']]+Tableau_Lancer_la_requête_à_partir_de_Excel_Files1025615[[#This Row],[''58'']]+Tableau_Lancer_la_requête_à_partir_de_Excel_Files1025615[[#This Row],[''63'']]+Tableau_Lancer_la_requête_à_partir_de_Excel_Files1025615[[#This Row],[''69'']]+Tableau_Lancer_la_requête_à_partir_de_Excel_Files1025615[[#This Row],[''71'']]+Tableau_Lancer_la_requête_à_partir_de_Excel_Files1025615[[#This Row],[''81'']]+Tableau_Lancer_la_requête_à_partir_de_Excel_Files1025615[[#This Row],[''82'']]+Tableau_Lancer_la_requête_à_partir_de_Excel_Files1025615[[#This Row],[''87'']]+Tableau_Lancer_la_requête_à_partir_de_Excel_Files1025615[[#This Row],[''89'']]</f>
        <v>0</v>
      </c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>
        <v>0</v>
      </c>
      <c r="AR7" s="10" t="s">
        <v>231</v>
      </c>
      <c r="AS7" s="11" t="s">
        <v>231</v>
      </c>
      <c r="AT7" s="57"/>
      <c r="AV7" s="124"/>
    </row>
    <row r="8" spans="1:85" s="10" customFormat="1" ht="30" x14ac:dyDescent="0.25">
      <c r="A8" s="57" t="s">
        <v>110</v>
      </c>
      <c r="B8" s="57" t="s">
        <v>126</v>
      </c>
      <c r="C8" s="6" t="s">
        <v>127</v>
      </c>
      <c r="D8" s="55" t="s">
        <v>128</v>
      </c>
      <c r="E8" s="55" t="s">
        <v>125</v>
      </c>
      <c r="F8" s="49">
        <v>114571.28</v>
      </c>
      <c r="G8" s="49">
        <f>Tableau_Lancer_la_requête_à_partir_de_Excel_Files1025615[[#This Row],[Aide Massif]]+Tableau_Lancer_la_requête_à_partir_de_Excel_Files1025615[[#This Row],[''Autre Public'']]</f>
        <v>57285.64</v>
      </c>
      <c r="H8" s="56">
        <f>Tableau_Lancer_la_requête_à_partir_de_Excel_Files1025615[[#This Row],[Aide 
publique]]/Tableau_Lancer_la_requête_à_partir_de_Excel_Files1025615[[#This Row],[''Coût total éligible'']]</f>
        <v>0.5</v>
      </c>
      <c r="I8" s="49">
        <f>Tableau_Lancer_la_requête_à_partir_de_Excel_Files1025615[[#This Row],[''FEDER'']]+Tableau_Lancer_la_requête_à_partir_de_Excel_Files1025615[[#This Row],[Total Etat]]+Tableau_Lancer_la_requête_à_partir_de_Excel_Files1025615[[#This Row],[Total Régions]]+Tableau_Lancer_la_requête_à_partir_de_Excel_Files1025615[[#This Row],[Total Dpts]]</f>
        <v>57285.64</v>
      </c>
      <c r="J8" s="56">
        <f>Tableau_Lancer_la_requête_à_partir_de_Excel_Files1025615[[#This Row],[Aide Massif]]/Tableau_Lancer_la_requête_à_partir_de_Excel_Files1025615[[#This Row],[''Coût total éligible'']]</f>
        <v>0.5</v>
      </c>
      <c r="K8" s="49">
        <v>0</v>
      </c>
      <c r="L8" s="49">
        <f>Tableau_Lancer_la_requête_à_partir_de_Excel_Files1025615[[#This Row],[''FNADT '']]+Tableau_Lancer_la_requête_à_partir_de_Excel_Files1025615[[#This Row],[''Agriculture'']]</f>
        <v>57285.64</v>
      </c>
      <c r="M8" s="49">
        <v>57285.64</v>
      </c>
      <c r="N8" s="49"/>
      <c r="O8" s="49">
        <f>Tableau_Lancer_la_requête_à_partir_de_Excel_Files1025615[[#This Row],[''ALPC'']]+Tableau_Lancer_la_requête_à_partir_de_Excel_Files1025615[[#This Row],[''AURA'']]+Tableau_Lancer_la_requête_à_partir_de_Excel_Files1025615[[#This Row],[''BFC'']]+Tableau_Lancer_la_requête_à_partir_de_Excel_Files1025615[[#This Row],[''LRMP'']]</f>
        <v>0</v>
      </c>
      <c r="P8" s="49"/>
      <c r="Q8" s="49"/>
      <c r="R8" s="49"/>
      <c r="S8" s="49"/>
      <c r="T8" s="49">
        <f>Tableau_Lancer_la_requête_à_partir_de_Excel_Files1025615[[#This Row],[''03'']]+Tableau_Lancer_la_requête_à_partir_de_Excel_Files1025615[[#This Row],[''07'']]+Tableau_Lancer_la_requête_à_partir_de_Excel_Files1025615[[#This Row],[''11'']]+Tableau_Lancer_la_requête_à_partir_de_Excel_Files1025615[[#This Row],[''12'']]+Tableau_Lancer_la_requête_à_partir_de_Excel_Files1025615[[#This Row],[''15'']]+Tableau_Lancer_la_requête_à_partir_de_Excel_Files1025615[[#This Row],[''19'']]+Tableau_Lancer_la_requête_à_partir_de_Excel_Files1025615[[#This Row],[''21'']]+Tableau_Lancer_la_requête_à_partir_de_Excel_Files1025615[[#This Row],[''23'']]+Tableau_Lancer_la_requête_à_partir_de_Excel_Files1025615[[#This Row],[''30'']]+Tableau_Lancer_la_requête_à_partir_de_Excel_Files1025615[[#This Row],[''34'']]+Tableau_Lancer_la_requête_à_partir_de_Excel_Files1025615[[#This Row],[''42'']]+Tableau_Lancer_la_requête_à_partir_de_Excel_Files1025615[[#This Row],[''43'']]+Tableau_Lancer_la_requête_à_partir_de_Excel_Files1025615[[#This Row],[''46'']]+Tableau_Lancer_la_requête_à_partir_de_Excel_Files1025615[[#This Row],[''48'']]+Tableau_Lancer_la_requête_à_partir_de_Excel_Files1025615[[#This Row],[''58'']]+Tableau_Lancer_la_requête_à_partir_de_Excel_Files1025615[[#This Row],[''63'']]+Tableau_Lancer_la_requête_à_partir_de_Excel_Files1025615[[#This Row],[''69'']]+Tableau_Lancer_la_requête_à_partir_de_Excel_Files1025615[[#This Row],[''71'']]+Tableau_Lancer_la_requête_à_partir_de_Excel_Files1025615[[#This Row],[''81'']]+Tableau_Lancer_la_requête_à_partir_de_Excel_Files1025615[[#This Row],[''82'']]+Tableau_Lancer_la_requête_à_partir_de_Excel_Files1025615[[#This Row],[''87'']]+Tableau_Lancer_la_requête_à_partir_de_Excel_Files1025615[[#This Row],[''89'']]</f>
        <v>0</v>
      </c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>
        <v>0</v>
      </c>
      <c r="AR8" s="10" t="s">
        <v>231</v>
      </c>
      <c r="AS8" s="10" t="s">
        <v>231</v>
      </c>
      <c r="AT8" s="57"/>
      <c r="AV8" s="125"/>
    </row>
    <row r="9" spans="1:85" s="10" customFormat="1" ht="45" x14ac:dyDescent="0.25">
      <c r="A9" s="57" t="s">
        <v>110</v>
      </c>
      <c r="B9" s="57" t="s">
        <v>126</v>
      </c>
      <c r="C9" s="6" t="s">
        <v>129</v>
      </c>
      <c r="D9" s="55" t="s">
        <v>130</v>
      </c>
      <c r="E9" s="55" t="s">
        <v>131</v>
      </c>
      <c r="F9" s="49">
        <v>181146</v>
      </c>
      <c r="G9" s="49">
        <f>Tableau_Lancer_la_requête_à_partir_de_Excel_Files1025615[[#This Row],[Aide Massif]]+Tableau_Lancer_la_requête_à_partir_de_Excel_Files1025615[[#This Row],[''Autre Public'']]</f>
        <v>90573</v>
      </c>
      <c r="H9" s="56">
        <f>Tableau_Lancer_la_requête_à_partir_de_Excel_Files1025615[[#This Row],[Aide 
publique]]/Tableau_Lancer_la_requête_à_partir_de_Excel_Files1025615[[#This Row],[''Coût total éligible'']]</f>
        <v>0.5</v>
      </c>
      <c r="I9" s="49">
        <f>Tableau_Lancer_la_requête_à_partir_de_Excel_Files1025615[[#This Row],[''FEDER'']]+Tableau_Lancer_la_requête_à_partir_de_Excel_Files1025615[[#This Row],[Total Etat]]+Tableau_Lancer_la_requête_à_partir_de_Excel_Files1025615[[#This Row],[Total Régions]]+Tableau_Lancer_la_requête_à_partir_de_Excel_Files1025615[[#This Row],[Total Dpts]]</f>
        <v>90573</v>
      </c>
      <c r="J9" s="56">
        <f>Tableau_Lancer_la_requête_à_partir_de_Excel_Files1025615[[#This Row],[Aide Massif]]/Tableau_Lancer_la_requête_à_partir_de_Excel_Files1025615[[#This Row],[''Coût total éligible'']]</f>
        <v>0.5</v>
      </c>
      <c r="K9" s="49">
        <v>0</v>
      </c>
      <c r="L9" s="49">
        <f>Tableau_Lancer_la_requête_à_partir_de_Excel_Files1025615[[#This Row],[''FNADT '']]+Tableau_Lancer_la_requête_à_partir_de_Excel_Files1025615[[#This Row],[''Agriculture'']]</f>
        <v>90573</v>
      </c>
      <c r="M9" s="49">
        <v>90573</v>
      </c>
      <c r="N9" s="49"/>
      <c r="O9" s="49">
        <f>Tableau_Lancer_la_requête_à_partir_de_Excel_Files1025615[[#This Row],[''ALPC'']]+Tableau_Lancer_la_requête_à_partir_de_Excel_Files1025615[[#This Row],[''AURA'']]+Tableau_Lancer_la_requête_à_partir_de_Excel_Files1025615[[#This Row],[''BFC'']]+Tableau_Lancer_la_requête_à_partir_de_Excel_Files1025615[[#This Row],[''LRMP'']]</f>
        <v>0</v>
      </c>
      <c r="P9" s="49"/>
      <c r="Q9" s="49"/>
      <c r="R9" s="49"/>
      <c r="S9" s="49"/>
      <c r="T9" s="49">
        <f>Tableau_Lancer_la_requête_à_partir_de_Excel_Files1025615[[#This Row],[''03'']]+Tableau_Lancer_la_requête_à_partir_de_Excel_Files1025615[[#This Row],[''07'']]+Tableau_Lancer_la_requête_à_partir_de_Excel_Files1025615[[#This Row],[''11'']]+Tableau_Lancer_la_requête_à_partir_de_Excel_Files1025615[[#This Row],[''12'']]+Tableau_Lancer_la_requête_à_partir_de_Excel_Files1025615[[#This Row],[''15'']]+Tableau_Lancer_la_requête_à_partir_de_Excel_Files1025615[[#This Row],[''19'']]+Tableau_Lancer_la_requête_à_partir_de_Excel_Files1025615[[#This Row],[''21'']]+Tableau_Lancer_la_requête_à_partir_de_Excel_Files1025615[[#This Row],[''23'']]+Tableau_Lancer_la_requête_à_partir_de_Excel_Files1025615[[#This Row],[''30'']]+Tableau_Lancer_la_requête_à_partir_de_Excel_Files1025615[[#This Row],[''34'']]+Tableau_Lancer_la_requête_à_partir_de_Excel_Files1025615[[#This Row],[''42'']]+Tableau_Lancer_la_requête_à_partir_de_Excel_Files1025615[[#This Row],[''43'']]+Tableau_Lancer_la_requête_à_partir_de_Excel_Files1025615[[#This Row],[''46'']]+Tableau_Lancer_la_requête_à_partir_de_Excel_Files1025615[[#This Row],[''48'']]+Tableau_Lancer_la_requête_à_partir_de_Excel_Files1025615[[#This Row],[''58'']]+Tableau_Lancer_la_requête_à_partir_de_Excel_Files1025615[[#This Row],[''63'']]+Tableau_Lancer_la_requête_à_partir_de_Excel_Files1025615[[#This Row],[''69'']]+Tableau_Lancer_la_requête_à_partir_de_Excel_Files1025615[[#This Row],[''71'']]+Tableau_Lancer_la_requête_à_partir_de_Excel_Files1025615[[#This Row],[''81'']]+Tableau_Lancer_la_requête_à_partir_de_Excel_Files1025615[[#This Row],[''82'']]+Tableau_Lancer_la_requête_à_partir_de_Excel_Files1025615[[#This Row],[''87'']]+Tableau_Lancer_la_requête_à_partir_de_Excel_Files1025615[[#This Row],[''89'']]</f>
        <v>0</v>
      </c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>
        <v>0</v>
      </c>
      <c r="AR9" s="10" t="s">
        <v>231</v>
      </c>
      <c r="AS9" s="10" t="s">
        <v>231</v>
      </c>
      <c r="AT9" s="57"/>
      <c r="AV9" s="124"/>
    </row>
    <row r="10" spans="1:85" s="10" customFormat="1" ht="30" x14ac:dyDescent="0.25">
      <c r="A10" s="114" t="s">
        <v>110</v>
      </c>
      <c r="B10" s="114" t="s">
        <v>126</v>
      </c>
      <c r="C10" s="111" t="s">
        <v>132</v>
      </c>
      <c r="D10" s="115" t="s">
        <v>133</v>
      </c>
      <c r="E10" s="115" t="s">
        <v>134</v>
      </c>
      <c r="F10" s="116">
        <v>200000</v>
      </c>
      <c r="G10" s="116">
        <f>Tableau_Lancer_la_requête_à_partir_de_Excel_Files1025615[[#This Row],[Aide Massif]]+Tableau_Lancer_la_requête_à_partir_de_Excel_Files1025615[[#This Row],[''Autre Public'']]</f>
        <v>100000</v>
      </c>
      <c r="H10" s="117">
        <f>Tableau_Lancer_la_requête_à_partir_de_Excel_Files1025615[[#This Row],[Aide 
publique]]/Tableau_Lancer_la_requête_à_partir_de_Excel_Files1025615[[#This Row],[''Coût total éligible'']]</f>
        <v>0.5</v>
      </c>
      <c r="I10" s="116">
        <f>Tableau_Lancer_la_requête_à_partir_de_Excel_Files1025615[[#This Row],[''FEDER'']]+Tableau_Lancer_la_requête_à_partir_de_Excel_Files1025615[[#This Row],[Total Etat]]+Tableau_Lancer_la_requête_à_partir_de_Excel_Files1025615[[#This Row],[Total Régions]]+Tableau_Lancer_la_requête_à_partir_de_Excel_Files1025615[[#This Row],[Total Dpts]]</f>
        <v>100000</v>
      </c>
      <c r="J10" s="117">
        <f>Tableau_Lancer_la_requête_à_partir_de_Excel_Files1025615[[#This Row],[Aide Massif]]/Tableau_Lancer_la_requête_à_partir_de_Excel_Files1025615[[#This Row],[''Coût total éligible'']]</f>
        <v>0.5</v>
      </c>
      <c r="K10" s="116">
        <v>0</v>
      </c>
      <c r="L10" s="49">
        <f>Tableau_Lancer_la_requête_à_partir_de_Excel_Files1025615[[#This Row],[''FNADT '']]+Tableau_Lancer_la_requête_à_partir_de_Excel_Files1025615[[#This Row],[''Agriculture'']]</f>
        <v>100000</v>
      </c>
      <c r="M10" s="116">
        <v>100000</v>
      </c>
      <c r="N10" s="116"/>
      <c r="O10" s="116">
        <f>Tableau_Lancer_la_requête_à_partir_de_Excel_Files1025615[[#This Row],[''ALPC'']]+Tableau_Lancer_la_requête_à_partir_de_Excel_Files1025615[[#This Row],[''AURA'']]+Tableau_Lancer_la_requête_à_partir_de_Excel_Files1025615[[#This Row],[''BFC'']]+Tableau_Lancer_la_requête_à_partir_de_Excel_Files1025615[[#This Row],[''LRMP'']]</f>
        <v>0</v>
      </c>
      <c r="P10" s="116"/>
      <c r="Q10" s="116"/>
      <c r="R10" s="116"/>
      <c r="S10" s="116"/>
      <c r="T10" s="116">
        <f>Tableau_Lancer_la_requête_à_partir_de_Excel_Files1025615[[#This Row],[''03'']]+Tableau_Lancer_la_requête_à_partir_de_Excel_Files1025615[[#This Row],[''07'']]+Tableau_Lancer_la_requête_à_partir_de_Excel_Files1025615[[#This Row],[''11'']]+Tableau_Lancer_la_requête_à_partir_de_Excel_Files1025615[[#This Row],[''12'']]+Tableau_Lancer_la_requête_à_partir_de_Excel_Files1025615[[#This Row],[''15'']]+Tableau_Lancer_la_requête_à_partir_de_Excel_Files1025615[[#This Row],[''19'']]+Tableau_Lancer_la_requête_à_partir_de_Excel_Files1025615[[#This Row],[''21'']]+Tableau_Lancer_la_requête_à_partir_de_Excel_Files1025615[[#This Row],[''23'']]+Tableau_Lancer_la_requête_à_partir_de_Excel_Files1025615[[#This Row],[''30'']]+Tableau_Lancer_la_requête_à_partir_de_Excel_Files1025615[[#This Row],[''34'']]+Tableau_Lancer_la_requête_à_partir_de_Excel_Files1025615[[#This Row],[''42'']]+Tableau_Lancer_la_requête_à_partir_de_Excel_Files1025615[[#This Row],[''43'']]+Tableau_Lancer_la_requête_à_partir_de_Excel_Files1025615[[#This Row],[''46'']]+Tableau_Lancer_la_requête_à_partir_de_Excel_Files1025615[[#This Row],[''48'']]+Tableau_Lancer_la_requête_à_partir_de_Excel_Files1025615[[#This Row],[''58'']]+Tableau_Lancer_la_requête_à_partir_de_Excel_Files1025615[[#This Row],[''63'']]+Tableau_Lancer_la_requête_à_partir_de_Excel_Files1025615[[#This Row],[''69'']]+Tableau_Lancer_la_requête_à_partir_de_Excel_Files1025615[[#This Row],[''71'']]+Tableau_Lancer_la_requête_à_partir_de_Excel_Files1025615[[#This Row],[''81'']]+Tableau_Lancer_la_requête_à_partir_de_Excel_Files1025615[[#This Row],[''82'']]+Tableau_Lancer_la_requête_à_partir_de_Excel_Files1025615[[#This Row],[''87'']]+Tableau_Lancer_la_requête_à_partir_de_Excel_Files1025615[[#This Row],[''89'']]</f>
        <v>0</v>
      </c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>
        <v>0</v>
      </c>
      <c r="AR10" s="105" t="s">
        <v>231</v>
      </c>
      <c r="AS10" s="105" t="s">
        <v>231</v>
      </c>
      <c r="AT10" s="114"/>
      <c r="AV10" s="125"/>
    </row>
    <row r="11" spans="1:85" s="10" customFormat="1" ht="30.75" thickBot="1" x14ac:dyDescent="0.3">
      <c r="A11" s="57" t="s">
        <v>110</v>
      </c>
      <c r="B11" s="57" t="s">
        <v>126</v>
      </c>
      <c r="C11" s="6" t="s">
        <v>242</v>
      </c>
      <c r="D11" s="55" t="s">
        <v>243</v>
      </c>
      <c r="E11" s="55" t="s">
        <v>245</v>
      </c>
      <c r="F11" s="49">
        <v>233299.20000000001</v>
      </c>
      <c r="G11" s="49">
        <f>Tableau_Lancer_la_requête_à_partir_de_Excel_Files1025615[[#This Row],[Aide Massif]]+Tableau_Lancer_la_requête_à_partir_de_Excel_Files1025615[[#This Row],[''Autre Public'']]</f>
        <v>100000</v>
      </c>
      <c r="H11" s="56">
        <f>Tableau_Lancer_la_requête_à_partir_de_Excel_Files1025615[[#This Row],[Aide 
publique]]/Tableau_Lancer_la_requête_à_partir_de_Excel_Files1025615[[#This Row],[''Coût total éligible'']]</f>
        <v>0.42863413162154007</v>
      </c>
      <c r="I11" s="49">
        <f>Tableau_Lancer_la_requête_à_partir_de_Excel_Files1025615[[#This Row],[''FEDER'']]+Tableau_Lancer_la_requête_à_partir_de_Excel_Files1025615[[#This Row],[Total Etat]]+Tableau_Lancer_la_requête_à_partir_de_Excel_Files1025615[[#This Row],[Total Régions]]+Tableau_Lancer_la_requête_à_partir_de_Excel_Files1025615[[#This Row],[Total Dpts]]</f>
        <v>100000</v>
      </c>
      <c r="J11" s="56">
        <f>Tableau_Lancer_la_requête_à_partir_de_Excel_Files1025615[[#This Row],[Aide Massif]]/Tableau_Lancer_la_requête_à_partir_de_Excel_Files1025615[[#This Row],[''Coût total éligible'']]</f>
        <v>0.42863413162154007</v>
      </c>
      <c r="K11" s="49">
        <v>0</v>
      </c>
      <c r="L11" s="49">
        <f>Tableau_Lancer_la_requête_à_partir_de_Excel_Files1025615[[#This Row],[''FNADT '']]+Tableau_Lancer_la_requête_à_partir_de_Excel_Files1025615[[#This Row],[''Agriculture'']]</f>
        <v>100000</v>
      </c>
      <c r="M11" s="49">
        <v>100000</v>
      </c>
      <c r="N11" s="49"/>
      <c r="O11" s="49">
        <f>Tableau_Lancer_la_requête_à_partir_de_Excel_Files1025615[[#This Row],[''ALPC'']]+Tableau_Lancer_la_requête_à_partir_de_Excel_Files1025615[[#This Row],[''AURA'']]+Tableau_Lancer_la_requête_à_partir_de_Excel_Files1025615[[#This Row],[''BFC'']]+Tableau_Lancer_la_requête_à_partir_de_Excel_Files1025615[[#This Row],[''LRMP'']]</f>
        <v>0</v>
      </c>
      <c r="P11" s="49"/>
      <c r="Q11" s="49"/>
      <c r="R11" s="49"/>
      <c r="S11" s="49"/>
      <c r="T11" s="49">
        <f>Tableau_Lancer_la_requête_à_partir_de_Excel_Files1025615[[#This Row],[''03'']]+Tableau_Lancer_la_requête_à_partir_de_Excel_Files1025615[[#This Row],[''07'']]+Tableau_Lancer_la_requête_à_partir_de_Excel_Files1025615[[#This Row],[''11'']]+Tableau_Lancer_la_requête_à_partir_de_Excel_Files1025615[[#This Row],[''12'']]+Tableau_Lancer_la_requête_à_partir_de_Excel_Files1025615[[#This Row],[''15'']]+Tableau_Lancer_la_requête_à_partir_de_Excel_Files1025615[[#This Row],[''19'']]+Tableau_Lancer_la_requête_à_partir_de_Excel_Files1025615[[#This Row],[''21'']]+Tableau_Lancer_la_requête_à_partir_de_Excel_Files1025615[[#This Row],[''23'']]+Tableau_Lancer_la_requête_à_partir_de_Excel_Files1025615[[#This Row],[''30'']]+Tableau_Lancer_la_requête_à_partir_de_Excel_Files1025615[[#This Row],[''34'']]+Tableau_Lancer_la_requête_à_partir_de_Excel_Files1025615[[#This Row],[''42'']]+Tableau_Lancer_la_requête_à_partir_de_Excel_Files1025615[[#This Row],[''43'']]+Tableau_Lancer_la_requête_à_partir_de_Excel_Files1025615[[#This Row],[''46'']]+Tableau_Lancer_la_requête_à_partir_de_Excel_Files1025615[[#This Row],[''48'']]+Tableau_Lancer_la_requête_à_partir_de_Excel_Files1025615[[#This Row],[''58'']]+Tableau_Lancer_la_requête_à_partir_de_Excel_Files1025615[[#This Row],[''63'']]+Tableau_Lancer_la_requête_à_partir_de_Excel_Files1025615[[#This Row],[''69'']]+Tableau_Lancer_la_requête_à_partir_de_Excel_Files1025615[[#This Row],[''71'']]+Tableau_Lancer_la_requête_à_partir_de_Excel_Files1025615[[#This Row],[''81'']]+Tableau_Lancer_la_requête_à_partir_de_Excel_Files1025615[[#This Row],[''82'']]+Tableau_Lancer_la_requête_à_partir_de_Excel_Files1025615[[#This Row],[''87'']]+Tableau_Lancer_la_requête_à_partir_de_Excel_Files1025615[[#This Row],[''89'']]</f>
        <v>0</v>
      </c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>
        <v>0</v>
      </c>
      <c r="AS11" s="10" t="s">
        <v>231</v>
      </c>
      <c r="AT11" s="57"/>
      <c r="AV11" s="124"/>
    </row>
    <row r="12" spans="1:85" s="10" customFormat="1" ht="15.75" thickTop="1" x14ac:dyDescent="0.25">
      <c r="C12" s="10" t="s">
        <v>8</v>
      </c>
      <c r="D12" s="5">
        <f>SUBTOTAL(103,Tableau_Lancer_la_requête_à_partir_de_Excel_Files1025615[Nom_MO])</f>
        <v>5</v>
      </c>
      <c r="E12" s="5"/>
      <c r="F12" s="52">
        <f>SUBTOTAL(109,Tableau_Lancer_la_requête_à_partir_de_Excel_Files1025615[''Coût total éligible''])</f>
        <v>809281.78</v>
      </c>
      <c r="G12" s="52">
        <f>SUBTOTAL(109,Tableau_Lancer_la_requête_à_partir_de_Excel_Files1025615[Aide 
publique])</f>
        <v>387991.28</v>
      </c>
      <c r="H12" s="123"/>
      <c r="I12" s="52">
        <f>SUBTOTAL(109,Tableau_Lancer_la_requête_à_partir_de_Excel_Files1025615[Aide Massif])</f>
        <v>387991.28</v>
      </c>
      <c r="J12" s="123"/>
      <c r="K12" s="52">
        <f>SUBTOTAL(109,Tableau_Lancer_la_requête_à_partir_de_Excel_Files1025615[''FEDER''])</f>
        <v>0</v>
      </c>
      <c r="L12" s="52">
        <f>SUBTOTAL(109,Tableau_Lancer_la_requête_à_partir_de_Excel_Files1025615[Total Etat])</f>
        <v>387991.28</v>
      </c>
      <c r="N12" s="52">
        <f>SUBTOTAL(109,Tableau_Lancer_la_requête_à_partir_de_Excel_Files1025615[''Agriculture''])</f>
        <v>0</v>
      </c>
      <c r="O12" s="52">
        <f>SUBTOTAL(109,Tableau_Lancer_la_requête_à_partir_de_Excel_Files1025615[Total Régions])</f>
        <v>0</v>
      </c>
      <c r="P12" s="52">
        <f>SUBTOTAL(109,Tableau_Lancer_la_requête_à_partir_de_Excel_Files1025615[''ALPC''])</f>
        <v>0</v>
      </c>
      <c r="Q12" s="52">
        <f>SUBTOTAL(109,Tableau_Lancer_la_requête_à_partir_de_Excel_Files1025615[''AURA''])</f>
        <v>0</v>
      </c>
      <c r="R12" s="52">
        <f>SUBTOTAL(109,Tableau_Lancer_la_requête_à_partir_de_Excel_Files1025615[''BFC''])</f>
        <v>0</v>
      </c>
      <c r="S12" s="52">
        <f>SUBTOTAL(109,Tableau_Lancer_la_requête_à_partir_de_Excel_Files1025615[''LRMP''])</f>
        <v>0</v>
      </c>
      <c r="T12" s="52">
        <f>SUBTOTAL(109,Tableau_Lancer_la_requête_à_partir_de_Excel_Files1025615[Total Dpts])</f>
        <v>0</v>
      </c>
      <c r="U12" s="52">
        <f>SUBTOTAL(109,Tableau_Lancer_la_requête_à_partir_de_Excel_Files1025615[''03''])</f>
        <v>0</v>
      </c>
      <c r="V12" s="52">
        <f>SUBTOTAL(109,Tableau_Lancer_la_requête_à_partir_de_Excel_Files1025615[''07''])</f>
        <v>0</v>
      </c>
      <c r="W12" s="52">
        <f>SUBTOTAL(109,Tableau_Lancer_la_requête_à_partir_de_Excel_Files1025615[''11''])</f>
        <v>0</v>
      </c>
      <c r="X12" s="52">
        <f>SUBTOTAL(109,Tableau_Lancer_la_requête_à_partir_de_Excel_Files1025615[''12''])</f>
        <v>0</v>
      </c>
      <c r="Y12" s="52">
        <f>SUBTOTAL(109,Tableau_Lancer_la_requête_à_partir_de_Excel_Files1025615[''15''])</f>
        <v>0</v>
      </c>
      <c r="Z12" s="52">
        <f>SUBTOTAL(109,Tableau_Lancer_la_requête_à_partir_de_Excel_Files1025615[''19''])</f>
        <v>0</v>
      </c>
      <c r="AA12" s="52">
        <f>SUBTOTAL(109,Tableau_Lancer_la_requête_à_partir_de_Excel_Files1025615[''21''])</f>
        <v>0</v>
      </c>
      <c r="AB12" s="52">
        <f>SUBTOTAL(109,Tableau_Lancer_la_requête_à_partir_de_Excel_Files1025615[''23''])</f>
        <v>0</v>
      </c>
      <c r="AC12" s="52">
        <f>SUBTOTAL(109,Tableau_Lancer_la_requête_à_partir_de_Excel_Files1025615[''30''])</f>
        <v>0</v>
      </c>
      <c r="AD12" s="52">
        <f>SUBTOTAL(109,Tableau_Lancer_la_requête_à_partir_de_Excel_Files1025615[''34''])</f>
        <v>0</v>
      </c>
      <c r="AE12" s="52">
        <f>SUBTOTAL(109,Tableau_Lancer_la_requête_à_partir_de_Excel_Files1025615[''42''])</f>
        <v>0</v>
      </c>
      <c r="AF12" s="52">
        <f>SUBTOTAL(109,Tableau_Lancer_la_requête_à_partir_de_Excel_Files1025615[''43''])</f>
        <v>0</v>
      </c>
      <c r="AG12" s="52">
        <f>SUBTOTAL(109,Tableau_Lancer_la_requête_à_partir_de_Excel_Files1025615[''46''])</f>
        <v>0</v>
      </c>
      <c r="AH12" s="52">
        <f>SUBTOTAL(109,Tableau_Lancer_la_requête_à_partir_de_Excel_Files1025615[''48''])</f>
        <v>0</v>
      </c>
      <c r="AI12" s="52">
        <f>SUBTOTAL(109,Tableau_Lancer_la_requête_à_partir_de_Excel_Files1025615[''58''])</f>
        <v>0</v>
      </c>
      <c r="AJ12" s="52">
        <f>SUBTOTAL(109,Tableau_Lancer_la_requête_à_partir_de_Excel_Files1025615[''63''])</f>
        <v>0</v>
      </c>
      <c r="AK12" s="52">
        <f>SUBTOTAL(109,Tableau_Lancer_la_requête_à_partir_de_Excel_Files1025615[''69''])</f>
        <v>0</v>
      </c>
      <c r="AL12" s="52">
        <f>SUBTOTAL(109,Tableau_Lancer_la_requête_à_partir_de_Excel_Files1025615[''71''])</f>
        <v>0</v>
      </c>
      <c r="AM12" s="52">
        <f>SUBTOTAL(109,Tableau_Lancer_la_requête_à_partir_de_Excel_Files1025615[''81''])</f>
        <v>0</v>
      </c>
      <c r="AN12" s="52">
        <f>SUBTOTAL(109,Tableau_Lancer_la_requête_à_partir_de_Excel_Files1025615[''82''])</f>
        <v>0</v>
      </c>
      <c r="AO12" s="52">
        <f>SUBTOTAL(109,Tableau_Lancer_la_requête_à_partir_de_Excel_Files1025615[''87''])</f>
        <v>0</v>
      </c>
      <c r="AP12" s="52">
        <f>SUBTOTAL(109,Tableau_Lancer_la_requête_à_partir_de_Excel_Files1025615[''89''])</f>
        <v>0</v>
      </c>
      <c r="AQ12" s="52">
        <f>SUBTOTAL(109,Tableau_Lancer_la_requête_à_partir_de_Excel_Files1025615[''Autre Public''])</f>
        <v>0</v>
      </c>
      <c r="AS12" s="3"/>
      <c r="AV12" s="127"/>
    </row>
    <row r="13" spans="1:85" x14ac:dyDescent="0.25">
      <c r="CC13" s="4"/>
      <c r="CG13" s="3"/>
    </row>
    <row r="14" spans="1:85" x14ac:dyDescent="0.25">
      <c r="CC14" s="4"/>
      <c r="CG14" s="3"/>
    </row>
    <row r="15" spans="1:85" x14ac:dyDescent="0.25">
      <c r="CC15" s="4"/>
      <c r="CG15" s="3"/>
    </row>
    <row r="16" spans="1:85" x14ac:dyDescent="0.25">
      <c r="CC16" s="4"/>
      <c r="CG16" s="3"/>
    </row>
    <row r="17" spans="1:85" x14ac:dyDescent="0.25">
      <c r="CC17" s="4"/>
      <c r="CG17" s="3"/>
    </row>
    <row r="18" spans="1:85" s="7" customFormat="1" x14ac:dyDescent="0.25">
      <c r="A18" s="3"/>
      <c r="B18" s="4"/>
      <c r="C18" s="5"/>
      <c r="D18" s="3"/>
      <c r="E18" s="3"/>
      <c r="F18" s="6"/>
      <c r="G18" s="3"/>
      <c r="H18" s="6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V18" s="10"/>
    </row>
    <row r="19" spans="1:85" s="10" customFormat="1" x14ac:dyDescent="0.25">
      <c r="A19" s="3"/>
      <c r="B19" s="4"/>
      <c r="C19" s="5"/>
      <c r="D19" s="3"/>
      <c r="E19" s="3"/>
      <c r="F19" s="6"/>
      <c r="G19" s="3"/>
      <c r="H19" s="6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</row>
    <row r="20" spans="1:85" x14ac:dyDescent="0.25">
      <c r="CF20" s="4"/>
      <c r="CG20" s="3"/>
    </row>
    <row r="22" spans="1:85" hidden="1" x14ac:dyDescent="0.25">
      <c r="E22" s="3" t="s">
        <v>81</v>
      </c>
      <c r="F22" s="6" t="s">
        <v>79</v>
      </c>
    </row>
    <row r="23" spans="1:85" hidden="1" x14ac:dyDescent="0.25">
      <c r="D23" t="s">
        <v>55</v>
      </c>
      <c r="E23" s="3">
        <f>H23+I23</f>
        <v>0</v>
      </c>
      <c r="F23" s="3">
        <f>M23+R23</f>
        <v>0</v>
      </c>
      <c r="H23" s="3">
        <f>SUMIF(Tableau_Lancer_la_requête_à_partir_de_Excel_Files1025615[Avis Prog],"1-Favorable",Tableau_Lancer_la_requête_à_partir_de_Excel_Files1025615[''FEDER''])</f>
        <v>0</v>
      </c>
      <c r="I23" s="3">
        <f>SUMIF(Tableau_Lancer_la_requête_à_partir_de_Excel_Files1025615[Avis Prog],"2-Favorable sous réserve",Tableau_Lancer_la_requête_à_partir_de_Excel_Files1025615[''FEDER''])</f>
        <v>0</v>
      </c>
      <c r="M23" s="3">
        <f>SUMIF(Tableau_Lancer_la_requête_à_partir_de_Excel_Files1025615[Avis Cofimac],"1-Favorable",Tableau_Lancer_la_requête_à_partir_de_Excel_Files1025615[''FEDER''])</f>
        <v>0</v>
      </c>
      <c r="R23" s="3">
        <f>SUMIF(Tableau_Lancer_la_requête_à_partir_de_Excel_Files1025615[Avis Cofimac],"2-Favorable sous réserve",Tableau_Lancer_la_requête_à_partir_de_Excel_Files1025615[''FEDER''])</f>
        <v>0</v>
      </c>
    </row>
    <row r="24" spans="1:85" hidden="1" x14ac:dyDescent="0.25">
      <c r="D24" t="s">
        <v>44</v>
      </c>
      <c r="E24" s="3">
        <f t="shared" ref="E24:E51" si="0">H24+I24</f>
        <v>387991.28</v>
      </c>
      <c r="F24" s="3">
        <f t="shared" ref="F24:F52" si="1">M24+R24</f>
        <v>287991.28000000003</v>
      </c>
      <c r="H24" s="3">
        <f>SUMIF(Tableau_Lancer_la_requête_à_partir_de_Excel_Files1025615[Avis Prog],"1-Favorable",Tableau_Lancer_la_requête_à_partir_de_Excel_Files1025615[Total Etat])</f>
        <v>387991.28</v>
      </c>
      <c r="I24" s="3">
        <f>SUMIF(Tableau_Lancer_la_requête_à_partir_de_Excel_Files1025615[Avis Prog],"2-Favorable sous réserve",Tableau_Lancer_la_requête_à_partir_de_Excel_Files1025615[Total Etat])</f>
        <v>0</v>
      </c>
      <c r="M24" s="3">
        <f>SUMIF(Tableau_Lancer_la_requête_à_partir_de_Excel_Files1025615[Avis Cofimac],"1-Favorable",Tableau_Lancer_la_requête_à_partir_de_Excel_Files1025615[Total Etat])</f>
        <v>287991.28000000003</v>
      </c>
      <c r="R24" s="3">
        <f>SUMIF(Tableau_Lancer_la_requête_à_partir_de_Excel_Files1025615[Avis Cofimac],"2-Favorable sous réserve",Tableau_Lancer_la_requête_à_partir_de_Excel_Files1025615[Total Etat])</f>
        <v>0</v>
      </c>
    </row>
    <row r="25" spans="1:85" hidden="1" x14ac:dyDescent="0.25">
      <c r="D25" t="s">
        <v>45</v>
      </c>
      <c r="E25" s="3">
        <f t="shared" si="0"/>
        <v>0</v>
      </c>
      <c r="F25" s="3">
        <f t="shared" si="1"/>
        <v>0</v>
      </c>
      <c r="H25" s="3">
        <f>SUMIF(Tableau_Lancer_la_requête_à_partir_de_Excel_Files1025615[Avis Prog],"1-Favorable",Tableau_Lancer_la_requête_à_partir_de_Excel_Files1025615[Total Régions])</f>
        <v>0</v>
      </c>
      <c r="I25" s="3">
        <f>SUMIF(Tableau_Lancer_la_requête_à_partir_de_Excel_Files1025615[Avis Prog],"2-Favorable sous réserve",Tableau_Lancer_la_requête_à_partir_de_Excel_Files1025615[Total Régions])</f>
        <v>0</v>
      </c>
      <c r="M25" s="3">
        <f>SUMIF(Tableau_Lancer_la_requête_à_partir_de_Excel_Files1025615[Avis Cofimac],"1-Favorable",Tableau_Lancer_la_requête_à_partir_de_Excel_Files1025615[Total Régions])</f>
        <v>0</v>
      </c>
      <c r="R25" s="3">
        <f>SUMIF(Tableau_Lancer_la_requête_à_partir_de_Excel_Files1025615[Avis Cofimac],"2-Favorable sous réserve",Tableau_Lancer_la_requête_à_partir_de_Excel_Files1025615[Total Régions])</f>
        <v>0</v>
      </c>
    </row>
    <row r="26" spans="1:85" hidden="1" x14ac:dyDescent="0.25">
      <c r="D26" s="3" t="s">
        <v>56</v>
      </c>
      <c r="E26" s="3">
        <f t="shared" si="0"/>
        <v>0</v>
      </c>
      <c r="F26" s="3">
        <f t="shared" si="1"/>
        <v>0</v>
      </c>
      <c r="H26" s="3">
        <f>SUMIF(Tableau_Lancer_la_requête_à_partir_de_Excel_Files1025615[Avis Prog],"1-Favorable",Tableau_Lancer_la_requête_à_partir_de_Excel_Files1025615[''ALPC''])</f>
        <v>0</v>
      </c>
      <c r="I26" s="3">
        <f>SUMIF(Tableau_Lancer_la_requête_à_partir_de_Excel_Files1025615[Avis Prog],"2-Favorable sous réserve",Tableau_Lancer_la_requête_à_partir_de_Excel_Files1025615[''ALPC''])</f>
        <v>0</v>
      </c>
      <c r="M26" s="3">
        <f>SUMIF(Tableau_Lancer_la_requête_à_partir_de_Excel_Files1025615[Avis Cofimac],"1-Favorable",Tableau_Lancer_la_requête_à_partir_de_Excel_Files1025615[''ALPC''])</f>
        <v>0</v>
      </c>
      <c r="R26" s="3">
        <f>SUMIF(Tableau_Lancer_la_requête_à_partir_de_Excel_Files1025615[Avis Cofimac],"2-Favorable sous réserve",Tableau_Lancer_la_requête_à_partir_de_Excel_Files1025615[''ALPC''])</f>
        <v>0</v>
      </c>
    </row>
    <row r="27" spans="1:85" hidden="1" x14ac:dyDescent="0.25">
      <c r="D27" s="3" t="s">
        <v>57</v>
      </c>
      <c r="E27" s="3">
        <f t="shared" si="0"/>
        <v>0</v>
      </c>
      <c r="F27" s="3">
        <f t="shared" si="1"/>
        <v>0</v>
      </c>
      <c r="H27" s="3">
        <f>SUMIF(Tableau_Lancer_la_requête_à_partir_de_Excel_Files1025615[Avis Prog],"1-Favorable",Tableau_Lancer_la_requête_à_partir_de_Excel_Files1025615[''AURA''])</f>
        <v>0</v>
      </c>
      <c r="I27" s="3">
        <f>SUMIF(Tableau_Lancer_la_requête_à_partir_de_Excel_Files1025615[Avis Prog],"2-Favorable sous réserve",Tableau_Lancer_la_requête_à_partir_de_Excel_Files1025615[''AURA''])</f>
        <v>0</v>
      </c>
      <c r="M27" s="3">
        <f>SUMIF(Tableau_Lancer_la_requête_à_partir_de_Excel_Files1025615[Avis Cofimac],"1-Favorable",Tableau_Lancer_la_requête_à_partir_de_Excel_Files1025615[''AURA''])</f>
        <v>0</v>
      </c>
      <c r="R27" s="3">
        <f>SUMIF(Tableau_Lancer_la_requête_à_partir_de_Excel_Files1025615[Avis Cofimac],"2-Favorable sous réserve",Tableau_Lancer_la_requête_à_partir_de_Excel_Files1025615[''AURA''])</f>
        <v>0</v>
      </c>
    </row>
    <row r="28" spans="1:85" hidden="1" x14ac:dyDescent="0.25">
      <c r="D28" s="3" t="s">
        <v>58</v>
      </c>
      <c r="E28" s="3">
        <f t="shared" si="0"/>
        <v>0</v>
      </c>
      <c r="F28" s="3">
        <f t="shared" si="1"/>
        <v>0</v>
      </c>
      <c r="H28" s="3">
        <f>SUMIF(Tableau_Lancer_la_requête_à_partir_de_Excel_Files1025615[Avis Prog],"1-Favorable",Tableau_Lancer_la_requête_à_partir_de_Excel_Files1025615[''BFC''])</f>
        <v>0</v>
      </c>
      <c r="I28" s="3">
        <f>SUMIF(Tableau_Lancer_la_requête_à_partir_de_Excel_Files1025615[Avis Prog],"2-Favorable sous réserve",Tableau_Lancer_la_requête_à_partir_de_Excel_Files1025615[''BFC''])</f>
        <v>0</v>
      </c>
      <c r="M28" s="3">
        <f>SUMIF(Tableau_Lancer_la_requête_à_partir_de_Excel_Files1025615[Avis Cofimac],"1-Favorable",Tableau_Lancer_la_requête_à_partir_de_Excel_Files1025615[''BFC''])</f>
        <v>0</v>
      </c>
      <c r="R28" s="3">
        <f>SUMIF(Tableau_Lancer_la_requête_à_partir_de_Excel_Files1025615[Avis Cofimac],"2-Favorable sous réserve",Tableau_Lancer_la_requête_à_partir_de_Excel_Files1025615[''BFC''])</f>
        <v>0</v>
      </c>
    </row>
    <row r="29" spans="1:85" hidden="1" x14ac:dyDescent="0.25">
      <c r="D29" s="3" t="s">
        <v>59</v>
      </c>
      <c r="E29" s="3">
        <f t="shared" si="0"/>
        <v>0</v>
      </c>
      <c r="F29" s="3">
        <f t="shared" si="1"/>
        <v>0</v>
      </c>
      <c r="H29" s="3">
        <f>SUMIF(Tableau_Lancer_la_requête_à_partir_de_Excel_Files1025615[Avis Prog],"1-Favorable",Tableau_Lancer_la_requête_à_partir_de_Excel_Files1025615[''LRMP''])</f>
        <v>0</v>
      </c>
      <c r="I29" s="3">
        <f>SUMIF(Tableau_Lancer_la_requête_à_partir_de_Excel_Files1025615[Avis Prog],"2-Favorable sous réserve",Tableau_Lancer_la_requête_à_partir_de_Excel_Files1025615[''LRMP''])</f>
        <v>0</v>
      </c>
      <c r="M29" s="3">
        <f>SUMIF(Tableau_Lancer_la_requête_à_partir_de_Excel_Files1025615[Avis Cofimac],"1-Favorable",Tableau_Lancer_la_requête_à_partir_de_Excel_Files1025615[''LRMP''])</f>
        <v>0</v>
      </c>
      <c r="R29" s="3">
        <f>SUMIF(Tableau_Lancer_la_requête_à_partir_de_Excel_Files1025615[Avis Cofimac],"2-Favorable sous réserve",Tableau_Lancer_la_requête_à_partir_de_Excel_Files1025615[''LRMP''])</f>
        <v>0</v>
      </c>
    </row>
    <row r="30" spans="1:85" hidden="1" x14ac:dyDescent="0.25">
      <c r="D30" t="s">
        <v>46</v>
      </c>
      <c r="E30" s="3">
        <f t="shared" si="0"/>
        <v>0</v>
      </c>
      <c r="F30" s="3">
        <f t="shared" si="1"/>
        <v>0</v>
      </c>
      <c r="H30" s="3">
        <f>SUMIF(Tableau_Lancer_la_requête_à_partir_de_Excel_Files1025615[Avis Prog],"1-Favorable",Tableau_Lancer_la_requête_à_partir_de_Excel_Files1025615[Total Dpts])</f>
        <v>0</v>
      </c>
      <c r="I30" s="3">
        <f>SUMIF(Tableau_Lancer_la_requête_à_partir_de_Excel_Files1025615[Avis Prog],"2-Favorable sous réserve",Tableau_Lancer_la_requête_à_partir_de_Excel_Files1025615[Total Dpts])</f>
        <v>0</v>
      </c>
      <c r="M30" s="3">
        <f>SUMIF(Tableau_Lancer_la_requête_à_partir_de_Excel_Files1025615[Avis Cofimac],"1-Favorable",Tableau_Lancer_la_requête_à_partir_de_Excel_Files1025615[Total Dpts])</f>
        <v>0</v>
      </c>
      <c r="R30" s="3">
        <f>SUMIF(Tableau_Lancer_la_requête_à_partir_de_Excel_Files1025615[Avis Cofimac],"2-Favorable sous réserve",Tableau_Lancer_la_requête_à_partir_de_Excel_Files1025615[Total Dpts])</f>
        <v>0</v>
      </c>
    </row>
    <row r="31" spans="1:85" hidden="1" x14ac:dyDescent="0.25">
      <c r="D31" t="s">
        <v>20</v>
      </c>
      <c r="E31" s="3">
        <f t="shared" si="0"/>
        <v>0</v>
      </c>
      <c r="F31" s="3">
        <f t="shared" si="1"/>
        <v>0</v>
      </c>
      <c r="H31" s="3">
        <f>SUMIF(Tableau_Lancer_la_requête_à_partir_de_Excel_Files1025615[Avis Prog],"1-Favorable",Tableau_Lancer_la_requête_à_partir_de_Excel_Files1025615[''03''])</f>
        <v>0</v>
      </c>
      <c r="I31" s="3">
        <f>SUMIF(Tableau_Lancer_la_requête_à_partir_de_Excel_Files1025615[Avis Prog],"2-Favorable sous réserve",Tableau_Lancer_la_requête_à_partir_de_Excel_Files1025615[''03''])</f>
        <v>0</v>
      </c>
      <c r="M31" s="3">
        <f>SUMIF(Tableau_Lancer_la_requête_à_partir_de_Excel_Files1025615[Avis Cofimac],"1-Favorable",Tableau_Lancer_la_requête_à_partir_de_Excel_Files1025615[''03''])</f>
        <v>0</v>
      </c>
      <c r="R31" s="3">
        <f>SUMIF(Tableau_Lancer_la_requête_à_partir_de_Excel_Files1025615[Avis Cofimac],"2-Favorable sous réserve",Tableau_Lancer_la_requête_à_partir_de_Excel_Files1025615[''03''])</f>
        <v>0</v>
      </c>
    </row>
    <row r="32" spans="1:85" hidden="1" x14ac:dyDescent="0.25">
      <c r="D32" t="s">
        <v>21</v>
      </c>
      <c r="E32" s="3">
        <f t="shared" si="0"/>
        <v>0</v>
      </c>
      <c r="F32" s="3">
        <f t="shared" si="1"/>
        <v>0</v>
      </c>
      <c r="H32" s="3">
        <f>SUMIF(Tableau_Lancer_la_requête_à_partir_de_Excel_Files1025615[Avis Prog],"1-Favorable",Tableau_Lancer_la_requête_à_partir_de_Excel_Files1025615[''07''])</f>
        <v>0</v>
      </c>
      <c r="I32" s="3">
        <f>SUMIF(Tableau_Lancer_la_requête_à_partir_de_Excel_Files1025615[Avis Prog],"2-Favorable sous réserve",Tableau_Lancer_la_requête_à_partir_de_Excel_Files1025615[''07''])</f>
        <v>0</v>
      </c>
      <c r="M32" s="3">
        <f>SUMIF(Tableau_Lancer_la_requête_à_partir_de_Excel_Files1025615[Avis Cofimac],"1-Favorable",Tableau_Lancer_la_requête_à_partir_de_Excel_Files1025615[''07''])</f>
        <v>0</v>
      </c>
      <c r="R32" s="3">
        <f>SUMIF(Tableau_Lancer_la_requête_à_partir_de_Excel_Files1025615[Avis Cofimac],"2-Favorable sous réserve",Tableau_Lancer_la_requête_à_partir_de_Excel_Files1025615[''07''])</f>
        <v>0</v>
      </c>
    </row>
    <row r="33" spans="4:18" hidden="1" x14ac:dyDescent="0.25">
      <c r="D33" t="s">
        <v>22</v>
      </c>
      <c r="E33" s="3">
        <f t="shared" si="0"/>
        <v>0</v>
      </c>
      <c r="F33" s="3">
        <f t="shared" si="1"/>
        <v>0</v>
      </c>
      <c r="H33" s="3">
        <f>SUMIF(Tableau_Lancer_la_requête_à_partir_de_Excel_Files1025615[Avis Prog],"1-Favorable",Tableau_Lancer_la_requête_à_partir_de_Excel_Files1025615[''11''])</f>
        <v>0</v>
      </c>
      <c r="I33" s="3">
        <f>SUMIF(Tableau_Lancer_la_requête_à_partir_de_Excel_Files1025615[Avis Prog],"2-Favorable sous réserve",Tableau_Lancer_la_requête_à_partir_de_Excel_Files1025615[''11''])</f>
        <v>0</v>
      </c>
      <c r="M33" s="3">
        <f>SUMIF(Tableau_Lancer_la_requête_à_partir_de_Excel_Files1025615[Avis Cofimac],"1-Favorable",Tableau_Lancer_la_requête_à_partir_de_Excel_Files1025615[''11''])</f>
        <v>0</v>
      </c>
      <c r="R33" s="3">
        <f>SUMIF(Tableau_Lancer_la_requête_à_partir_de_Excel_Files1025615[Avis Cofimac],"2-Favorable sous réserve",Tableau_Lancer_la_requête_à_partir_de_Excel_Files1025615[''11''])</f>
        <v>0</v>
      </c>
    </row>
    <row r="34" spans="4:18" hidden="1" x14ac:dyDescent="0.25">
      <c r="D34" t="s">
        <v>23</v>
      </c>
      <c r="E34" s="3">
        <f t="shared" si="0"/>
        <v>0</v>
      </c>
      <c r="F34" s="3">
        <f t="shared" si="1"/>
        <v>0</v>
      </c>
      <c r="H34" s="3">
        <f>SUMIF(Tableau_Lancer_la_requête_à_partir_de_Excel_Files1025615[Avis Prog],"1-Favorable",Tableau_Lancer_la_requête_à_partir_de_Excel_Files1025615[''12''])</f>
        <v>0</v>
      </c>
      <c r="I34" s="3">
        <f>SUMIF(Tableau_Lancer_la_requête_à_partir_de_Excel_Files1025615[Avis Prog],"2-Favorable sous réserve",Tableau_Lancer_la_requête_à_partir_de_Excel_Files1025615[''12''])</f>
        <v>0</v>
      </c>
      <c r="M34" s="3">
        <f>SUMIF(Tableau_Lancer_la_requête_à_partir_de_Excel_Files1025615[Avis Cofimac],"1-Favorable",Tableau_Lancer_la_requête_à_partir_de_Excel_Files1025615[''12''])</f>
        <v>0</v>
      </c>
      <c r="R34" s="3">
        <f>SUMIF(Tableau_Lancer_la_requête_à_partir_de_Excel_Files1025615[Avis Cofimac],"2-Favorable sous réserve",Tableau_Lancer_la_requête_à_partir_de_Excel_Files1025615[''12''])</f>
        <v>0</v>
      </c>
    </row>
    <row r="35" spans="4:18" hidden="1" x14ac:dyDescent="0.25">
      <c r="D35" t="s">
        <v>24</v>
      </c>
      <c r="E35" s="3">
        <f t="shared" si="0"/>
        <v>0</v>
      </c>
      <c r="F35" s="3">
        <f t="shared" si="1"/>
        <v>0</v>
      </c>
      <c r="H35" s="3">
        <f>SUMIF(Tableau_Lancer_la_requête_à_partir_de_Excel_Files1025615[Avis Prog],"1-Favorable",Tableau_Lancer_la_requête_à_partir_de_Excel_Files1025615[''15''])</f>
        <v>0</v>
      </c>
      <c r="I35" s="3">
        <f>SUMIF(Tableau_Lancer_la_requête_à_partir_de_Excel_Files1025615[Avis Prog],"2-Favorable sous réserve",Tableau_Lancer_la_requête_à_partir_de_Excel_Files1025615[''15''])</f>
        <v>0</v>
      </c>
      <c r="M35" s="3">
        <f>SUMIF(Tableau_Lancer_la_requête_à_partir_de_Excel_Files1025615[Avis Cofimac],"1-Favorable",Tableau_Lancer_la_requête_à_partir_de_Excel_Files1025615[''15''])</f>
        <v>0</v>
      </c>
      <c r="R35" s="3">
        <f>SUMIF(Tableau_Lancer_la_requête_à_partir_de_Excel_Files1025615[Avis Cofimac],"2-Favorable sous réserve",Tableau_Lancer_la_requête_à_partir_de_Excel_Files1025615[''15''])</f>
        <v>0</v>
      </c>
    </row>
    <row r="36" spans="4:18" hidden="1" x14ac:dyDescent="0.25">
      <c r="D36" t="s">
        <v>25</v>
      </c>
      <c r="E36" s="3">
        <f t="shared" si="0"/>
        <v>0</v>
      </c>
      <c r="F36" s="3">
        <f t="shared" si="1"/>
        <v>0</v>
      </c>
      <c r="H36" s="3">
        <f>SUMIF(Tableau_Lancer_la_requête_à_partir_de_Excel_Files1025615[Avis Prog],"1-Favorable",Tableau_Lancer_la_requête_à_partir_de_Excel_Files1025615[''19''])</f>
        <v>0</v>
      </c>
      <c r="I36" s="3">
        <f>SUMIF(Tableau_Lancer_la_requête_à_partir_de_Excel_Files1025615[Avis Prog],"2-Favorable sous réserve",Tableau_Lancer_la_requête_à_partir_de_Excel_Files1025615[''19''])</f>
        <v>0</v>
      </c>
      <c r="M36" s="3">
        <f>SUMIF(Tableau_Lancer_la_requête_à_partir_de_Excel_Files1025615[Avis Cofimac],"1-Favorable",Tableau_Lancer_la_requête_à_partir_de_Excel_Files1025615[''19''])</f>
        <v>0</v>
      </c>
      <c r="R36" s="3">
        <f>SUMIF(Tableau_Lancer_la_requête_à_partir_de_Excel_Files1025615[Avis Cofimac],"2-Favorable sous réserve",Tableau_Lancer_la_requête_à_partir_de_Excel_Files1025615[''19''])</f>
        <v>0</v>
      </c>
    </row>
    <row r="37" spans="4:18" hidden="1" x14ac:dyDescent="0.25">
      <c r="D37" t="s">
        <v>26</v>
      </c>
      <c r="E37" s="3">
        <f t="shared" si="0"/>
        <v>0</v>
      </c>
      <c r="F37" s="3">
        <f t="shared" si="1"/>
        <v>0</v>
      </c>
      <c r="H37" s="3">
        <f>SUMIF(Tableau_Lancer_la_requête_à_partir_de_Excel_Files1025615[Avis Prog],"1-Favorable",Tableau_Lancer_la_requête_à_partir_de_Excel_Files1025615[''21''])</f>
        <v>0</v>
      </c>
      <c r="I37" s="3">
        <f>SUMIF(Tableau_Lancer_la_requête_à_partir_de_Excel_Files1025615[Avis Prog],"2-Favorable sous réserve",Tableau_Lancer_la_requête_à_partir_de_Excel_Files1025615[''21''])</f>
        <v>0</v>
      </c>
      <c r="M37" s="3">
        <f>SUMIF(Tableau_Lancer_la_requête_à_partir_de_Excel_Files1025615[Avis Cofimac],"1-Favorable",Tableau_Lancer_la_requête_à_partir_de_Excel_Files1025615[''21''])</f>
        <v>0</v>
      </c>
      <c r="R37" s="3">
        <f>SUMIF(Tableau_Lancer_la_requête_à_partir_de_Excel_Files1025615[Avis Cofimac],"2-Favorable sous réserve",Tableau_Lancer_la_requête_à_partir_de_Excel_Files1025615[''21''])</f>
        <v>0</v>
      </c>
    </row>
    <row r="38" spans="4:18" hidden="1" x14ac:dyDescent="0.25">
      <c r="D38" t="s">
        <v>27</v>
      </c>
      <c r="E38" s="3">
        <f t="shared" si="0"/>
        <v>0</v>
      </c>
      <c r="F38" s="3">
        <f t="shared" si="1"/>
        <v>0</v>
      </c>
      <c r="H38" s="3">
        <f>SUMIF(Tableau_Lancer_la_requête_à_partir_de_Excel_Files1025615[Avis Prog],"1-Favorable",Tableau_Lancer_la_requête_à_partir_de_Excel_Files1025615[''23''])</f>
        <v>0</v>
      </c>
      <c r="I38" s="3">
        <f>SUMIF(Tableau_Lancer_la_requête_à_partir_de_Excel_Files1025615[Avis Prog],"2-Favorable sous réserve",Tableau_Lancer_la_requête_à_partir_de_Excel_Files1025615[''23''])</f>
        <v>0</v>
      </c>
      <c r="M38" s="3">
        <f>SUMIF(Tableau_Lancer_la_requête_à_partir_de_Excel_Files1025615[Avis Cofimac],"1-Favorable",Tableau_Lancer_la_requête_à_partir_de_Excel_Files1025615[''23''])</f>
        <v>0</v>
      </c>
      <c r="R38" s="3">
        <f>SUMIF(Tableau_Lancer_la_requête_à_partir_de_Excel_Files1025615[Avis Cofimac],"2-Favorable sous réserve",Tableau_Lancer_la_requête_à_partir_de_Excel_Files1025615[''23''])</f>
        <v>0</v>
      </c>
    </row>
    <row r="39" spans="4:18" hidden="1" x14ac:dyDescent="0.25">
      <c r="D39" t="s">
        <v>28</v>
      </c>
      <c r="E39" s="3">
        <f t="shared" si="0"/>
        <v>0</v>
      </c>
      <c r="F39" s="3">
        <f t="shared" si="1"/>
        <v>0</v>
      </c>
      <c r="H39" s="3">
        <f>SUMIF(Tableau_Lancer_la_requête_à_partir_de_Excel_Files1025615[Avis Prog],"1-Favorable",Tableau_Lancer_la_requête_à_partir_de_Excel_Files1025615[''30''])</f>
        <v>0</v>
      </c>
      <c r="I39" s="3">
        <f>SUMIF(Tableau_Lancer_la_requête_à_partir_de_Excel_Files1025615[Avis Prog],"2-Favorable sous réserve",Tableau_Lancer_la_requête_à_partir_de_Excel_Files1025615[''30''])</f>
        <v>0</v>
      </c>
      <c r="M39" s="3">
        <f>SUMIF(Tableau_Lancer_la_requête_à_partir_de_Excel_Files1025615[Avis Cofimac],"1-Favorable",Tableau_Lancer_la_requête_à_partir_de_Excel_Files1025615[''30''])</f>
        <v>0</v>
      </c>
      <c r="R39" s="3">
        <f>SUMIF(Tableau_Lancer_la_requête_à_partir_de_Excel_Files1025615[Avis Cofimac],"2-Favorable sous réserve",Tableau_Lancer_la_requête_à_partir_de_Excel_Files1025615[''30''])</f>
        <v>0</v>
      </c>
    </row>
    <row r="40" spans="4:18" hidden="1" x14ac:dyDescent="0.25">
      <c r="D40" t="s">
        <v>29</v>
      </c>
      <c r="E40" s="3">
        <f t="shared" si="0"/>
        <v>0</v>
      </c>
      <c r="F40" s="3">
        <f t="shared" si="1"/>
        <v>0</v>
      </c>
      <c r="H40" s="3">
        <f>SUMIF(Tableau_Lancer_la_requête_à_partir_de_Excel_Files1025615[Avis Prog],"1-Favorable",Tableau_Lancer_la_requête_à_partir_de_Excel_Files1025615[''34''])</f>
        <v>0</v>
      </c>
      <c r="I40" s="3">
        <f>SUMIF(Tableau_Lancer_la_requête_à_partir_de_Excel_Files1025615[Avis Prog],"2-Favorable sous réserve",Tableau_Lancer_la_requête_à_partir_de_Excel_Files1025615[''34''])</f>
        <v>0</v>
      </c>
      <c r="M40" s="3">
        <f>SUMIF(Tableau_Lancer_la_requête_à_partir_de_Excel_Files1025615[Avis Cofimac],"1-Favorable",Tableau_Lancer_la_requête_à_partir_de_Excel_Files1025615[''34''])</f>
        <v>0</v>
      </c>
      <c r="R40" s="3">
        <f>SUMIF(Tableau_Lancer_la_requête_à_partir_de_Excel_Files1025615[Avis Cofimac],"2-Favorable sous réserve",Tableau_Lancer_la_requête_à_partir_de_Excel_Files1025615[''34''])</f>
        <v>0</v>
      </c>
    </row>
    <row r="41" spans="4:18" hidden="1" x14ac:dyDescent="0.25">
      <c r="D41" t="s">
        <v>30</v>
      </c>
      <c r="E41" s="3">
        <f t="shared" si="0"/>
        <v>0</v>
      </c>
      <c r="F41" s="3">
        <f t="shared" si="1"/>
        <v>0</v>
      </c>
      <c r="H41" s="3">
        <f>SUMIF(Tableau_Lancer_la_requête_à_partir_de_Excel_Files1025615[Avis Prog],"1-Favorable",Tableau_Lancer_la_requête_à_partir_de_Excel_Files1025615[''42''])</f>
        <v>0</v>
      </c>
      <c r="I41" s="3">
        <f>SUMIF(Tableau_Lancer_la_requête_à_partir_de_Excel_Files1025615[Avis Prog],"2-Favorable sous réserve",Tableau_Lancer_la_requête_à_partir_de_Excel_Files1025615[''42''])</f>
        <v>0</v>
      </c>
      <c r="M41" s="3">
        <f>SUMIF(Tableau_Lancer_la_requête_à_partir_de_Excel_Files1025615[Avis Cofimac],"1-Favorable",Tableau_Lancer_la_requête_à_partir_de_Excel_Files1025615[''42''])</f>
        <v>0</v>
      </c>
      <c r="R41" s="3">
        <f>SUMIF(Tableau_Lancer_la_requête_à_partir_de_Excel_Files1025615[Avis Cofimac],"2-Favorable sous réserve",Tableau_Lancer_la_requête_à_partir_de_Excel_Files1025615[''42''])</f>
        <v>0</v>
      </c>
    </row>
    <row r="42" spans="4:18" hidden="1" x14ac:dyDescent="0.25">
      <c r="D42" t="s">
        <v>31</v>
      </c>
      <c r="E42" s="3">
        <f t="shared" si="0"/>
        <v>0</v>
      </c>
      <c r="F42" s="3">
        <f t="shared" si="1"/>
        <v>0</v>
      </c>
      <c r="H42" s="3">
        <f>SUMIF(Tableau_Lancer_la_requête_à_partir_de_Excel_Files1025615[Avis Prog],"1-Favorable",Tableau_Lancer_la_requête_à_partir_de_Excel_Files1025615[''43''])</f>
        <v>0</v>
      </c>
      <c r="I42" s="3">
        <f>SUMIF(Tableau_Lancer_la_requête_à_partir_de_Excel_Files1025615[Avis Prog],"2-Favorable sous réserve",Tableau_Lancer_la_requête_à_partir_de_Excel_Files1025615[''43''])</f>
        <v>0</v>
      </c>
      <c r="M42" s="3">
        <f>SUMIF(Tableau_Lancer_la_requête_à_partir_de_Excel_Files1025615[Avis Cofimac],"1-Favorable",Tableau_Lancer_la_requête_à_partir_de_Excel_Files1025615[''43''])</f>
        <v>0</v>
      </c>
      <c r="R42" s="3">
        <f>SUMIF(Tableau_Lancer_la_requête_à_partir_de_Excel_Files1025615[Avis Cofimac],"2-Favorable sous réserve",Tableau_Lancer_la_requête_à_partir_de_Excel_Files1025615[''43''])</f>
        <v>0</v>
      </c>
    </row>
    <row r="43" spans="4:18" hidden="1" x14ac:dyDescent="0.25">
      <c r="D43" t="s">
        <v>32</v>
      </c>
      <c r="E43" s="3">
        <f t="shared" si="0"/>
        <v>0</v>
      </c>
      <c r="F43" s="3">
        <f t="shared" si="1"/>
        <v>0</v>
      </c>
      <c r="H43" s="3">
        <f>SUMIF(Tableau_Lancer_la_requête_à_partir_de_Excel_Files1025615[Avis Prog],"1-Favorable",Tableau_Lancer_la_requête_à_partir_de_Excel_Files1025615[''46''])</f>
        <v>0</v>
      </c>
      <c r="I43" s="3">
        <f>SUMIF(Tableau_Lancer_la_requête_à_partir_de_Excel_Files1025615[Avis Prog],"2-Favorable sous réserve",Tableau_Lancer_la_requête_à_partir_de_Excel_Files1025615[''46''])</f>
        <v>0</v>
      </c>
      <c r="M43" s="3">
        <f>SUMIF(Tableau_Lancer_la_requête_à_partir_de_Excel_Files1025615[Avis Cofimac],"1-Favorable",Tableau_Lancer_la_requête_à_partir_de_Excel_Files1025615[''46''])</f>
        <v>0</v>
      </c>
      <c r="R43" s="3">
        <f>SUMIF(Tableau_Lancer_la_requête_à_partir_de_Excel_Files1025615[Avis Cofimac],"2-Favorable sous réserve",Tableau_Lancer_la_requête_à_partir_de_Excel_Files1025615[''46''])</f>
        <v>0</v>
      </c>
    </row>
    <row r="44" spans="4:18" hidden="1" x14ac:dyDescent="0.25">
      <c r="D44" t="s">
        <v>33</v>
      </c>
      <c r="E44" s="3">
        <f t="shared" si="0"/>
        <v>0</v>
      </c>
      <c r="F44" s="3">
        <f t="shared" si="1"/>
        <v>0</v>
      </c>
      <c r="H44" s="3">
        <f>SUMIF(Tableau_Lancer_la_requête_à_partir_de_Excel_Files1025615[Avis Prog],"1-Favorable",Tableau_Lancer_la_requête_à_partir_de_Excel_Files1025615[''48''])</f>
        <v>0</v>
      </c>
      <c r="I44" s="3">
        <f>SUMIF(Tableau_Lancer_la_requête_à_partir_de_Excel_Files1025615[Avis Prog],"2-Favorable sous réserve",Tableau_Lancer_la_requête_à_partir_de_Excel_Files1025615[''48''])</f>
        <v>0</v>
      </c>
      <c r="M44" s="3">
        <f>SUMIF(Tableau_Lancer_la_requête_à_partir_de_Excel_Files1025615[Avis Cofimac],"1-Favorable",Tableau_Lancer_la_requête_à_partir_de_Excel_Files1025615[''48''])</f>
        <v>0</v>
      </c>
      <c r="R44" s="3">
        <f>SUMIF(Tableau_Lancer_la_requête_à_partir_de_Excel_Files1025615[Avis Cofimac],"2-Favorable sous réserve",Tableau_Lancer_la_requête_à_partir_de_Excel_Files1025615[''48''])</f>
        <v>0</v>
      </c>
    </row>
    <row r="45" spans="4:18" hidden="1" x14ac:dyDescent="0.25">
      <c r="D45" t="s">
        <v>34</v>
      </c>
      <c r="E45" s="3">
        <f t="shared" si="0"/>
        <v>0</v>
      </c>
      <c r="F45" s="3">
        <f t="shared" si="1"/>
        <v>0</v>
      </c>
      <c r="H45" s="3">
        <f>SUMIF(Tableau_Lancer_la_requête_à_partir_de_Excel_Files1025615[Avis Prog],"1-Favorable",Tableau_Lancer_la_requête_à_partir_de_Excel_Files1025615[''58''])</f>
        <v>0</v>
      </c>
      <c r="I45" s="3">
        <f>SUMIF(Tableau_Lancer_la_requête_à_partir_de_Excel_Files1025615[Avis Prog],"2-Favorable sous réserve",Tableau_Lancer_la_requête_à_partir_de_Excel_Files1025615[''58''])</f>
        <v>0</v>
      </c>
      <c r="M45" s="3">
        <f>SUMIF(Tableau_Lancer_la_requête_à_partir_de_Excel_Files1025615[Avis Cofimac],"1-Favorable",Tableau_Lancer_la_requête_à_partir_de_Excel_Files1025615[''58''])</f>
        <v>0</v>
      </c>
      <c r="R45" s="3">
        <f>SUMIF(Tableau_Lancer_la_requête_à_partir_de_Excel_Files1025615[Avis Cofimac],"2-Favorable sous réserve",Tableau_Lancer_la_requête_à_partir_de_Excel_Files1025615[''58''])</f>
        <v>0</v>
      </c>
    </row>
    <row r="46" spans="4:18" hidden="1" x14ac:dyDescent="0.25">
      <c r="D46" t="s">
        <v>35</v>
      </c>
      <c r="E46" s="3">
        <f t="shared" si="0"/>
        <v>0</v>
      </c>
      <c r="F46" s="3">
        <f t="shared" si="1"/>
        <v>0</v>
      </c>
      <c r="H46" s="3">
        <f>SUMIF(Tableau_Lancer_la_requête_à_partir_de_Excel_Files1025615[Avis Prog],"1-Favorable",Tableau_Lancer_la_requête_à_partir_de_Excel_Files1025615[''63''])</f>
        <v>0</v>
      </c>
      <c r="I46" s="3">
        <f>SUMIF(Tableau_Lancer_la_requête_à_partir_de_Excel_Files1025615[Avis Prog],"2-Favorable sous réserve",Tableau_Lancer_la_requête_à_partir_de_Excel_Files1025615[''63''])</f>
        <v>0</v>
      </c>
      <c r="M46" s="3">
        <f>SUMIF(Tableau_Lancer_la_requête_à_partir_de_Excel_Files1025615[Avis Cofimac],"1-Favorable",Tableau_Lancer_la_requête_à_partir_de_Excel_Files1025615[''63''])</f>
        <v>0</v>
      </c>
      <c r="R46" s="3">
        <f>SUMIF(Tableau_Lancer_la_requête_à_partir_de_Excel_Files1025615[Avis Cofimac],"2-Favorable sous réserve",Tableau_Lancer_la_requête_à_partir_de_Excel_Files1025615[''63''])</f>
        <v>0</v>
      </c>
    </row>
    <row r="47" spans="4:18" hidden="1" x14ac:dyDescent="0.25">
      <c r="D47" t="s">
        <v>36</v>
      </c>
      <c r="E47" s="3">
        <f t="shared" si="0"/>
        <v>0</v>
      </c>
      <c r="F47" s="3">
        <f t="shared" si="1"/>
        <v>0</v>
      </c>
      <c r="H47" s="3">
        <f>SUMIF(Tableau_Lancer_la_requête_à_partir_de_Excel_Files1025615[Avis Prog],"1-Favorable",Tableau_Lancer_la_requête_à_partir_de_Excel_Files1025615[''69''])</f>
        <v>0</v>
      </c>
      <c r="I47" s="3">
        <f>SUMIF(Tableau_Lancer_la_requête_à_partir_de_Excel_Files1025615[Avis Prog],"2-Favorable sous réserve",Tableau_Lancer_la_requête_à_partir_de_Excel_Files1025615[''69''])</f>
        <v>0</v>
      </c>
      <c r="M47" s="3">
        <f>SUMIF(Tableau_Lancer_la_requête_à_partir_de_Excel_Files1025615[Avis Cofimac],"1-Favorable",Tableau_Lancer_la_requête_à_partir_de_Excel_Files1025615[''69''])</f>
        <v>0</v>
      </c>
      <c r="R47" s="3">
        <f>SUMIF(Tableau_Lancer_la_requête_à_partir_de_Excel_Files1025615[Avis Cofimac],"2-Favorable sous réserve",Tableau_Lancer_la_requête_à_partir_de_Excel_Files1025615[''69''])</f>
        <v>0</v>
      </c>
    </row>
    <row r="48" spans="4:18" hidden="1" x14ac:dyDescent="0.25">
      <c r="D48" t="s">
        <v>37</v>
      </c>
      <c r="E48" s="3">
        <f t="shared" si="0"/>
        <v>0</v>
      </c>
      <c r="F48" s="3">
        <f t="shared" si="1"/>
        <v>0</v>
      </c>
      <c r="H48" s="3">
        <f>SUMIF(Tableau_Lancer_la_requête_à_partir_de_Excel_Files1025615[Avis Prog],"1-Favorable",Tableau_Lancer_la_requête_à_partir_de_Excel_Files1025615[''71''])</f>
        <v>0</v>
      </c>
      <c r="I48" s="3">
        <f>SUMIF(Tableau_Lancer_la_requête_à_partir_de_Excel_Files1025615[Avis Prog],"2-Favorable sous réserve",Tableau_Lancer_la_requête_à_partir_de_Excel_Files1025615[''71''])</f>
        <v>0</v>
      </c>
      <c r="M48" s="3">
        <f>SUMIF(Tableau_Lancer_la_requête_à_partir_de_Excel_Files1025615[Avis Cofimac],"1-Favorable",Tableau_Lancer_la_requête_à_partir_de_Excel_Files1025615[''71''])</f>
        <v>0</v>
      </c>
      <c r="R48" s="3">
        <f>SUMIF(Tableau_Lancer_la_requête_à_partir_de_Excel_Files1025615[Avis Cofimac],"2-Favorable sous réserve",Tableau_Lancer_la_requête_à_partir_de_Excel_Files1025615[''71''])</f>
        <v>0</v>
      </c>
    </row>
    <row r="49" spans="4:18" hidden="1" x14ac:dyDescent="0.25">
      <c r="D49" t="s">
        <v>38</v>
      </c>
      <c r="E49" s="3">
        <f t="shared" si="0"/>
        <v>0</v>
      </c>
      <c r="F49" s="3">
        <f t="shared" si="1"/>
        <v>0</v>
      </c>
      <c r="H49" s="3">
        <f>SUMIF(Tableau_Lancer_la_requête_à_partir_de_Excel_Files1025615[Avis Prog],"1-Favorable",Tableau_Lancer_la_requête_à_partir_de_Excel_Files1025615[''81''])</f>
        <v>0</v>
      </c>
      <c r="I49" s="3">
        <f>SUMIF(Tableau_Lancer_la_requête_à_partir_de_Excel_Files1025615[Avis Prog],"2-Favorable sous réserve",Tableau_Lancer_la_requête_à_partir_de_Excel_Files1025615[''81''])</f>
        <v>0</v>
      </c>
      <c r="M49" s="3">
        <f>SUMIF(Tableau_Lancer_la_requête_à_partir_de_Excel_Files1025615[Avis Cofimac],"1-Favorable",Tableau_Lancer_la_requête_à_partir_de_Excel_Files1025615[''81''])</f>
        <v>0</v>
      </c>
      <c r="R49" s="3">
        <f>SUMIF(Tableau_Lancer_la_requête_à_partir_de_Excel_Files1025615[Avis Cofimac],"2-Favorable sous réserve",Tableau_Lancer_la_requête_à_partir_de_Excel_Files1025615[''81''])</f>
        <v>0</v>
      </c>
    </row>
    <row r="50" spans="4:18" hidden="1" x14ac:dyDescent="0.25">
      <c r="D50" t="s">
        <v>39</v>
      </c>
      <c r="E50" s="3">
        <f t="shared" si="0"/>
        <v>0</v>
      </c>
      <c r="F50" s="3">
        <f t="shared" si="1"/>
        <v>0</v>
      </c>
      <c r="H50" s="3">
        <f>SUMIF(Tableau_Lancer_la_requête_à_partir_de_Excel_Files1025615[Avis Prog],"1-Favorable",Tableau_Lancer_la_requête_à_partir_de_Excel_Files1025615[''82''])</f>
        <v>0</v>
      </c>
      <c r="I50" s="3">
        <f>SUMIF(Tableau_Lancer_la_requête_à_partir_de_Excel_Files1025615[Avis Prog],"2-Favorable sous réserve",Tableau_Lancer_la_requête_à_partir_de_Excel_Files1025615[''82''])</f>
        <v>0</v>
      </c>
      <c r="M50" s="3">
        <f>SUMIF(Tableau_Lancer_la_requête_à_partir_de_Excel_Files1025615[Avis Cofimac],"1-Favorable",Tableau_Lancer_la_requête_à_partir_de_Excel_Files1025615[''82''])</f>
        <v>0</v>
      </c>
      <c r="R50" s="3">
        <f>SUMIF(Tableau_Lancer_la_requête_à_partir_de_Excel_Files1025615[Avis Cofimac],"2-Favorable sous réserve",Tableau_Lancer_la_requête_à_partir_de_Excel_Files1025615[''82''])</f>
        <v>0</v>
      </c>
    </row>
    <row r="51" spans="4:18" hidden="1" x14ac:dyDescent="0.25">
      <c r="D51" t="s">
        <v>40</v>
      </c>
      <c r="E51" s="3">
        <f t="shared" si="0"/>
        <v>0</v>
      </c>
      <c r="F51" s="3">
        <f t="shared" si="1"/>
        <v>0</v>
      </c>
      <c r="H51" s="3">
        <f>SUMIF(Tableau_Lancer_la_requête_à_partir_de_Excel_Files1025615[Avis Prog],"1-Favorable",Tableau_Lancer_la_requête_à_partir_de_Excel_Files1025615[''87''])</f>
        <v>0</v>
      </c>
      <c r="I51" s="3">
        <f>SUMIF(Tableau_Lancer_la_requête_à_partir_de_Excel_Files1025615[Avis Prog],"2-Favorable sous réserve",Tableau_Lancer_la_requête_à_partir_de_Excel_Files1025615[''87''])</f>
        <v>0</v>
      </c>
      <c r="M51" s="3">
        <f>SUMIF(Tableau_Lancer_la_requête_à_partir_de_Excel_Files1025615[Avis Cofimac],"1-Favorable",Tableau_Lancer_la_requête_à_partir_de_Excel_Files1025615[''87''])</f>
        <v>0</v>
      </c>
      <c r="R51" s="3">
        <f>SUMIF(Tableau_Lancer_la_requête_à_partir_de_Excel_Files1025615[Avis Cofimac],"2-Favorable sous réserve",Tableau_Lancer_la_requête_à_partir_de_Excel_Files1025615[''87''])</f>
        <v>0</v>
      </c>
    </row>
    <row r="52" spans="4:18" hidden="1" x14ac:dyDescent="0.25">
      <c r="D52" t="s">
        <v>41</v>
      </c>
      <c r="E52" s="3">
        <f>H52+I52</f>
        <v>0</v>
      </c>
      <c r="F52" s="3">
        <f t="shared" si="1"/>
        <v>0</v>
      </c>
      <c r="H52" s="3">
        <f>SUMIF(Tableau_Lancer_la_requête_à_partir_de_Excel_Files1025615[Avis Prog],"1-Favorable",Tableau_Lancer_la_requête_à_partir_de_Excel_Files1025615[''89''])</f>
        <v>0</v>
      </c>
      <c r="I52" s="3">
        <f>SUMIF(Tableau_Lancer_la_requête_à_partir_de_Excel_Files1025615[Avis Prog],"2-Favorable sous réserve",Tableau_Lancer_la_requête_à_partir_de_Excel_Files1025615[''89''])</f>
        <v>0</v>
      </c>
      <c r="M52" s="3">
        <f>SUMIF(Tableau_Lancer_la_requête_à_partir_de_Excel_Files1025615[Avis Cofimac],"1-Favorable",Tableau_Lancer_la_requête_à_partir_de_Excel_Files1025615[''89''])</f>
        <v>0</v>
      </c>
      <c r="R52" s="3">
        <f>SUMIF(Tableau_Lancer_la_requête_à_partir_de_Excel_Files1025615[Avis Cofimac],"2-Favorable sous réserve",Tableau_Lancer_la_requête_à_partir_de_Excel_Files1025615[''89''])</f>
        <v>0</v>
      </c>
    </row>
  </sheetData>
  <mergeCells count="1">
    <mergeCell ref="A1:B1"/>
  </mergeCells>
  <conditionalFormatting sqref="AR6:AR12 AS7:AS11">
    <cfRule type="cellIs" dxfId="901" priority="7" operator="equal">
      <formula>"6-Retiré/Abandon"</formula>
    </cfRule>
    <cfRule type="cellIs" dxfId="900" priority="8" operator="equal">
      <formula>"5-Défavorable"</formula>
    </cfRule>
    <cfRule type="cellIs" dxfId="899" priority="9" operator="equal">
      <formula>"4-Ajournement"</formula>
    </cfRule>
    <cfRule type="cellIs" dxfId="898" priority="10" operator="equal">
      <formula>"1-Favorable"</formula>
    </cfRule>
  </conditionalFormatting>
  <conditionalFormatting sqref="AR7:AS11">
    <cfRule type="cellIs" dxfId="897" priority="6" operator="equal">
      <formula>"2-Favorable sous réserve"</formula>
    </cfRule>
  </conditionalFormatting>
  <dataValidations count="1">
    <dataValidation type="list" allowBlank="1" showInputMessage="1" showErrorMessage="1" sqref="AS7:AS11">
      <formula1>"1-Favorable,2-Favorable sous réserve,4-Ajournement,5-Défavorable,6-Retiré/Abandon"</formula1>
    </dataValidation>
  </dataValidations>
  <printOptions horizontalCentered="1" verticalCentered="1"/>
  <pageMargins left="0.25" right="0.25" top="0.75" bottom="0.75" header="0.3" footer="0.3"/>
  <pageSetup paperSize="8" scale="64" fitToHeight="0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52"/>
  <sheetViews>
    <sheetView view="pageBreakPreview" topLeftCell="G1" zoomScale="70" zoomScaleNormal="60" zoomScaleSheetLayoutView="70" workbookViewId="0">
      <selection activeCell="D8" sqref="D8"/>
    </sheetView>
  </sheetViews>
  <sheetFormatPr baseColWidth="10" defaultRowHeight="15" outlineLevelCol="1" x14ac:dyDescent="0.25"/>
  <cols>
    <col min="1" max="1" width="17" style="69" customWidth="1"/>
    <col min="2" max="2" width="14.42578125" style="71" customWidth="1"/>
    <col min="3" max="3" width="19.7109375" style="74" customWidth="1"/>
    <col min="4" max="4" width="16" style="69" customWidth="1"/>
    <col min="5" max="5" width="31.85546875" style="69" customWidth="1"/>
    <col min="6" max="6" width="38.28515625" style="70" customWidth="1"/>
    <col min="7" max="7" width="13.5703125" style="69" customWidth="1"/>
    <col min="8" max="8" width="18.42578125" style="70" customWidth="1"/>
    <col min="9" max="9" width="14.5703125" style="69" customWidth="1"/>
    <col min="10" max="10" width="15" style="69" customWidth="1"/>
    <col min="11" max="11" width="21.85546875" style="69" customWidth="1"/>
    <col min="12" max="12" width="16.5703125" style="69" customWidth="1"/>
    <col min="13" max="13" width="13.7109375" style="69" customWidth="1"/>
    <col min="14" max="14" width="19.42578125" style="69" hidden="1" customWidth="1" outlineLevel="1"/>
    <col min="15" max="15" width="18.28515625" style="69" hidden="1" customWidth="1" outlineLevel="1"/>
    <col min="16" max="16" width="18.42578125" style="69" customWidth="1" collapsed="1"/>
    <col min="17" max="17" width="11.7109375" style="69" hidden="1" customWidth="1" outlineLevel="1"/>
    <col min="18" max="19" width="16.140625" style="69" hidden="1" customWidth="1" outlineLevel="1"/>
    <col min="20" max="20" width="8.7109375" style="69" hidden="1" customWidth="1" outlineLevel="1"/>
    <col min="21" max="21" width="14" style="69" bestFit="1" customWidth="1" collapsed="1"/>
    <col min="22" max="40" width="8.7109375" style="69" hidden="1" customWidth="1" outlineLevel="1"/>
    <col min="41" max="41" width="14.7109375" style="69" hidden="1" customWidth="1" outlineLevel="1"/>
    <col min="42" max="42" width="15.85546875" style="69" hidden="1" customWidth="1" outlineLevel="1"/>
    <col min="43" max="43" width="16.42578125" style="69" hidden="1" customWidth="1" outlineLevel="1"/>
    <col min="44" max="44" width="16.42578125" style="69" customWidth="1" collapsed="1"/>
    <col min="45" max="46" width="16.42578125" style="69" customWidth="1"/>
    <col min="47" max="47" width="11.5703125" style="69" customWidth="1"/>
    <col min="48" max="48" width="4.7109375" style="69" hidden="1" customWidth="1"/>
    <col min="49" max="49" width="70.42578125" style="71" customWidth="1"/>
    <col min="50" max="50" width="15.42578125" style="69" bestFit="1" customWidth="1"/>
    <col min="51" max="51" width="17.28515625" style="69" bestFit="1" customWidth="1"/>
    <col min="52" max="52" width="9.42578125" style="69" customWidth="1"/>
    <col min="53" max="67" width="9.7109375" style="69" customWidth="1"/>
    <col min="68" max="68" width="15.140625" style="69" customWidth="1"/>
    <col min="69" max="69" width="14.5703125" style="69" customWidth="1"/>
    <col min="70" max="70" width="18.5703125" style="69" customWidth="1"/>
    <col min="71" max="71" width="12.5703125" style="69" customWidth="1"/>
    <col min="72" max="72" width="20.42578125" style="69" customWidth="1"/>
    <col min="73" max="73" width="12.7109375" style="69" customWidth="1"/>
    <col min="74" max="74" width="9.28515625" style="69" customWidth="1"/>
    <col min="75" max="75" width="14.28515625" style="69" customWidth="1"/>
    <col min="76" max="76" width="11.42578125" style="69" customWidth="1"/>
    <col min="77" max="77" width="9" style="69" customWidth="1"/>
    <col min="78" max="78" width="9.5703125" style="69" customWidth="1"/>
    <col min="79" max="79" width="11" style="69" customWidth="1"/>
    <col min="80" max="80" width="12.7109375" style="69" customWidth="1"/>
    <col min="81" max="83" width="9.7109375" style="69" customWidth="1"/>
    <col min="84" max="84" width="15.140625" style="69" customWidth="1"/>
    <col min="85" max="85" width="17.28515625" style="69" customWidth="1"/>
    <col min="86" max="86" width="49.28515625" style="71" customWidth="1"/>
    <col min="87" max="87" width="17.28515625" style="69" customWidth="1"/>
    <col min="88" max="16384" width="11.42578125" style="69"/>
  </cols>
  <sheetData>
    <row r="1" spans="1:86" ht="18.75" x14ac:dyDescent="0.3">
      <c r="A1" s="150" t="s">
        <v>73</v>
      </c>
      <c r="B1" s="150"/>
      <c r="C1" s="68">
        <f>Feuil1!A2</f>
        <v>42832</v>
      </c>
    </row>
    <row r="5" spans="1:86" x14ac:dyDescent="0.25">
      <c r="A5" s="72" t="s">
        <v>87</v>
      </c>
      <c r="B5" s="73"/>
    </row>
    <row r="6" spans="1:86" s="81" customFormat="1" ht="30" x14ac:dyDescent="0.25">
      <c r="A6" s="81" t="s">
        <v>0</v>
      </c>
      <c r="B6" s="81" t="s">
        <v>122</v>
      </c>
      <c r="C6" s="81" t="s">
        <v>76</v>
      </c>
      <c r="D6" s="81" t="s">
        <v>7</v>
      </c>
      <c r="E6" s="81" t="s">
        <v>1</v>
      </c>
      <c r="F6" s="81" t="s">
        <v>2</v>
      </c>
      <c r="G6" s="81" t="s">
        <v>50</v>
      </c>
      <c r="H6" s="81" t="s">
        <v>52</v>
      </c>
      <c r="I6" s="81" t="s">
        <v>51</v>
      </c>
      <c r="J6" s="81" t="s">
        <v>48</v>
      </c>
      <c r="K6" s="81" t="s">
        <v>53</v>
      </c>
      <c r="L6" s="81" t="s">
        <v>42</v>
      </c>
      <c r="M6" s="81" t="s">
        <v>63</v>
      </c>
      <c r="N6" s="81" t="s">
        <v>67</v>
      </c>
      <c r="O6" s="81" t="s">
        <v>15</v>
      </c>
      <c r="P6" s="81" t="s">
        <v>64</v>
      </c>
      <c r="Q6" s="81" t="s">
        <v>18</v>
      </c>
      <c r="R6" s="81" t="s">
        <v>16</v>
      </c>
      <c r="S6" s="81" t="s">
        <v>17</v>
      </c>
      <c r="T6" s="81" t="s">
        <v>19</v>
      </c>
      <c r="U6" s="81" t="s">
        <v>65</v>
      </c>
      <c r="V6" s="81" t="s">
        <v>20</v>
      </c>
      <c r="W6" s="81" t="s">
        <v>21</v>
      </c>
      <c r="X6" s="81" t="s">
        <v>22</v>
      </c>
      <c r="Y6" s="81" t="s">
        <v>23</v>
      </c>
      <c r="Z6" s="81" t="s">
        <v>24</v>
      </c>
      <c r="AA6" s="81" t="s">
        <v>25</v>
      </c>
      <c r="AB6" s="81" t="s">
        <v>26</v>
      </c>
      <c r="AC6" s="81" t="s">
        <v>27</v>
      </c>
      <c r="AD6" s="81" t="s">
        <v>28</v>
      </c>
      <c r="AE6" s="81" t="s">
        <v>29</v>
      </c>
      <c r="AF6" s="81" t="s">
        <v>30</v>
      </c>
      <c r="AG6" s="81" t="s">
        <v>31</v>
      </c>
      <c r="AH6" s="81" t="s">
        <v>32</v>
      </c>
      <c r="AI6" s="81" t="s">
        <v>33</v>
      </c>
      <c r="AJ6" s="81" t="s">
        <v>34</v>
      </c>
      <c r="AK6" s="81" t="s">
        <v>35</v>
      </c>
      <c r="AL6" s="81" t="s">
        <v>36</v>
      </c>
      <c r="AM6" s="81" t="s">
        <v>37</v>
      </c>
      <c r="AN6" s="81" t="s">
        <v>38</v>
      </c>
      <c r="AO6" s="81" t="s">
        <v>39</v>
      </c>
      <c r="AP6" s="81" t="s">
        <v>40</v>
      </c>
      <c r="AQ6" s="81" t="s">
        <v>41</v>
      </c>
      <c r="AR6" s="81" t="s">
        <v>43</v>
      </c>
      <c r="AS6" s="81" t="s">
        <v>47</v>
      </c>
      <c r="AT6" s="81" t="s">
        <v>54</v>
      </c>
      <c r="AU6" s="81" t="s">
        <v>88</v>
      </c>
      <c r="AW6" s="59" t="s">
        <v>62</v>
      </c>
    </row>
    <row r="7" spans="1:86" s="79" customFormat="1" ht="45" x14ac:dyDescent="0.25">
      <c r="A7" s="80" t="s">
        <v>89</v>
      </c>
      <c r="B7" s="80" t="s">
        <v>196</v>
      </c>
      <c r="C7" s="76" t="s">
        <v>108</v>
      </c>
      <c r="D7" s="70" t="s">
        <v>205</v>
      </c>
      <c r="E7" s="74" t="s">
        <v>206</v>
      </c>
      <c r="F7" s="74" t="s">
        <v>207</v>
      </c>
      <c r="G7" s="77">
        <v>161250</v>
      </c>
      <c r="H7" s="77">
        <f>Tableau_Lancer_la_requête_à_partir_de_Excel_Files102567[[#This Row],[Aide Massif]]+Tableau_Lancer_la_requête_à_partir_de_Excel_Files102567[[#This Row],[''Autre Public'']]</f>
        <v>128997</v>
      </c>
      <c r="I7" s="78">
        <f>Tableau_Lancer_la_requête_à_partir_de_Excel_Files102567[[#This Row],[Aide 
publique]]/Tableau_Lancer_la_requête_à_partir_de_Excel_Files102567[[#This Row],[''Coût total éligible'']]</f>
        <v>0.79998139534883717</v>
      </c>
      <c r="J7" s="77">
        <f>Tableau_Lancer_la_requête_à_partir_de_Excel_Files102567[[#This Row],[''FEDER'']]+Tableau_Lancer_la_requête_à_partir_de_Excel_Files102567[[#This Row],[Total Etat]]+Tableau_Lancer_la_requête_à_partir_de_Excel_Files102567[[#This Row],[Total Régions]]+Tableau_Lancer_la_requête_à_partir_de_Excel_Files102567[[#This Row],[Total Dpts]]</f>
        <v>112872</v>
      </c>
      <c r="K7" s="78">
        <f>Tableau_Lancer_la_requête_à_partir_de_Excel_Files102567[[#This Row],[Aide Massif]]/Tableau_Lancer_la_requête_à_partir_de_Excel_Files102567[[#This Row],[''Coût total éligible'']]</f>
        <v>0.69998139534883719</v>
      </c>
      <c r="L7" s="77">
        <v>80622</v>
      </c>
      <c r="M7" s="77">
        <f>Tableau_Lancer_la_requête_à_partir_de_Excel_Files102567[[#This Row],[''FNADT '']]+Tableau_Lancer_la_requête_à_partir_de_Excel_Files102567[[#This Row],[''Agriculture'']]</f>
        <v>0</v>
      </c>
      <c r="N7" s="77"/>
      <c r="O7" s="77"/>
      <c r="P7" s="77">
        <f>Tableau_Lancer_la_requête_à_partir_de_Excel_Files102567[[#This Row],[''ALPC'']]+Tableau_Lancer_la_requête_à_partir_de_Excel_Files102567[[#This Row],[''AURA'']]+Tableau_Lancer_la_requête_à_partir_de_Excel_Files102567[[#This Row],[''BFC'']]+Tableau_Lancer_la_requête_à_partir_de_Excel_Files102567[[#This Row],[''LRMP'']]</f>
        <v>32250</v>
      </c>
      <c r="Q7" s="77">
        <v>32250</v>
      </c>
      <c r="R7" s="77"/>
      <c r="S7" s="77"/>
      <c r="T7" s="77"/>
      <c r="U7" s="77">
        <f>Tableau_Lancer_la_requête_à_partir_de_Excel_Files102567[[#This Row],[''03'']]+Tableau_Lancer_la_requête_à_partir_de_Excel_Files102567[[#This Row],[''07'']]+Tableau_Lancer_la_requête_à_partir_de_Excel_Files102567[[#This Row],[''11'']]+Tableau_Lancer_la_requête_à_partir_de_Excel_Files102567[[#This Row],[''12'']]+Tableau_Lancer_la_requête_à_partir_de_Excel_Files102567[[#This Row],[''15'']]+Tableau_Lancer_la_requête_à_partir_de_Excel_Files102567[[#This Row],[''19'']]+Tableau_Lancer_la_requête_à_partir_de_Excel_Files102567[[#This Row],[''21'']]+Tableau_Lancer_la_requête_à_partir_de_Excel_Files102567[[#This Row],[''23'']]+Tableau_Lancer_la_requête_à_partir_de_Excel_Files102567[[#This Row],[''30'']]+Tableau_Lancer_la_requête_à_partir_de_Excel_Files102567[[#This Row],[''34'']]+Tableau_Lancer_la_requête_à_partir_de_Excel_Files102567[[#This Row],[''42'']]+Tableau_Lancer_la_requête_à_partir_de_Excel_Files102567[[#This Row],[''43'']]+Tableau_Lancer_la_requête_à_partir_de_Excel_Files102567[[#This Row],[''46'']]+Tableau_Lancer_la_requête_à_partir_de_Excel_Files102567[[#This Row],[''48'']]+Tableau_Lancer_la_requête_à_partir_de_Excel_Files102567[[#This Row],[''58'']]+Tableau_Lancer_la_requête_à_partir_de_Excel_Files102567[[#This Row],[''63'']]+Tableau_Lancer_la_requête_à_partir_de_Excel_Files102567[[#This Row],[''69'']]+Tableau_Lancer_la_requête_à_partir_de_Excel_Files102567[[#This Row],[''71'']]+Tableau_Lancer_la_requête_à_partir_de_Excel_Files102567[[#This Row],[''81'']]+Tableau_Lancer_la_requête_à_partir_de_Excel_Files102567[[#This Row],[''82'']]+Tableau_Lancer_la_requête_à_partir_de_Excel_Files102567[[#This Row],[''87'']]+Tableau_Lancer_la_requête_à_partir_de_Excel_Files102567[[#This Row],[''89'']]</f>
        <v>0</v>
      </c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>
        <v>16125</v>
      </c>
      <c r="AS7" s="79" t="s">
        <v>231</v>
      </c>
      <c r="AT7" s="79" t="s">
        <v>231</v>
      </c>
      <c r="AU7" s="80"/>
      <c r="AW7" s="91"/>
    </row>
    <row r="8" spans="1:86" s="79" customFormat="1" ht="45" x14ac:dyDescent="0.25">
      <c r="A8" s="80" t="s">
        <v>110</v>
      </c>
      <c r="B8" s="80" t="s">
        <v>211</v>
      </c>
      <c r="C8" s="76" t="s">
        <v>75</v>
      </c>
      <c r="D8" s="70" t="s">
        <v>199</v>
      </c>
      <c r="E8" s="74" t="s">
        <v>200</v>
      </c>
      <c r="F8" s="74" t="s">
        <v>201</v>
      </c>
      <c r="G8" s="77">
        <v>55250</v>
      </c>
      <c r="H8" s="77">
        <f>Tableau_Lancer_la_requête_à_partir_de_Excel_Files102567[[#This Row],[Aide Massif]]+Tableau_Lancer_la_requête_à_partir_de_Excel_Files102567[[#This Row],[''Autre Public'']]</f>
        <v>38675</v>
      </c>
      <c r="I8" s="78">
        <f>Tableau_Lancer_la_requête_à_partir_de_Excel_Files102567[[#This Row],[Aide 
publique]]/Tableau_Lancer_la_requête_à_partir_de_Excel_Files102567[[#This Row],[''Coût total éligible'']]</f>
        <v>0.7</v>
      </c>
      <c r="J8" s="77">
        <f>Tableau_Lancer_la_requête_à_partir_de_Excel_Files102567[[#This Row],[''FEDER'']]+Tableau_Lancer_la_requête_à_partir_de_Excel_Files102567[[#This Row],[Total Etat]]+Tableau_Lancer_la_requête_à_partir_de_Excel_Files102567[[#This Row],[Total Régions]]+Tableau_Lancer_la_requête_à_partir_de_Excel_Files102567[[#This Row],[Total Dpts]]</f>
        <v>38675</v>
      </c>
      <c r="K8" s="78">
        <f>Tableau_Lancer_la_requête_à_partir_de_Excel_Files102567[[#This Row],[Aide Massif]]/Tableau_Lancer_la_requête_à_partir_de_Excel_Files102567[[#This Row],[''Coût total éligible'']]</f>
        <v>0.7</v>
      </c>
      <c r="L8" s="77">
        <v>0</v>
      </c>
      <c r="M8" s="77">
        <f>Tableau_Lancer_la_requête_à_partir_de_Excel_Files102567[[#This Row],[''FNADT '']]+Tableau_Lancer_la_requête_à_partir_de_Excel_Files102567[[#This Row],[''Agriculture'']]</f>
        <v>38675</v>
      </c>
      <c r="N8" s="77"/>
      <c r="O8" s="77">
        <v>38675</v>
      </c>
      <c r="P8" s="77">
        <f>Tableau_Lancer_la_requête_à_partir_de_Excel_Files102567[[#This Row],[''ALPC'']]+Tableau_Lancer_la_requête_à_partir_de_Excel_Files102567[[#This Row],[''AURA'']]+Tableau_Lancer_la_requête_à_partir_de_Excel_Files102567[[#This Row],[''BFC'']]+Tableau_Lancer_la_requête_à_partir_de_Excel_Files102567[[#This Row],[''LRMP'']]</f>
        <v>0</v>
      </c>
      <c r="Q8" s="77"/>
      <c r="R8" s="77"/>
      <c r="S8" s="77"/>
      <c r="T8" s="77"/>
      <c r="U8" s="77">
        <f>Tableau_Lancer_la_requête_à_partir_de_Excel_Files102567[[#This Row],[''03'']]+Tableau_Lancer_la_requête_à_partir_de_Excel_Files102567[[#This Row],[''07'']]+Tableau_Lancer_la_requête_à_partir_de_Excel_Files102567[[#This Row],[''11'']]+Tableau_Lancer_la_requête_à_partir_de_Excel_Files102567[[#This Row],[''12'']]+Tableau_Lancer_la_requête_à_partir_de_Excel_Files102567[[#This Row],[''15'']]+Tableau_Lancer_la_requête_à_partir_de_Excel_Files102567[[#This Row],[''19'']]+Tableau_Lancer_la_requête_à_partir_de_Excel_Files102567[[#This Row],[''21'']]+Tableau_Lancer_la_requête_à_partir_de_Excel_Files102567[[#This Row],[''23'']]+Tableau_Lancer_la_requête_à_partir_de_Excel_Files102567[[#This Row],[''30'']]+Tableau_Lancer_la_requête_à_partir_de_Excel_Files102567[[#This Row],[''34'']]+Tableau_Lancer_la_requête_à_partir_de_Excel_Files102567[[#This Row],[''42'']]+Tableau_Lancer_la_requête_à_partir_de_Excel_Files102567[[#This Row],[''43'']]+Tableau_Lancer_la_requête_à_partir_de_Excel_Files102567[[#This Row],[''46'']]+Tableau_Lancer_la_requête_à_partir_de_Excel_Files102567[[#This Row],[''48'']]+Tableau_Lancer_la_requête_à_partir_de_Excel_Files102567[[#This Row],[''58'']]+Tableau_Lancer_la_requête_à_partir_de_Excel_Files102567[[#This Row],[''63'']]+Tableau_Lancer_la_requête_à_partir_de_Excel_Files102567[[#This Row],[''69'']]+Tableau_Lancer_la_requête_à_partir_de_Excel_Files102567[[#This Row],[''71'']]+Tableau_Lancer_la_requête_à_partir_de_Excel_Files102567[[#This Row],[''81'']]+Tableau_Lancer_la_requête_à_partir_de_Excel_Files102567[[#This Row],[''82'']]+Tableau_Lancer_la_requête_à_partir_de_Excel_Files102567[[#This Row],[''87'']]+Tableau_Lancer_la_requête_à_partir_de_Excel_Files102567[[#This Row],[''89'']]</f>
        <v>0</v>
      </c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>
        <v>0</v>
      </c>
      <c r="AS8" s="79" t="s">
        <v>231</v>
      </c>
      <c r="AT8" s="79" t="s">
        <v>231</v>
      </c>
      <c r="AU8" s="80"/>
      <c r="AW8" s="92"/>
    </row>
    <row r="9" spans="1:86" s="79" customFormat="1" ht="30" x14ac:dyDescent="0.25">
      <c r="A9" s="80" t="s">
        <v>89</v>
      </c>
      <c r="B9" s="80" t="s">
        <v>196</v>
      </c>
      <c r="C9" s="76" t="s">
        <v>75</v>
      </c>
      <c r="D9" s="70" t="s">
        <v>202</v>
      </c>
      <c r="E9" s="74" t="s">
        <v>203</v>
      </c>
      <c r="F9" s="74" t="s">
        <v>204</v>
      </c>
      <c r="G9" s="77">
        <v>90624</v>
      </c>
      <c r="H9" s="77">
        <f>Tableau_Lancer_la_requête_à_partir_de_Excel_Files102567[[#This Row],[Aide Massif]]+Tableau_Lancer_la_requête_à_partir_de_Excel_Files102567[[#This Row],[''Autre Public'']]</f>
        <v>90617</v>
      </c>
      <c r="I9" s="78">
        <f>Tableau_Lancer_la_requête_à_partir_de_Excel_Files102567[[#This Row],[Aide 
publique]]/Tableau_Lancer_la_requête_à_partir_de_Excel_Files102567[[#This Row],[''Coût total éligible'']]</f>
        <v>0.99992275776836159</v>
      </c>
      <c r="J9" s="77">
        <f>Tableau_Lancer_la_requête_à_partir_de_Excel_Files102567[[#This Row],[''FEDER'']]+Tableau_Lancer_la_requête_à_partir_de_Excel_Files102567[[#This Row],[Total Etat]]+Tableau_Lancer_la_requête_à_partir_de_Excel_Files102567[[#This Row],[Total Régions]]+Tableau_Lancer_la_requête_à_partir_de_Excel_Files102567[[#This Row],[Total Dpts]]</f>
        <v>88147</v>
      </c>
      <c r="K9" s="78">
        <f>Tableau_Lancer_la_requête_à_partir_de_Excel_Files102567[[#This Row],[Aide Massif]]/Tableau_Lancer_la_requête_à_partir_de_Excel_Files102567[[#This Row],[''Coût total éligible'']]</f>
        <v>0.97266728460451979</v>
      </c>
      <c r="L9" s="77">
        <v>44993</v>
      </c>
      <c r="M9" s="77">
        <f>Tableau_Lancer_la_requête_à_partir_de_Excel_Files102567[[#This Row],[''FNADT '']]+Tableau_Lancer_la_requête_à_partir_de_Excel_Files102567[[#This Row],[''Agriculture'']]</f>
        <v>0</v>
      </c>
      <c r="N9" s="77"/>
      <c r="O9" s="77"/>
      <c r="P9" s="77">
        <f>Tableau_Lancer_la_requête_à_partir_de_Excel_Files102567[[#This Row],[''ALPC'']]+Tableau_Lancer_la_requête_à_partir_de_Excel_Files102567[[#This Row],[''AURA'']]+Tableau_Lancer_la_requête_à_partir_de_Excel_Files102567[[#This Row],[''BFC'']]+Tableau_Lancer_la_requête_à_partir_de_Excel_Files102567[[#This Row],[''LRMP'']]</f>
        <v>30214</v>
      </c>
      <c r="Q9" s="77"/>
      <c r="R9" s="77">
        <v>30214</v>
      </c>
      <c r="S9" s="77"/>
      <c r="T9" s="77"/>
      <c r="U9" s="77">
        <f>Tableau_Lancer_la_requête_à_partir_de_Excel_Files102567[[#This Row],[''03'']]+Tableau_Lancer_la_requête_à_partir_de_Excel_Files102567[[#This Row],[''07'']]+Tableau_Lancer_la_requête_à_partir_de_Excel_Files102567[[#This Row],[''11'']]+Tableau_Lancer_la_requête_à_partir_de_Excel_Files102567[[#This Row],[''12'']]+Tableau_Lancer_la_requête_à_partir_de_Excel_Files102567[[#This Row],[''15'']]+Tableau_Lancer_la_requête_à_partir_de_Excel_Files102567[[#This Row],[''19'']]+Tableau_Lancer_la_requête_à_partir_de_Excel_Files102567[[#This Row],[''21'']]+Tableau_Lancer_la_requête_à_partir_de_Excel_Files102567[[#This Row],[''23'']]+Tableau_Lancer_la_requête_à_partir_de_Excel_Files102567[[#This Row],[''30'']]+Tableau_Lancer_la_requête_à_partir_de_Excel_Files102567[[#This Row],[''34'']]+Tableau_Lancer_la_requête_à_partir_de_Excel_Files102567[[#This Row],[''42'']]+Tableau_Lancer_la_requête_à_partir_de_Excel_Files102567[[#This Row],[''43'']]+Tableau_Lancer_la_requête_à_partir_de_Excel_Files102567[[#This Row],[''46'']]+Tableau_Lancer_la_requête_à_partir_de_Excel_Files102567[[#This Row],[''48'']]+Tableau_Lancer_la_requête_à_partir_de_Excel_Files102567[[#This Row],[''58'']]+Tableau_Lancer_la_requête_à_partir_de_Excel_Files102567[[#This Row],[''63'']]+Tableau_Lancer_la_requête_à_partir_de_Excel_Files102567[[#This Row],[''69'']]+Tableau_Lancer_la_requête_à_partir_de_Excel_Files102567[[#This Row],[''71'']]+Tableau_Lancer_la_requête_à_partir_de_Excel_Files102567[[#This Row],[''81'']]+Tableau_Lancer_la_requête_à_partir_de_Excel_Files102567[[#This Row],[''82'']]+Tableau_Lancer_la_requête_à_partir_de_Excel_Files102567[[#This Row],[''87'']]+Tableau_Lancer_la_requête_à_partir_de_Excel_Files102567[[#This Row],[''89'']]</f>
        <v>12940</v>
      </c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>
        <v>8000</v>
      </c>
      <c r="AG9" s="77"/>
      <c r="AH9" s="77"/>
      <c r="AI9" s="77"/>
      <c r="AJ9" s="77"/>
      <c r="AK9" s="77"/>
      <c r="AL9" s="77">
        <v>4940</v>
      </c>
      <c r="AM9" s="77"/>
      <c r="AN9" s="77"/>
      <c r="AO9" s="77"/>
      <c r="AP9" s="77"/>
      <c r="AQ9" s="77"/>
      <c r="AR9" s="77">
        <v>2470</v>
      </c>
      <c r="AS9" s="79" t="s">
        <v>231</v>
      </c>
      <c r="AT9" s="79" t="s">
        <v>231</v>
      </c>
      <c r="AU9" s="80">
        <v>42736</v>
      </c>
      <c r="AW9" s="91"/>
    </row>
    <row r="10" spans="1:86" s="79" customFormat="1" ht="45.75" thickBot="1" x14ac:dyDescent="0.3">
      <c r="A10" s="80" t="s">
        <v>89</v>
      </c>
      <c r="B10" s="80" t="s">
        <v>196</v>
      </c>
      <c r="C10" s="76" t="s">
        <v>109</v>
      </c>
      <c r="D10" s="70" t="s">
        <v>106</v>
      </c>
      <c r="E10" s="74" t="s">
        <v>71</v>
      </c>
      <c r="F10" s="74" t="s">
        <v>107</v>
      </c>
      <c r="G10" s="77">
        <v>392776.01</v>
      </c>
      <c r="H10" s="77">
        <f>Tableau_Lancer_la_requête_à_partir_de_Excel_Files102567[[#This Row],[Aide Massif]]+Tableau_Lancer_la_requête_à_partir_de_Excel_Files102567[[#This Row],[''Autre Public'']]</f>
        <v>375200</v>
      </c>
      <c r="I10" s="78">
        <f>Tableau_Lancer_la_requête_à_partir_de_Excel_Files102567[[#This Row],[Aide 
publique]]/Tableau_Lancer_la_requête_à_partir_de_Excel_Files102567[[#This Row],[''Coût total éligible'']]</f>
        <v>0.95525182406125053</v>
      </c>
      <c r="J10" s="77">
        <f>Tableau_Lancer_la_requête_à_partir_de_Excel_Files102567[[#This Row],[''FEDER'']]+Tableau_Lancer_la_requête_à_partir_de_Excel_Files102567[[#This Row],[Total Etat]]+Tableau_Lancer_la_requête_à_partir_de_Excel_Files102567[[#This Row],[Total Régions]]+Tableau_Lancer_la_requête_à_partir_de_Excel_Files102567[[#This Row],[Total Dpts]]</f>
        <v>375200</v>
      </c>
      <c r="K10" s="78">
        <f>Tableau_Lancer_la_requête_à_partir_de_Excel_Files102567[[#This Row],[Aide Massif]]/Tableau_Lancer_la_requête_à_partir_de_Excel_Files102567[[#This Row],[''Coût total éligible'']]</f>
        <v>0.95525182406125053</v>
      </c>
      <c r="L10" s="77">
        <v>50400</v>
      </c>
      <c r="M10" s="77">
        <f>Tableau_Lancer_la_requête_à_partir_de_Excel_Files102567[[#This Row],[''FNADT '']]+Tableau_Lancer_la_requête_à_partir_de_Excel_Files102567[[#This Row],[''Agriculture'']]</f>
        <v>295890.3</v>
      </c>
      <c r="N10" s="77">
        <v>223377.81</v>
      </c>
      <c r="O10" s="77">
        <v>72512.490000000005</v>
      </c>
      <c r="P10" s="77">
        <f>Tableau_Lancer_la_requête_à_partir_de_Excel_Files102567[[#This Row],[''ALPC'']]+Tableau_Lancer_la_requête_à_partir_de_Excel_Files102567[[#This Row],[''AURA'']]+Tableau_Lancer_la_requête_à_partir_de_Excel_Files102567[[#This Row],[''BFC'']]+Tableau_Lancer_la_requête_à_partir_de_Excel_Files102567[[#This Row],[''LRMP'']]</f>
        <v>28909.7</v>
      </c>
      <c r="Q10" s="77"/>
      <c r="R10" s="77">
        <v>24000</v>
      </c>
      <c r="S10" s="77">
        <v>4909.7</v>
      </c>
      <c r="T10" s="77"/>
      <c r="U10" s="77">
        <f>Tableau_Lancer_la_requête_à_partir_de_Excel_Files102567[[#This Row],[''03'']]+Tableau_Lancer_la_requête_à_partir_de_Excel_Files102567[[#This Row],[''07'']]+Tableau_Lancer_la_requête_à_partir_de_Excel_Files102567[[#This Row],[''11'']]+Tableau_Lancer_la_requête_à_partir_de_Excel_Files102567[[#This Row],[''12'']]+Tableau_Lancer_la_requête_à_partir_de_Excel_Files102567[[#This Row],[''15'']]+Tableau_Lancer_la_requête_à_partir_de_Excel_Files102567[[#This Row],[''19'']]+Tableau_Lancer_la_requête_à_partir_de_Excel_Files102567[[#This Row],[''21'']]+Tableau_Lancer_la_requête_à_partir_de_Excel_Files102567[[#This Row],[''23'']]+Tableau_Lancer_la_requête_à_partir_de_Excel_Files102567[[#This Row],[''30'']]+Tableau_Lancer_la_requête_à_partir_de_Excel_Files102567[[#This Row],[''34'']]+Tableau_Lancer_la_requête_à_partir_de_Excel_Files102567[[#This Row],[''42'']]+Tableau_Lancer_la_requête_à_partir_de_Excel_Files102567[[#This Row],[''43'']]+Tableau_Lancer_la_requête_à_partir_de_Excel_Files102567[[#This Row],[''46'']]+Tableau_Lancer_la_requête_à_partir_de_Excel_Files102567[[#This Row],[''48'']]+Tableau_Lancer_la_requête_à_partir_de_Excel_Files102567[[#This Row],[''58'']]+Tableau_Lancer_la_requête_à_partir_de_Excel_Files102567[[#This Row],[''63'']]+Tableau_Lancer_la_requête_à_partir_de_Excel_Files102567[[#This Row],[''69'']]+Tableau_Lancer_la_requête_à_partir_de_Excel_Files102567[[#This Row],[''71'']]+Tableau_Lancer_la_requête_à_partir_de_Excel_Files102567[[#This Row],[''81'']]+Tableau_Lancer_la_requête_à_partir_de_Excel_Files102567[[#This Row],[''82'']]+Tableau_Lancer_la_requête_à_partir_de_Excel_Files102567[[#This Row],[''87'']]+Tableau_Lancer_la_requête_à_partir_de_Excel_Files102567[[#This Row],[''89'']]</f>
        <v>0</v>
      </c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>
        <v>0</v>
      </c>
      <c r="AS10" s="79" t="s">
        <v>231</v>
      </c>
      <c r="AT10" s="79" t="s">
        <v>231</v>
      </c>
      <c r="AU10" s="80">
        <v>42614</v>
      </c>
      <c r="AW10" s="92"/>
    </row>
    <row r="11" spans="1:86" s="79" customFormat="1" ht="15.75" thickTop="1" x14ac:dyDescent="0.25">
      <c r="D11" s="79" t="s">
        <v>8</v>
      </c>
      <c r="E11" s="74">
        <f>SUBTOTAL(103,Tableau_Lancer_la_requête_à_partir_de_Excel_Files102567[Nom_MO])</f>
        <v>4</v>
      </c>
      <c r="F11" s="74"/>
      <c r="G11" s="141">
        <f>SUBTOTAL(109,Tableau_Lancer_la_requête_à_partir_de_Excel_Files102567[''Coût total éligible''])</f>
        <v>699900.01</v>
      </c>
      <c r="H11" s="141">
        <f>SUBTOTAL(109,Tableau_Lancer_la_requête_à_partir_de_Excel_Files102567[Aide 
publique])</f>
        <v>633489</v>
      </c>
      <c r="I11" s="142"/>
      <c r="J11" s="141">
        <f>SUBTOTAL(109,Tableau_Lancer_la_requête_à_partir_de_Excel_Files102567[Aide Massif])</f>
        <v>614894</v>
      </c>
      <c r="K11" s="142"/>
      <c r="L11" s="141">
        <f>SUBTOTAL(109,Tableau_Lancer_la_requête_à_partir_de_Excel_Files102567[''FEDER''])</f>
        <v>176015</v>
      </c>
      <c r="M11" s="141">
        <f>SUBTOTAL(109,Tableau_Lancer_la_requête_à_partir_de_Excel_Files102567[Total Etat])</f>
        <v>334565.3</v>
      </c>
      <c r="O11" s="141">
        <f>SUBTOTAL(109,Tableau_Lancer_la_requête_à_partir_de_Excel_Files102567[''Agriculture''])</f>
        <v>111187.49</v>
      </c>
      <c r="P11" s="141">
        <f>SUBTOTAL(109,Tableau_Lancer_la_requête_à_partir_de_Excel_Files102567[Total Régions])</f>
        <v>91373.7</v>
      </c>
      <c r="Q11" s="141">
        <f>SUBTOTAL(109,Tableau_Lancer_la_requête_à_partir_de_Excel_Files102567[''ALPC''])</f>
        <v>32250</v>
      </c>
      <c r="R11" s="141">
        <f>SUBTOTAL(109,Tableau_Lancer_la_requête_à_partir_de_Excel_Files102567[''AURA''])</f>
        <v>54214</v>
      </c>
      <c r="S11" s="141">
        <f>SUBTOTAL(109,Tableau_Lancer_la_requête_à_partir_de_Excel_Files102567[''BFC''])</f>
        <v>4909.7</v>
      </c>
      <c r="T11" s="141">
        <f>SUBTOTAL(109,Tableau_Lancer_la_requête_à_partir_de_Excel_Files102567[''LRMP''])</f>
        <v>0</v>
      </c>
      <c r="U11" s="141">
        <f>SUBTOTAL(109,Tableau_Lancer_la_requête_à_partir_de_Excel_Files102567[Total Dpts])</f>
        <v>12940</v>
      </c>
      <c r="V11" s="141">
        <f>SUBTOTAL(109,Tableau_Lancer_la_requête_à_partir_de_Excel_Files102567[''03''])</f>
        <v>0</v>
      </c>
      <c r="W11" s="141">
        <f>SUBTOTAL(109,Tableau_Lancer_la_requête_à_partir_de_Excel_Files102567[''07''])</f>
        <v>0</v>
      </c>
      <c r="X11" s="141">
        <f>SUBTOTAL(109,Tableau_Lancer_la_requête_à_partir_de_Excel_Files102567[''11''])</f>
        <v>0</v>
      </c>
      <c r="Y11" s="141">
        <f>SUBTOTAL(109,Tableau_Lancer_la_requête_à_partir_de_Excel_Files102567[''12''])</f>
        <v>0</v>
      </c>
      <c r="Z11" s="141">
        <f>SUBTOTAL(109,Tableau_Lancer_la_requête_à_partir_de_Excel_Files102567[''15''])</f>
        <v>0</v>
      </c>
      <c r="AA11" s="141">
        <f>SUBTOTAL(109,Tableau_Lancer_la_requête_à_partir_de_Excel_Files102567[''19''])</f>
        <v>0</v>
      </c>
      <c r="AB11" s="141">
        <f>SUBTOTAL(109,Tableau_Lancer_la_requête_à_partir_de_Excel_Files102567[''21''])</f>
        <v>0</v>
      </c>
      <c r="AC11" s="141">
        <f>SUBTOTAL(109,Tableau_Lancer_la_requête_à_partir_de_Excel_Files102567[''23''])</f>
        <v>0</v>
      </c>
      <c r="AD11" s="141">
        <f>SUBTOTAL(109,Tableau_Lancer_la_requête_à_partir_de_Excel_Files102567[''30''])</f>
        <v>0</v>
      </c>
      <c r="AE11" s="141">
        <f>SUBTOTAL(109,Tableau_Lancer_la_requête_à_partir_de_Excel_Files102567[''34''])</f>
        <v>0</v>
      </c>
      <c r="AF11" s="141">
        <f>SUBTOTAL(109,Tableau_Lancer_la_requête_à_partir_de_Excel_Files102567[''42''])</f>
        <v>8000</v>
      </c>
      <c r="AG11" s="141">
        <f>SUBTOTAL(109,Tableau_Lancer_la_requête_à_partir_de_Excel_Files102567[''43''])</f>
        <v>0</v>
      </c>
      <c r="AH11" s="141">
        <f>SUBTOTAL(109,Tableau_Lancer_la_requête_à_partir_de_Excel_Files102567[''46''])</f>
        <v>0</v>
      </c>
      <c r="AI11" s="141">
        <f>SUBTOTAL(109,Tableau_Lancer_la_requête_à_partir_de_Excel_Files102567[''48''])</f>
        <v>0</v>
      </c>
      <c r="AJ11" s="141">
        <f>SUBTOTAL(109,Tableau_Lancer_la_requête_à_partir_de_Excel_Files102567[''58''])</f>
        <v>0</v>
      </c>
      <c r="AK11" s="141">
        <f>SUBTOTAL(109,Tableau_Lancer_la_requête_à_partir_de_Excel_Files102567[''63''])</f>
        <v>0</v>
      </c>
      <c r="AL11" s="141">
        <f>SUBTOTAL(109,Tableau_Lancer_la_requête_à_partir_de_Excel_Files102567[''69''])</f>
        <v>4940</v>
      </c>
      <c r="AM11" s="141">
        <f>SUBTOTAL(109,Tableau_Lancer_la_requête_à_partir_de_Excel_Files102567[''71''])</f>
        <v>0</v>
      </c>
      <c r="AN11" s="141">
        <f>SUBTOTAL(109,Tableau_Lancer_la_requête_à_partir_de_Excel_Files102567[''81''])</f>
        <v>0</v>
      </c>
      <c r="AO11" s="141">
        <f>SUBTOTAL(109,Tableau_Lancer_la_requête_à_partir_de_Excel_Files102567[''82''])</f>
        <v>0</v>
      </c>
      <c r="AP11" s="141">
        <f>SUBTOTAL(109,Tableau_Lancer_la_requête_à_partir_de_Excel_Files102567[''87''])</f>
        <v>0</v>
      </c>
      <c r="AQ11" s="141">
        <f>SUBTOTAL(109,Tableau_Lancer_la_requête_à_partir_de_Excel_Files102567[''89''])</f>
        <v>0</v>
      </c>
      <c r="AR11" s="141">
        <f>SUBTOTAL(109,Tableau_Lancer_la_requête_à_partir_de_Excel_Files102567[''Autre Public''])</f>
        <v>18595</v>
      </c>
      <c r="AT11" s="69"/>
      <c r="AW11" s="93"/>
    </row>
    <row r="12" spans="1:86" x14ac:dyDescent="0.25">
      <c r="AW12" s="69"/>
      <c r="CC12" s="71"/>
      <c r="CH12" s="69"/>
    </row>
    <row r="13" spans="1:86" x14ac:dyDescent="0.25">
      <c r="CC13" s="71"/>
      <c r="CH13" s="69"/>
    </row>
    <row r="14" spans="1:86" x14ac:dyDescent="0.25">
      <c r="CC14" s="71"/>
      <c r="CH14" s="69"/>
    </row>
    <row r="15" spans="1:86" x14ac:dyDescent="0.25">
      <c r="CC15" s="71"/>
      <c r="CH15" s="69"/>
    </row>
    <row r="16" spans="1:86" x14ac:dyDescent="0.25">
      <c r="CC16" s="71"/>
      <c r="CH16" s="69"/>
    </row>
    <row r="17" spans="1:86" s="75" customFormat="1" x14ac:dyDescent="0.25">
      <c r="A17" s="69"/>
      <c r="B17" s="71"/>
      <c r="C17" s="74"/>
      <c r="D17" s="69"/>
      <c r="E17" s="69"/>
      <c r="F17" s="70"/>
      <c r="G17" s="69"/>
      <c r="H17" s="70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W17" s="71"/>
    </row>
    <row r="18" spans="1:86" s="79" customFormat="1" x14ac:dyDescent="0.25">
      <c r="A18" s="69"/>
      <c r="B18" s="71"/>
      <c r="C18" s="74"/>
      <c r="D18" s="69"/>
      <c r="E18" s="69"/>
      <c r="F18" s="70"/>
      <c r="G18" s="69"/>
      <c r="H18" s="70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W18" s="71"/>
    </row>
    <row r="19" spans="1:86" x14ac:dyDescent="0.25">
      <c r="CE19" s="71"/>
      <c r="CH19" s="69"/>
    </row>
    <row r="20" spans="1:86" x14ac:dyDescent="0.25">
      <c r="CF20" s="71"/>
      <c r="CH20" s="69"/>
    </row>
    <row r="21" spans="1:86" hidden="1" x14ac:dyDescent="0.25">
      <c r="E21" s="69" t="s">
        <v>81</v>
      </c>
      <c r="F21" s="70" t="s">
        <v>82</v>
      </c>
      <c r="CF21" s="71"/>
      <c r="CH21" s="69"/>
    </row>
    <row r="22" spans="1:86" hidden="1" x14ac:dyDescent="0.25">
      <c r="D22" s="69" t="s">
        <v>55</v>
      </c>
      <c r="E22" s="69">
        <f>H22+I22</f>
        <v>176015</v>
      </c>
      <c r="F22" s="69">
        <f>K22+N22</f>
        <v>176015</v>
      </c>
      <c r="H22" s="69">
        <f>SUMIF(Tableau_Lancer_la_requête_à_partir_de_Excel_Files102567[Avis Prog],"1-Favorable",Tableau_Lancer_la_requête_à_partir_de_Excel_Files102567[''FEDER''])</f>
        <v>176015</v>
      </c>
      <c r="I22" s="69">
        <f>SUMIF(Tableau_Lancer_la_requête_à_partir_de_Excel_Files102567[Avis Prog],"2-Favorable sous réserve",Tableau_Lancer_la_requête_à_partir_de_Excel_Files102567[''FEDER''])</f>
        <v>0</v>
      </c>
      <c r="K22" s="69">
        <f>SUMIF(Tableau_Lancer_la_requête_à_partir_de_Excel_Files102567[Avis Cofimac],"1-Favorable",Tableau_Lancer_la_requête_à_partir_de_Excel_Files102567[''FEDER''])</f>
        <v>176015</v>
      </c>
      <c r="N22" s="69">
        <f>SUMIF(Tableau_Lancer_la_requête_à_partir_de_Excel_Files102567[Avis Cofimac],"2-Favorable sous réserve",Tableau_Lancer_la_requête_à_partir_de_Excel_Files102567[''FEDER''])</f>
        <v>0</v>
      </c>
      <c r="CF22" s="71"/>
      <c r="CH22" s="69"/>
    </row>
    <row r="23" spans="1:86" hidden="1" x14ac:dyDescent="0.25">
      <c r="D23" s="69" t="s">
        <v>44</v>
      </c>
      <c r="E23" s="69">
        <f t="shared" ref="E23:E51" si="0">H23+I23</f>
        <v>334565.3</v>
      </c>
      <c r="F23" s="69">
        <f t="shared" ref="F23:F51" si="1">K23+N23</f>
        <v>334565.3</v>
      </c>
      <c r="H23" s="69">
        <f>SUMIF(Tableau_Lancer_la_requête_à_partir_de_Excel_Files102567[Avis Prog],"1-Favorable",Tableau_Lancer_la_requête_à_partir_de_Excel_Files102567[Total Etat])</f>
        <v>334565.3</v>
      </c>
      <c r="I23" s="69">
        <f>SUMIF(Tableau_Lancer_la_requête_à_partir_de_Excel_Files102567[Avis Prog],"2-Favorable sous réserve",Tableau_Lancer_la_requête_à_partir_de_Excel_Files102567[Total Etat])</f>
        <v>0</v>
      </c>
      <c r="K23" s="69">
        <f>SUMIF(Tableau_Lancer_la_requête_à_partir_de_Excel_Files102567[Avis Cofimac],"1-Favorable",Tableau_Lancer_la_requête_à_partir_de_Excel_Files102567[Total Etat])</f>
        <v>334565.3</v>
      </c>
      <c r="N23" s="69">
        <f>SUMIF(Tableau_Lancer_la_requête_à_partir_de_Excel_Files102567[Avis Cofimac],"2-Favorable sous réserve",Tableau_Lancer_la_requête_à_partir_de_Excel_Files102567[Total Etat])</f>
        <v>0</v>
      </c>
    </row>
    <row r="24" spans="1:86" hidden="1" x14ac:dyDescent="0.25">
      <c r="D24" s="69" t="s">
        <v>45</v>
      </c>
      <c r="E24" s="69">
        <f t="shared" si="0"/>
        <v>91373.7</v>
      </c>
      <c r="F24" s="69">
        <f t="shared" si="1"/>
        <v>91373.7</v>
      </c>
      <c r="H24" s="69">
        <f>SUMIF(Tableau_Lancer_la_requête_à_partir_de_Excel_Files102567[Avis Prog],"1-Favorable",Tableau_Lancer_la_requête_à_partir_de_Excel_Files102567[Total Régions])</f>
        <v>91373.7</v>
      </c>
      <c r="I24" s="69">
        <f>SUMIF(Tableau_Lancer_la_requête_à_partir_de_Excel_Files102567[Avis Prog],"2-Favorable sous réserve",Tableau_Lancer_la_requête_à_partir_de_Excel_Files102567[Total Régions])</f>
        <v>0</v>
      </c>
      <c r="K24" s="69">
        <f>SUMIF(Tableau_Lancer_la_requête_à_partir_de_Excel_Files102567[Avis Cofimac],"1-Favorable",Tableau_Lancer_la_requête_à_partir_de_Excel_Files102567[Total Régions])</f>
        <v>91373.7</v>
      </c>
      <c r="N24" s="69">
        <f>SUMIF(Tableau_Lancer_la_requête_à_partir_de_Excel_Files102567[Avis Cofimac],"2-Favorable sous réserve",Tableau_Lancer_la_requête_à_partir_de_Excel_Files102567[Total Régions])</f>
        <v>0</v>
      </c>
    </row>
    <row r="25" spans="1:86" hidden="1" x14ac:dyDescent="0.25">
      <c r="D25" s="69" t="s">
        <v>56</v>
      </c>
      <c r="E25" s="69">
        <f t="shared" si="0"/>
        <v>32250</v>
      </c>
      <c r="F25" s="69">
        <f t="shared" si="1"/>
        <v>32250</v>
      </c>
      <c r="H25" s="69">
        <f>SUMIF(Tableau_Lancer_la_requête_à_partir_de_Excel_Files102567[Avis Prog],"1-Favorable",Tableau_Lancer_la_requête_à_partir_de_Excel_Files102567[''ALPC''])</f>
        <v>32250</v>
      </c>
      <c r="I25" s="69">
        <f>SUMIF(Tableau_Lancer_la_requête_à_partir_de_Excel_Files102567[Avis Prog],"2-Favorable sous réserve",Tableau_Lancer_la_requête_à_partir_de_Excel_Files102567[''ALPC''])</f>
        <v>0</v>
      </c>
      <c r="K25" s="69">
        <f>SUMIF(Tableau_Lancer_la_requête_à_partir_de_Excel_Files102567[Avis Cofimac],"1-Favorable",Tableau_Lancer_la_requête_à_partir_de_Excel_Files102567[''ALPC''])</f>
        <v>32250</v>
      </c>
      <c r="N25" s="69">
        <f>SUMIF(Tableau_Lancer_la_requête_à_partir_de_Excel_Files102567[Avis Cofimac],"2-Favorable sous réserve",Tableau_Lancer_la_requête_à_partir_de_Excel_Files102567[''ALPC''])</f>
        <v>0</v>
      </c>
      <c r="AV25" s="79"/>
    </row>
    <row r="26" spans="1:86" hidden="1" x14ac:dyDescent="0.25">
      <c r="D26" s="69" t="s">
        <v>57</v>
      </c>
      <c r="E26" s="69">
        <f t="shared" si="0"/>
        <v>54214</v>
      </c>
      <c r="F26" s="69">
        <f t="shared" si="1"/>
        <v>54214</v>
      </c>
      <c r="H26" s="69">
        <f>SUMIF(Tableau_Lancer_la_requête_à_partir_de_Excel_Files102567[Avis Prog],"1-Favorable",Tableau_Lancer_la_requête_à_partir_de_Excel_Files102567[''AURA''])</f>
        <v>54214</v>
      </c>
      <c r="I26" s="69">
        <f>SUMIF(Tableau_Lancer_la_requête_à_partir_de_Excel_Files102567[Avis Prog],"2-Favorable sous réserve",Tableau_Lancer_la_requête_à_partir_de_Excel_Files102567[''AURA''])</f>
        <v>0</v>
      </c>
      <c r="K26" s="69">
        <f>SUMIF(Tableau_Lancer_la_requête_à_partir_de_Excel_Files102567[Avis Cofimac],"1-Favorable",Tableau_Lancer_la_requête_à_partir_de_Excel_Files102567[''AURA''])</f>
        <v>54214</v>
      </c>
      <c r="N26" s="69">
        <f>SUMIF(Tableau_Lancer_la_requête_à_partir_de_Excel_Files102567[Avis Cofimac],"2-Favorable sous réserve",Tableau_Lancer_la_requête_à_partir_de_Excel_Files102567[''AURA''])</f>
        <v>0</v>
      </c>
    </row>
    <row r="27" spans="1:86" hidden="1" x14ac:dyDescent="0.25">
      <c r="D27" s="69" t="s">
        <v>58</v>
      </c>
      <c r="E27" s="69">
        <f t="shared" si="0"/>
        <v>4909.7</v>
      </c>
      <c r="F27" s="69">
        <f t="shared" si="1"/>
        <v>4909.7</v>
      </c>
      <c r="H27" s="69">
        <f>SUMIF(Tableau_Lancer_la_requête_à_partir_de_Excel_Files102567[Avis Prog],"1-Favorable",Tableau_Lancer_la_requête_à_partir_de_Excel_Files102567[''BFC''])</f>
        <v>4909.7</v>
      </c>
      <c r="I27" s="69">
        <f>SUMIF(Tableau_Lancer_la_requête_à_partir_de_Excel_Files102567[Avis Prog],"2-Favorable sous réserve",Tableau_Lancer_la_requête_à_partir_de_Excel_Files102567[''BFC''])</f>
        <v>0</v>
      </c>
      <c r="K27" s="69">
        <f>SUMIF(Tableau_Lancer_la_requête_à_partir_de_Excel_Files102567[Avis Cofimac],"1-Favorable",Tableau_Lancer_la_requête_à_partir_de_Excel_Files102567[''BFC''])</f>
        <v>4909.7</v>
      </c>
      <c r="N27" s="69">
        <f>SUMIF(Tableau_Lancer_la_requête_à_partir_de_Excel_Files102567[Avis Cofimac],"2-Favorable sous réserve",Tableau_Lancer_la_requête_à_partir_de_Excel_Files102567[''BFC''])</f>
        <v>0</v>
      </c>
    </row>
    <row r="28" spans="1:86" hidden="1" x14ac:dyDescent="0.25">
      <c r="D28" s="69" t="s">
        <v>59</v>
      </c>
      <c r="E28" s="69">
        <f t="shared" si="0"/>
        <v>0</v>
      </c>
      <c r="F28" s="69">
        <f t="shared" si="1"/>
        <v>0</v>
      </c>
      <c r="H28" s="69">
        <f>SUMIF(Tableau_Lancer_la_requête_à_partir_de_Excel_Files102567[Avis Prog],"1-Favorable",Tableau_Lancer_la_requête_à_partir_de_Excel_Files102567[''LRMP''])</f>
        <v>0</v>
      </c>
      <c r="I28" s="69">
        <f>SUMIF(Tableau_Lancer_la_requête_à_partir_de_Excel_Files102567[Avis Prog],"2-Favorable sous réserve",Tableau_Lancer_la_requête_à_partir_de_Excel_Files102567[''LRMP''])</f>
        <v>0</v>
      </c>
      <c r="K28" s="69">
        <f>SUMIF(Tableau_Lancer_la_requête_à_partir_de_Excel_Files102567[Avis Cofimac],"1-Favorable",Tableau_Lancer_la_requête_à_partir_de_Excel_Files102567[''LRMP''])</f>
        <v>0</v>
      </c>
      <c r="N28" s="69">
        <f>SUMIF(Tableau_Lancer_la_requête_à_partir_de_Excel_Files102567[Avis Cofimac],"2-Favorable sous réserve",Tableau_Lancer_la_requête_à_partir_de_Excel_Files102567[''LRMP''])</f>
        <v>0</v>
      </c>
    </row>
    <row r="29" spans="1:86" hidden="1" x14ac:dyDescent="0.25">
      <c r="D29" s="69" t="s">
        <v>46</v>
      </c>
      <c r="E29" s="69">
        <f t="shared" si="0"/>
        <v>12940</v>
      </c>
      <c r="F29" s="69">
        <f t="shared" si="1"/>
        <v>12940</v>
      </c>
      <c r="H29" s="69">
        <f>SUMIF(Tableau_Lancer_la_requête_à_partir_de_Excel_Files102567[Avis Prog],"1-Favorable",Tableau_Lancer_la_requête_à_partir_de_Excel_Files102567[Total Dpts])</f>
        <v>12940</v>
      </c>
      <c r="I29" s="69">
        <f>SUMIF(Tableau_Lancer_la_requête_à_partir_de_Excel_Files102567[Avis Prog],"2-Favorable sous réserve",Tableau_Lancer_la_requête_à_partir_de_Excel_Files102567[Total Dpts])</f>
        <v>0</v>
      </c>
      <c r="K29" s="69">
        <f>SUMIF(Tableau_Lancer_la_requête_à_partir_de_Excel_Files102567[Avis Cofimac],"1-Favorable",Tableau_Lancer_la_requête_à_partir_de_Excel_Files102567[Total Dpts])</f>
        <v>12940</v>
      </c>
      <c r="N29" s="69">
        <f>SUMIF(Tableau_Lancer_la_requête_à_partir_de_Excel_Files102567[Avis Cofimac],"2-Favorable sous réserve",Tableau_Lancer_la_requête_à_partir_de_Excel_Files102567[Total Dpts])</f>
        <v>0</v>
      </c>
    </row>
    <row r="30" spans="1:86" hidden="1" x14ac:dyDescent="0.25">
      <c r="D30" s="69" t="s">
        <v>20</v>
      </c>
      <c r="E30" s="69">
        <f t="shared" si="0"/>
        <v>0</v>
      </c>
      <c r="F30" s="69">
        <f t="shared" si="1"/>
        <v>0</v>
      </c>
      <c r="H30" s="69">
        <f>SUMIF(Tableau_Lancer_la_requête_à_partir_de_Excel_Files102567[Avis Prog],"1-Favorable",Tableau_Lancer_la_requête_à_partir_de_Excel_Files102567[''03''])</f>
        <v>0</v>
      </c>
      <c r="I30" s="69">
        <f>SUMIF(Tableau_Lancer_la_requête_à_partir_de_Excel_Files102567[Avis Prog],"2-Favorable sous réserve",Tableau_Lancer_la_requête_à_partir_de_Excel_Files102567[''03''])</f>
        <v>0</v>
      </c>
      <c r="K30" s="69">
        <f>SUMIF(Tableau_Lancer_la_requête_à_partir_de_Excel_Files102567[Avis Cofimac],"1-Favorable",Tableau_Lancer_la_requête_à_partir_de_Excel_Files102567[''03''])</f>
        <v>0</v>
      </c>
      <c r="N30" s="69">
        <f>SUMIF(Tableau_Lancer_la_requête_à_partir_de_Excel_Files102567[Avis Cofimac],"2-Favorable sous réserve",Tableau_Lancer_la_requête_à_partir_de_Excel_Files102567[''03''])</f>
        <v>0</v>
      </c>
    </row>
    <row r="31" spans="1:86" hidden="1" x14ac:dyDescent="0.25">
      <c r="D31" s="69" t="s">
        <v>21</v>
      </c>
      <c r="E31" s="69">
        <f t="shared" si="0"/>
        <v>0</v>
      </c>
      <c r="F31" s="69">
        <f t="shared" si="1"/>
        <v>0</v>
      </c>
      <c r="H31" s="69">
        <f>SUMIF(Tableau_Lancer_la_requête_à_partir_de_Excel_Files102567[Avis Prog],"1-Favorable",Tableau_Lancer_la_requête_à_partir_de_Excel_Files102567[''07''])</f>
        <v>0</v>
      </c>
      <c r="I31" s="69">
        <f>SUMIF(Tableau_Lancer_la_requête_à_partir_de_Excel_Files102567[Avis Prog],"2-Favorable sous réserve",Tableau_Lancer_la_requête_à_partir_de_Excel_Files102567[''07''])</f>
        <v>0</v>
      </c>
      <c r="K31" s="69">
        <f>SUMIF(Tableau_Lancer_la_requête_à_partir_de_Excel_Files102567[Avis Cofimac],"1-Favorable",Tableau_Lancer_la_requête_à_partir_de_Excel_Files102567[''07''])</f>
        <v>0</v>
      </c>
      <c r="N31" s="69">
        <f>SUMIF(Tableau_Lancer_la_requête_à_partir_de_Excel_Files102567[Avis Cofimac],"2-Favorable sous réserve",Tableau_Lancer_la_requête_à_partir_de_Excel_Files102567[''07''])</f>
        <v>0</v>
      </c>
    </row>
    <row r="32" spans="1:86" hidden="1" x14ac:dyDescent="0.25">
      <c r="D32" s="69" t="s">
        <v>22</v>
      </c>
      <c r="E32" s="69">
        <f t="shared" si="0"/>
        <v>0</v>
      </c>
      <c r="F32" s="69">
        <f t="shared" si="1"/>
        <v>0</v>
      </c>
      <c r="H32" s="69">
        <f>SUMIF(Tableau_Lancer_la_requête_à_partir_de_Excel_Files102567[Avis Prog],"1-Favorable",Tableau_Lancer_la_requête_à_partir_de_Excel_Files102567[''11''])</f>
        <v>0</v>
      </c>
      <c r="I32" s="69">
        <f>SUMIF(Tableau_Lancer_la_requête_à_partir_de_Excel_Files102567[Avis Prog],"2-Favorable sous réserve",Tableau_Lancer_la_requête_à_partir_de_Excel_Files102567[''11''])</f>
        <v>0</v>
      </c>
      <c r="K32" s="69">
        <f>SUMIF(Tableau_Lancer_la_requête_à_partir_de_Excel_Files102567[Avis Cofimac],"1-Favorable",Tableau_Lancer_la_requête_à_partir_de_Excel_Files102567[''11''])</f>
        <v>0</v>
      </c>
      <c r="N32" s="69">
        <f>SUMIF(Tableau_Lancer_la_requête_à_partir_de_Excel_Files102567[Avis Cofimac],"2-Favorable sous réserve",Tableau_Lancer_la_requête_à_partir_de_Excel_Files102567[''11''])</f>
        <v>0</v>
      </c>
    </row>
    <row r="33" spans="4:14" hidden="1" x14ac:dyDescent="0.25">
      <c r="D33" s="69" t="s">
        <v>23</v>
      </c>
      <c r="E33" s="69">
        <f t="shared" si="0"/>
        <v>0</v>
      </c>
      <c r="F33" s="69">
        <f t="shared" si="1"/>
        <v>0</v>
      </c>
      <c r="H33" s="69">
        <f>SUMIF(Tableau_Lancer_la_requête_à_partir_de_Excel_Files102567[Avis Prog],"1-Favorable",Tableau_Lancer_la_requête_à_partir_de_Excel_Files102567[''12''])</f>
        <v>0</v>
      </c>
      <c r="I33" s="69">
        <f>SUMIF(Tableau_Lancer_la_requête_à_partir_de_Excel_Files102567[Avis Prog],"2-Favorable sous réserve",Tableau_Lancer_la_requête_à_partir_de_Excel_Files102567[''12''])</f>
        <v>0</v>
      </c>
      <c r="K33" s="69">
        <f>SUMIF(Tableau_Lancer_la_requête_à_partir_de_Excel_Files102567[Avis Cofimac],"1-Favorable",Tableau_Lancer_la_requête_à_partir_de_Excel_Files102567[''12''])</f>
        <v>0</v>
      </c>
      <c r="N33" s="69">
        <f>SUMIF(Tableau_Lancer_la_requête_à_partir_de_Excel_Files102567[Avis Cofimac],"2-Favorable sous réserve",Tableau_Lancer_la_requête_à_partir_de_Excel_Files102567[''12''])</f>
        <v>0</v>
      </c>
    </row>
    <row r="34" spans="4:14" hidden="1" x14ac:dyDescent="0.25">
      <c r="D34" s="69" t="s">
        <v>24</v>
      </c>
      <c r="E34" s="69">
        <f t="shared" si="0"/>
        <v>0</v>
      </c>
      <c r="F34" s="69">
        <f t="shared" si="1"/>
        <v>0</v>
      </c>
      <c r="H34" s="69">
        <f>SUMIF(Tableau_Lancer_la_requête_à_partir_de_Excel_Files102567[Avis Prog],"1-Favorable",Tableau_Lancer_la_requête_à_partir_de_Excel_Files102567[''15''])</f>
        <v>0</v>
      </c>
      <c r="I34" s="69">
        <f>SUMIF(Tableau_Lancer_la_requête_à_partir_de_Excel_Files102567[Avis Prog],"2-Favorable sous réserve",Tableau_Lancer_la_requête_à_partir_de_Excel_Files102567[''15''])</f>
        <v>0</v>
      </c>
      <c r="K34" s="69">
        <f>SUMIF(Tableau_Lancer_la_requête_à_partir_de_Excel_Files102567[Avis Cofimac],"1-Favorable",Tableau_Lancer_la_requête_à_partir_de_Excel_Files102567[''15''])</f>
        <v>0</v>
      </c>
      <c r="N34" s="69">
        <f>SUMIF(Tableau_Lancer_la_requête_à_partir_de_Excel_Files102567[Avis Cofimac],"2-Favorable sous réserve",Tableau_Lancer_la_requête_à_partir_de_Excel_Files102567[''15''])</f>
        <v>0</v>
      </c>
    </row>
    <row r="35" spans="4:14" hidden="1" x14ac:dyDescent="0.25">
      <c r="D35" s="69" t="s">
        <v>25</v>
      </c>
      <c r="E35" s="69">
        <f t="shared" si="0"/>
        <v>0</v>
      </c>
      <c r="F35" s="69">
        <f t="shared" si="1"/>
        <v>0</v>
      </c>
      <c r="H35" s="69">
        <f>SUMIF(Tableau_Lancer_la_requête_à_partir_de_Excel_Files102567[Avis Prog],"1-Favorable",Tableau_Lancer_la_requête_à_partir_de_Excel_Files102567[''19''])</f>
        <v>0</v>
      </c>
      <c r="I35" s="69">
        <f>SUMIF(Tableau_Lancer_la_requête_à_partir_de_Excel_Files102567[Avis Prog],"2-Favorable sous réserve",Tableau_Lancer_la_requête_à_partir_de_Excel_Files102567[''19''])</f>
        <v>0</v>
      </c>
      <c r="K35" s="69">
        <f>SUMIF(Tableau_Lancer_la_requête_à_partir_de_Excel_Files102567[Avis Cofimac],"1-Favorable",Tableau_Lancer_la_requête_à_partir_de_Excel_Files102567[''19''])</f>
        <v>0</v>
      </c>
      <c r="N35" s="69">
        <f>SUMIF(Tableau_Lancer_la_requête_à_partir_de_Excel_Files102567[Avis Cofimac],"2-Favorable sous réserve",Tableau_Lancer_la_requête_à_partir_de_Excel_Files102567[''19''])</f>
        <v>0</v>
      </c>
    </row>
    <row r="36" spans="4:14" hidden="1" x14ac:dyDescent="0.25">
      <c r="D36" s="69" t="s">
        <v>26</v>
      </c>
      <c r="E36" s="69">
        <f t="shared" si="0"/>
        <v>0</v>
      </c>
      <c r="F36" s="69">
        <f t="shared" si="1"/>
        <v>0</v>
      </c>
      <c r="H36" s="69">
        <f>SUMIF(Tableau_Lancer_la_requête_à_partir_de_Excel_Files102567[Avis Prog],"1-Favorable",Tableau_Lancer_la_requête_à_partir_de_Excel_Files102567[''21''])</f>
        <v>0</v>
      </c>
      <c r="I36" s="69">
        <f>SUMIF(Tableau_Lancer_la_requête_à_partir_de_Excel_Files102567[Avis Prog],"2-Favorable sous réserve",Tableau_Lancer_la_requête_à_partir_de_Excel_Files102567[''21''])</f>
        <v>0</v>
      </c>
      <c r="K36" s="69">
        <f>SUMIF(Tableau_Lancer_la_requête_à_partir_de_Excel_Files102567[Avis Cofimac],"1-Favorable",Tableau_Lancer_la_requête_à_partir_de_Excel_Files102567[''21''])</f>
        <v>0</v>
      </c>
      <c r="N36" s="69">
        <f>SUMIF(Tableau_Lancer_la_requête_à_partir_de_Excel_Files102567[Avis Cofimac],"2-Favorable sous réserve",Tableau_Lancer_la_requête_à_partir_de_Excel_Files102567[''21''])</f>
        <v>0</v>
      </c>
    </row>
    <row r="37" spans="4:14" hidden="1" x14ac:dyDescent="0.25">
      <c r="D37" s="69" t="s">
        <v>27</v>
      </c>
      <c r="E37" s="69">
        <f t="shared" si="0"/>
        <v>0</v>
      </c>
      <c r="F37" s="69">
        <f t="shared" si="1"/>
        <v>0</v>
      </c>
      <c r="H37" s="69">
        <f>SUMIF(Tableau_Lancer_la_requête_à_partir_de_Excel_Files102567[Avis Prog],"1-Favorable",Tableau_Lancer_la_requête_à_partir_de_Excel_Files102567[''23''])</f>
        <v>0</v>
      </c>
      <c r="I37" s="69">
        <f>SUMIF(Tableau_Lancer_la_requête_à_partir_de_Excel_Files102567[Avis Prog],"2-Favorable sous réserve",Tableau_Lancer_la_requête_à_partir_de_Excel_Files102567[''23''])</f>
        <v>0</v>
      </c>
      <c r="K37" s="69">
        <f>SUMIF(Tableau_Lancer_la_requête_à_partir_de_Excel_Files102567[Avis Cofimac],"1-Favorable",Tableau_Lancer_la_requête_à_partir_de_Excel_Files102567[''23''])</f>
        <v>0</v>
      </c>
      <c r="N37" s="69">
        <f>SUMIF(Tableau_Lancer_la_requête_à_partir_de_Excel_Files102567[Avis Cofimac],"2-Favorable sous réserve",Tableau_Lancer_la_requête_à_partir_de_Excel_Files102567[''23''])</f>
        <v>0</v>
      </c>
    </row>
    <row r="38" spans="4:14" hidden="1" x14ac:dyDescent="0.25">
      <c r="D38" s="69" t="s">
        <v>28</v>
      </c>
      <c r="E38" s="69">
        <f t="shared" si="0"/>
        <v>0</v>
      </c>
      <c r="F38" s="69">
        <f t="shared" si="1"/>
        <v>0</v>
      </c>
      <c r="H38" s="69">
        <f>SUMIF(Tableau_Lancer_la_requête_à_partir_de_Excel_Files102567[Avis Prog],"1-Favorable",Tableau_Lancer_la_requête_à_partir_de_Excel_Files102567[''30''])</f>
        <v>0</v>
      </c>
      <c r="I38" s="69">
        <f>SUMIF(Tableau_Lancer_la_requête_à_partir_de_Excel_Files102567[Avis Prog],"2-Favorable sous réserve",Tableau_Lancer_la_requête_à_partir_de_Excel_Files102567[''30''])</f>
        <v>0</v>
      </c>
      <c r="K38" s="69">
        <f>SUMIF(Tableau_Lancer_la_requête_à_partir_de_Excel_Files102567[Avis Cofimac],"1-Favorable",Tableau_Lancer_la_requête_à_partir_de_Excel_Files102567[''30''])</f>
        <v>0</v>
      </c>
      <c r="N38" s="69">
        <f>SUMIF(Tableau_Lancer_la_requête_à_partir_de_Excel_Files102567[Avis Cofimac],"2-Favorable sous réserve",Tableau_Lancer_la_requête_à_partir_de_Excel_Files102567[''30''])</f>
        <v>0</v>
      </c>
    </row>
    <row r="39" spans="4:14" hidden="1" x14ac:dyDescent="0.25">
      <c r="D39" s="69" t="s">
        <v>29</v>
      </c>
      <c r="E39" s="69">
        <f t="shared" si="0"/>
        <v>0</v>
      </c>
      <c r="F39" s="69">
        <f t="shared" si="1"/>
        <v>0</v>
      </c>
      <c r="H39" s="69">
        <f>SUMIF(Tableau_Lancer_la_requête_à_partir_de_Excel_Files102567[Avis Prog],"1-Favorable",Tableau_Lancer_la_requête_à_partir_de_Excel_Files102567[''34''])</f>
        <v>0</v>
      </c>
      <c r="I39" s="69">
        <f>SUMIF(Tableau_Lancer_la_requête_à_partir_de_Excel_Files102567[Avis Prog],"2-Favorable sous réserve",Tableau_Lancer_la_requête_à_partir_de_Excel_Files102567[''34''])</f>
        <v>0</v>
      </c>
      <c r="K39" s="69">
        <f>SUMIF(Tableau_Lancer_la_requête_à_partir_de_Excel_Files102567[Avis Cofimac],"1-Favorable",Tableau_Lancer_la_requête_à_partir_de_Excel_Files102567[''34''])</f>
        <v>0</v>
      </c>
      <c r="N39" s="69">
        <f>SUMIF(Tableau_Lancer_la_requête_à_partir_de_Excel_Files102567[Avis Cofimac],"2-Favorable sous réserve",Tableau_Lancer_la_requête_à_partir_de_Excel_Files102567[''34''])</f>
        <v>0</v>
      </c>
    </row>
    <row r="40" spans="4:14" hidden="1" x14ac:dyDescent="0.25">
      <c r="D40" s="69" t="s">
        <v>30</v>
      </c>
      <c r="E40" s="69">
        <f t="shared" si="0"/>
        <v>8000</v>
      </c>
      <c r="F40" s="69">
        <f t="shared" si="1"/>
        <v>8000</v>
      </c>
      <c r="H40" s="69">
        <f>SUMIF(Tableau_Lancer_la_requête_à_partir_de_Excel_Files102567[Avis Prog],"1-Favorable",Tableau_Lancer_la_requête_à_partir_de_Excel_Files102567[''42''])</f>
        <v>8000</v>
      </c>
      <c r="I40" s="69">
        <f>SUMIF(Tableau_Lancer_la_requête_à_partir_de_Excel_Files102567[Avis Prog],"2-Favorable sous réserve",Tableau_Lancer_la_requête_à_partir_de_Excel_Files102567[''42''])</f>
        <v>0</v>
      </c>
      <c r="K40" s="69">
        <f>SUMIF(Tableau_Lancer_la_requête_à_partir_de_Excel_Files102567[Avis Cofimac],"1-Favorable",Tableau_Lancer_la_requête_à_partir_de_Excel_Files102567[''42''])</f>
        <v>8000</v>
      </c>
      <c r="N40" s="69">
        <f>SUMIF(Tableau_Lancer_la_requête_à_partir_de_Excel_Files102567[Avis Cofimac],"2-Favorable sous réserve",Tableau_Lancer_la_requête_à_partir_de_Excel_Files102567[''42''])</f>
        <v>0</v>
      </c>
    </row>
    <row r="41" spans="4:14" hidden="1" x14ac:dyDescent="0.25">
      <c r="D41" s="69" t="s">
        <v>31</v>
      </c>
      <c r="E41" s="69">
        <f t="shared" si="0"/>
        <v>0</v>
      </c>
      <c r="F41" s="69">
        <f t="shared" si="1"/>
        <v>0</v>
      </c>
      <c r="H41" s="69">
        <f>SUMIF(Tableau_Lancer_la_requête_à_partir_de_Excel_Files102567[Avis Prog],"1-Favorable",Tableau_Lancer_la_requête_à_partir_de_Excel_Files102567[''43''])</f>
        <v>0</v>
      </c>
      <c r="I41" s="69">
        <f>SUMIF(Tableau_Lancer_la_requête_à_partir_de_Excel_Files102567[Avis Prog],"2-Favorable sous réserve",Tableau_Lancer_la_requête_à_partir_de_Excel_Files102567[''43''])</f>
        <v>0</v>
      </c>
      <c r="K41" s="69">
        <f>SUMIF(Tableau_Lancer_la_requête_à_partir_de_Excel_Files102567[Avis Cofimac],"1-Favorable",Tableau_Lancer_la_requête_à_partir_de_Excel_Files102567[''43''])</f>
        <v>0</v>
      </c>
      <c r="N41" s="69">
        <f>SUMIF(Tableau_Lancer_la_requête_à_partir_de_Excel_Files102567[Avis Cofimac],"2-Favorable sous réserve",Tableau_Lancer_la_requête_à_partir_de_Excel_Files102567[''43''])</f>
        <v>0</v>
      </c>
    </row>
    <row r="42" spans="4:14" hidden="1" x14ac:dyDescent="0.25">
      <c r="D42" s="69" t="s">
        <v>32</v>
      </c>
      <c r="E42" s="69">
        <f t="shared" si="0"/>
        <v>0</v>
      </c>
      <c r="F42" s="69">
        <f t="shared" si="1"/>
        <v>0</v>
      </c>
      <c r="H42" s="69">
        <f>SUMIF(Tableau_Lancer_la_requête_à_partir_de_Excel_Files102567[Avis Prog],"1-Favorable",Tableau_Lancer_la_requête_à_partir_de_Excel_Files102567[''46''])</f>
        <v>0</v>
      </c>
      <c r="I42" s="69">
        <f>SUMIF(Tableau_Lancer_la_requête_à_partir_de_Excel_Files102567[Avis Prog],"2-Favorable sous réserve",Tableau_Lancer_la_requête_à_partir_de_Excel_Files102567[''46''])</f>
        <v>0</v>
      </c>
      <c r="K42" s="69">
        <f>SUMIF(Tableau_Lancer_la_requête_à_partir_de_Excel_Files102567[Avis Cofimac],"1-Favorable",Tableau_Lancer_la_requête_à_partir_de_Excel_Files102567[''46''])</f>
        <v>0</v>
      </c>
      <c r="N42" s="69">
        <f>SUMIF(Tableau_Lancer_la_requête_à_partir_de_Excel_Files102567[Avis Cofimac],"2-Favorable sous réserve",Tableau_Lancer_la_requête_à_partir_de_Excel_Files102567[''46''])</f>
        <v>0</v>
      </c>
    </row>
    <row r="43" spans="4:14" hidden="1" x14ac:dyDescent="0.25">
      <c r="D43" s="69" t="s">
        <v>33</v>
      </c>
      <c r="E43" s="69">
        <f t="shared" si="0"/>
        <v>0</v>
      </c>
      <c r="F43" s="69">
        <f t="shared" si="1"/>
        <v>0</v>
      </c>
      <c r="H43" s="69">
        <f>SUMIF(Tableau_Lancer_la_requête_à_partir_de_Excel_Files102567[Avis Prog],"1-Favorable",Tableau_Lancer_la_requête_à_partir_de_Excel_Files102567[''48''])</f>
        <v>0</v>
      </c>
      <c r="I43" s="69">
        <f>SUMIF(Tableau_Lancer_la_requête_à_partir_de_Excel_Files102567[Avis Prog],"2-Favorable sous réserve",Tableau_Lancer_la_requête_à_partir_de_Excel_Files102567[''48''])</f>
        <v>0</v>
      </c>
      <c r="K43" s="69">
        <f>SUMIF(Tableau_Lancer_la_requête_à_partir_de_Excel_Files102567[Avis Cofimac],"1-Favorable",Tableau_Lancer_la_requête_à_partir_de_Excel_Files102567[''48''])</f>
        <v>0</v>
      </c>
      <c r="N43" s="69">
        <f>SUMIF(Tableau_Lancer_la_requête_à_partir_de_Excel_Files102567[Avis Cofimac],"2-Favorable sous réserve",Tableau_Lancer_la_requête_à_partir_de_Excel_Files102567[''48''])</f>
        <v>0</v>
      </c>
    </row>
    <row r="44" spans="4:14" hidden="1" x14ac:dyDescent="0.25">
      <c r="D44" s="69" t="s">
        <v>34</v>
      </c>
      <c r="E44" s="69">
        <f t="shared" si="0"/>
        <v>0</v>
      </c>
      <c r="F44" s="69">
        <f t="shared" si="1"/>
        <v>0</v>
      </c>
      <c r="H44" s="69">
        <f>SUMIF(Tableau_Lancer_la_requête_à_partir_de_Excel_Files102567[Avis Prog],"1-Favorable",Tableau_Lancer_la_requête_à_partir_de_Excel_Files102567[''58''])</f>
        <v>0</v>
      </c>
      <c r="I44" s="69">
        <f>SUMIF(Tableau_Lancer_la_requête_à_partir_de_Excel_Files102567[Avis Prog],"2-Favorable sous réserve",Tableau_Lancer_la_requête_à_partir_de_Excel_Files102567[''58''])</f>
        <v>0</v>
      </c>
      <c r="K44" s="69">
        <f>SUMIF(Tableau_Lancer_la_requête_à_partir_de_Excel_Files102567[Avis Cofimac],"1-Favorable",Tableau_Lancer_la_requête_à_partir_de_Excel_Files102567[''58''])</f>
        <v>0</v>
      </c>
      <c r="N44" s="69">
        <f>SUMIF(Tableau_Lancer_la_requête_à_partir_de_Excel_Files102567[Avis Cofimac],"2-Favorable sous réserve",Tableau_Lancer_la_requête_à_partir_de_Excel_Files102567[''58''])</f>
        <v>0</v>
      </c>
    </row>
    <row r="45" spans="4:14" hidden="1" x14ac:dyDescent="0.25">
      <c r="D45" s="69" t="s">
        <v>35</v>
      </c>
      <c r="E45" s="69">
        <f t="shared" si="0"/>
        <v>0</v>
      </c>
      <c r="F45" s="69">
        <f t="shared" si="1"/>
        <v>0</v>
      </c>
      <c r="H45" s="69">
        <f>SUMIF(Tableau_Lancer_la_requête_à_partir_de_Excel_Files102567[Avis Prog],"1-Favorable",Tableau_Lancer_la_requête_à_partir_de_Excel_Files102567[''63''])</f>
        <v>0</v>
      </c>
      <c r="I45" s="69">
        <f>SUMIF(Tableau_Lancer_la_requête_à_partir_de_Excel_Files102567[Avis Prog],"2-Favorable sous réserve",Tableau_Lancer_la_requête_à_partir_de_Excel_Files102567[''63''])</f>
        <v>0</v>
      </c>
      <c r="K45" s="69">
        <f>SUMIF(Tableau_Lancer_la_requête_à_partir_de_Excel_Files102567[Avis Cofimac],"1-Favorable",Tableau_Lancer_la_requête_à_partir_de_Excel_Files102567[''63''])</f>
        <v>0</v>
      </c>
      <c r="N45" s="69">
        <f>SUMIF(Tableau_Lancer_la_requête_à_partir_de_Excel_Files102567[Avis Cofimac],"2-Favorable sous réserve",Tableau_Lancer_la_requête_à_partir_de_Excel_Files102567[''63''])</f>
        <v>0</v>
      </c>
    </row>
    <row r="46" spans="4:14" hidden="1" x14ac:dyDescent="0.25">
      <c r="D46" s="69" t="s">
        <v>36</v>
      </c>
      <c r="E46" s="69">
        <f t="shared" si="0"/>
        <v>4940</v>
      </c>
      <c r="F46" s="69">
        <f t="shared" si="1"/>
        <v>4940</v>
      </c>
      <c r="H46" s="69">
        <f>SUMIF(Tableau_Lancer_la_requête_à_partir_de_Excel_Files102567[Avis Prog],"1-Favorable",Tableau_Lancer_la_requête_à_partir_de_Excel_Files102567[''69''])</f>
        <v>4940</v>
      </c>
      <c r="I46" s="69">
        <f>SUMIF(Tableau_Lancer_la_requête_à_partir_de_Excel_Files102567[Avis Prog],"2-Favorable sous réserve",Tableau_Lancer_la_requête_à_partir_de_Excel_Files102567[''69''])</f>
        <v>0</v>
      </c>
      <c r="K46" s="69">
        <f>SUMIF(Tableau_Lancer_la_requête_à_partir_de_Excel_Files102567[Avis Cofimac],"1-Favorable",Tableau_Lancer_la_requête_à_partir_de_Excel_Files102567[''69''])</f>
        <v>4940</v>
      </c>
      <c r="N46" s="69">
        <f>SUMIF(Tableau_Lancer_la_requête_à_partir_de_Excel_Files102567[Avis Cofimac],"2-Favorable sous réserve",Tableau_Lancer_la_requête_à_partir_de_Excel_Files102567[''69''])</f>
        <v>0</v>
      </c>
    </row>
    <row r="47" spans="4:14" hidden="1" x14ac:dyDescent="0.25">
      <c r="D47" s="69" t="s">
        <v>37</v>
      </c>
      <c r="E47" s="69">
        <f t="shared" si="0"/>
        <v>0</v>
      </c>
      <c r="F47" s="69">
        <f t="shared" si="1"/>
        <v>0</v>
      </c>
      <c r="H47" s="69">
        <f>SUMIF(Tableau_Lancer_la_requête_à_partir_de_Excel_Files102567[Avis Prog],"1-Favorable",Tableau_Lancer_la_requête_à_partir_de_Excel_Files102567[''71''])</f>
        <v>0</v>
      </c>
      <c r="I47" s="69">
        <f>SUMIF(Tableau_Lancer_la_requête_à_partir_de_Excel_Files102567[Avis Prog],"2-Favorable sous réserve",Tableau_Lancer_la_requête_à_partir_de_Excel_Files102567[''71''])</f>
        <v>0</v>
      </c>
      <c r="K47" s="69">
        <f>SUMIF(Tableau_Lancer_la_requête_à_partir_de_Excel_Files102567[Avis Cofimac],"1-Favorable",Tableau_Lancer_la_requête_à_partir_de_Excel_Files102567[''71''])</f>
        <v>0</v>
      </c>
      <c r="N47" s="69">
        <f>SUMIF(Tableau_Lancer_la_requête_à_partir_de_Excel_Files102567[Avis Cofimac],"2-Favorable sous réserve",Tableau_Lancer_la_requête_à_partir_de_Excel_Files102567[''71''])</f>
        <v>0</v>
      </c>
    </row>
    <row r="48" spans="4:14" hidden="1" x14ac:dyDescent="0.25">
      <c r="D48" s="69" t="s">
        <v>38</v>
      </c>
      <c r="E48" s="69">
        <f t="shared" si="0"/>
        <v>0</v>
      </c>
      <c r="F48" s="69">
        <f t="shared" si="1"/>
        <v>0</v>
      </c>
      <c r="H48" s="69">
        <f>SUMIF(Tableau_Lancer_la_requête_à_partir_de_Excel_Files102567[Avis Prog],"1-Favorable",Tableau_Lancer_la_requête_à_partir_de_Excel_Files102567[''81''])</f>
        <v>0</v>
      </c>
      <c r="I48" s="69">
        <f>SUMIF(Tableau_Lancer_la_requête_à_partir_de_Excel_Files102567[Avis Prog],"2-Favorable sous réserve",Tableau_Lancer_la_requête_à_partir_de_Excel_Files102567[''81''])</f>
        <v>0</v>
      </c>
      <c r="K48" s="69">
        <f>SUMIF(Tableau_Lancer_la_requête_à_partir_de_Excel_Files102567[Avis Cofimac],"1-Favorable",Tableau_Lancer_la_requête_à_partir_de_Excel_Files102567[''81''])</f>
        <v>0</v>
      </c>
      <c r="N48" s="69">
        <f>SUMIF(Tableau_Lancer_la_requête_à_partir_de_Excel_Files102567[Avis Cofimac],"2-Favorable sous réserve",Tableau_Lancer_la_requête_à_partir_de_Excel_Files102567[''81''])</f>
        <v>0</v>
      </c>
    </row>
    <row r="49" spans="4:14" hidden="1" x14ac:dyDescent="0.25">
      <c r="D49" s="69" t="s">
        <v>39</v>
      </c>
      <c r="E49" s="69">
        <f t="shared" si="0"/>
        <v>0</v>
      </c>
      <c r="F49" s="69">
        <f t="shared" si="1"/>
        <v>0</v>
      </c>
      <c r="H49" s="69">
        <f>SUMIF(Tableau_Lancer_la_requête_à_partir_de_Excel_Files102567[Avis Prog],"1-Favorable",Tableau_Lancer_la_requête_à_partir_de_Excel_Files102567[''82''])</f>
        <v>0</v>
      </c>
      <c r="I49" s="69">
        <f>SUMIF(Tableau_Lancer_la_requête_à_partir_de_Excel_Files102567[Avis Prog],"2-Favorable sous réserve",Tableau_Lancer_la_requête_à_partir_de_Excel_Files102567[''82''])</f>
        <v>0</v>
      </c>
      <c r="K49" s="69">
        <f>SUMIF(Tableau_Lancer_la_requête_à_partir_de_Excel_Files102567[Avis Cofimac],"1-Favorable",Tableau_Lancer_la_requête_à_partir_de_Excel_Files102567[''82''])</f>
        <v>0</v>
      </c>
      <c r="N49" s="69">
        <f>SUMIF(Tableau_Lancer_la_requête_à_partir_de_Excel_Files102567[Avis Cofimac],"2-Favorable sous réserve",Tableau_Lancer_la_requête_à_partir_de_Excel_Files102567[''82''])</f>
        <v>0</v>
      </c>
    </row>
    <row r="50" spans="4:14" hidden="1" x14ac:dyDescent="0.25">
      <c r="D50" s="69" t="s">
        <v>40</v>
      </c>
      <c r="E50" s="69">
        <f t="shared" si="0"/>
        <v>0</v>
      </c>
      <c r="F50" s="69">
        <f t="shared" si="1"/>
        <v>0</v>
      </c>
      <c r="H50" s="69">
        <f>SUMIF(Tableau_Lancer_la_requête_à_partir_de_Excel_Files102567[Avis Prog],"1-Favorable",Tableau_Lancer_la_requête_à_partir_de_Excel_Files102567[''87''])</f>
        <v>0</v>
      </c>
      <c r="I50" s="69">
        <f>SUMIF(Tableau_Lancer_la_requête_à_partir_de_Excel_Files102567[Avis Prog],"2-Favorable sous réserve",Tableau_Lancer_la_requête_à_partir_de_Excel_Files102567[''87''])</f>
        <v>0</v>
      </c>
      <c r="K50" s="69">
        <f>SUMIF(Tableau_Lancer_la_requête_à_partir_de_Excel_Files102567[Avis Cofimac],"1-Favorable",Tableau_Lancer_la_requête_à_partir_de_Excel_Files102567[''87''])</f>
        <v>0</v>
      </c>
      <c r="N50" s="69">
        <f>SUMIF(Tableau_Lancer_la_requête_à_partir_de_Excel_Files102567[Avis Cofimac],"2-Favorable sous réserve",Tableau_Lancer_la_requête_à_partir_de_Excel_Files102567[''87''])</f>
        <v>0</v>
      </c>
    </row>
    <row r="51" spans="4:14" hidden="1" x14ac:dyDescent="0.25">
      <c r="D51" s="69" t="s">
        <v>41</v>
      </c>
      <c r="E51" s="69">
        <f t="shared" si="0"/>
        <v>0</v>
      </c>
      <c r="F51" s="69">
        <f t="shared" si="1"/>
        <v>0</v>
      </c>
      <c r="H51" s="69">
        <f>SUMIF(Tableau_Lancer_la_requête_à_partir_de_Excel_Files102567[Avis Prog],"1-Favorable",Tableau_Lancer_la_requête_à_partir_de_Excel_Files102567[''89''])</f>
        <v>0</v>
      </c>
      <c r="I51" s="69">
        <f>SUMIF(Tableau_Lancer_la_requête_à_partir_de_Excel_Files102567[Avis Prog],"2-Favorable sous réserve",Tableau_Lancer_la_requête_à_partir_de_Excel_Files102567[''89''])</f>
        <v>0</v>
      </c>
      <c r="K51" s="69">
        <f>SUMIF(Tableau_Lancer_la_requête_à_partir_de_Excel_Files102567[Avis Cofimac],"1-Favorable",Tableau_Lancer_la_requête_à_partir_de_Excel_Files102567[''89''])</f>
        <v>0</v>
      </c>
      <c r="N51" s="69">
        <f>SUMIF(Tableau_Lancer_la_requête_à_partir_de_Excel_Files102567[Avis Cofimac],"2-Favorable sous réserve",Tableau_Lancer_la_requête_à_partir_de_Excel_Files102567[''89''])</f>
        <v>0</v>
      </c>
    </row>
    <row r="52" spans="4:14" hidden="1" x14ac:dyDescent="0.25"/>
  </sheetData>
  <mergeCells count="1">
    <mergeCell ref="A1:B1"/>
  </mergeCells>
  <conditionalFormatting sqref="AS7:AT10">
    <cfRule type="cellIs" dxfId="847" priority="11" operator="equal">
      <formula>"2-Favorable sous réserve"</formula>
    </cfRule>
    <cfRule type="cellIs" dxfId="846" priority="24" operator="equal">
      <formula>"6-Retiré/Abandon"</formula>
    </cfRule>
    <cfRule type="cellIs" dxfId="845" priority="25" operator="equal">
      <formula>"5-Défavorable"</formula>
    </cfRule>
    <cfRule type="cellIs" dxfId="844" priority="26" operator="equal">
      <formula>"4-Ajournement"</formula>
    </cfRule>
    <cfRule type="cellIs" dxfId="843" priority="27" operator="equal">
      <formula>"1-Favorable"</formula>
    </cfRule>
  </conditionalFormatting>
  <dataValidations count="2">
    <dataValidation type="list" allowBlank="1" showInputMessage="1" showErrorMessage="1" sqref="AV25">
      <formula1>"1-Favorable,4-Ajournement,5-Défavorable,6-Retiré/Abandon"</formula1>
    </dataValidation>
    <dataValidation type="list" allowBlank="1" showInputMessage="1" showErrorMessage="1" sqref="AT7:AT10">
      <formula1>"1-Favorable,2-Favorable sous réserve,4-Ajournement,5-Défavorable,6-Retiré/Abandon"</formula1>
    </dataValidation>
  </dataValidations>
  <printOptions horizontalCentered="1" verticalCentered="1"/>
  <pageMargins left="0.25" right="0.25" top="0.75" bottom="0.75" header="0.3" footer="0.3"/>
  <pageSetup paperSize="8" scale="49" fitToHeight="0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93"/>
  <sheetViews>
    <sheetView view="pageBreakPreview" zoomScale="80" zoomScaleNormal="60" zoomScaleSheetLayoutView="80" workbookViewId="0">
      <selection activeCell="C7" sqref="C7"/>
    </sheetView>
  </sheetViews>
  <sheetFormatPr baseColWidth="10" defaultRowHeight="15" outlineLevelCol="1" x14ac:dyDescent="0.25"/>
  <cols>
    <col min="1" max="1" width="13.85546875" style="3" customWidth="1"/>
    <col min="2" max="2" width="35" style="4" customWidth="1"/>
    <col min="3" max="3" width="48" style="5" customWidth="1"/>
    <col min="4" max="4" width="14.85546875" style="3" bestFit="1" customWidth="1"/>
    <col min="5" max="5" width="13.5703125" style="3" bestFit="1" customWidth="1"/>
    <col min="6" max="6" width="12" style="6" customWidth="1"/>
    <col min="7" max="7" width="16" style="3" bestFit="1" customWidth="1"/>
    <col min="8" max="8" width="11.28515625" style="6" customWidth="1"/>
    <col min="9" max="9" width="13.85546875" style="3" bestFit="1" customWidth="1"/>
    <col min="10" max="10" width="15" style="3" bestFit="1" customWidth="1"/>
    <col min="11" max="11" width="11.5703125" style="3" hidden="1" customWidth="1" outlineLevel="1"/>
    <col min="12" max="12" width="16.5703125" style="3" hidden="1" customWidth="1" outlineLevel="1"/>
    <col min="13" max="13" width="13.7109375" style="3" bestFit="1" customWidth="1" collapsed="1"/>
    <col min="14" max="14" width="11.140625" style="3" hidden="1" customWidth="1" outlineLevel="1"/>
    <col min="15" max="15" width="11.85546875" style="3" hidden="1" customWidth="1" outlineLevel="1"/>
    <col min="16" max="16" width="10" style="3" hidden="1" customWidth="1" outlineLevel="1"/>
    <col min="17" max="17" width="11.7109375" style="3" hidden="1" customWidth="1" outlineLevel="1"/>
    <col min="18" max="18" width="16.140625" style="3" bestFit="1" customWidth="1" collapsed="1"/>
    <col min="19" max="40" width="8.7109375" style="3" hidden="1" customWidth="1" outlineLevel="1"/>
    <col min="41" max="41" width="11.5703125" style="3" bestFit="1" customWidth="1" collapsed="1"/>
    <col min="42" max="43" width="11.5703125" style="3" customWidth="1"/>
    <col min="44" max="44" width="15.42578125" style="3" bestFit="1" customWidth="1"/>
    <col min="45" max="45" width="15.42578125" style="3" hidden="1" customWidth="1"/>
    <col min="46" max="46" width="61.85546875" style="3" customWidth="1"/>
    <col min="47" max="47" width="15.42578125" style="3" bestFit="1" customWidth="1"/>
    <col min="48" max="48" width="17.28515625" style="3" bestFit="1" customWidth="1"/>
    <col min="49" max="49" width="9.42578125" style="3" customWidth="1"/>
    <col min="50" max="64" width="9.7109375" style="3" customWidth="1"/>
    <col min="65" max="65" width="15.140625" style="3" customWidth="1"/>
    <col min="66" max="66" width="14.5703125" style="3" customWidth="1"/>
    <col min="67" max="67" width="18.5703125" style="3" customWidth="1"/>
    <col min="68" max="68" width="12.5703125" style="3" customWidth="1"/>
    <col min="69" max="69" width="20.42578125" style="3" customWidth="1"/>
    <col min="70" max="70" width="12.7109375" style="3" customWidth="1"/>
    <col min="71" max="71" width="9.28515625" style="3" customWidth="1"/>
    <col min="72" max="72" width="14.28515625" style="3" customWidth="1"/>
    <col min="73" max="73" width="11.42578125" style="3" customWidth="1"/>
    <col min="74" max="74" width="9" style="3" customWidth="1"/>
    <col min="75" max="75" width="9.5703125" style="3" customWidth="1"/>
    <col min="76" max="76" width="11" style="3" customWidth="1"/>
    <col min="77" max="77" width="12.7109375" style="3" customWidth="1"/>
    <col min="78" max="80" width="9.7109375" style="3" customWidth="1"/>
    <col min="81" max="81" width="15.140625" style="3" customWidth="1"/>
    <col min="82" max="82" width="17.28515625" style="3" customWidth="1"/>
    <col min="83" max="83" width="49.28515625" style="4" customWidth="1"/>
    <col min="84" max="84" width="17.28515625" style="3" customWidth="1"/>
    <col min="85" max="16384" width="11.42578125" style="3"/>
  </cols>
  <sheetData>
    <row r="1" spans="1:83" ht="18.75" x14ac:dyDescent="0.3">
      <c r="B1" s="21" t="s">
        <v>73</v>
      </c>
      <c r="C1" s="22">
        <f>Feuil1!A2</f>
        <v>42832</v>
      </c>
    </row>
    <row r="5" spans="1:83" x14ac:dyDescent="0.25">
      <c r="A5" s="1" t="s">
        <v>69</v>
      </c>
      <c r="B5" s="2"/>
    </row>
    <row r="6" spans="1:83" s="7" customFormat="1" ht="30" x14ac:dyDescent="0.25">
      <c r="A6" s="7" t="s">
        <v>7</v>
      </c>
      <c r="B6" s="7" t="s">
        <v>1</v>
      </c>
      <c r="C6" s="7" t="s">
        <v>2</v>
      </c>
      <c r="D6" s="7" t="s">
        <v>50</v>
      </c>
      <c r="E6" s="7" t="s">
        <v>52</v>
      </c>
      <c r="F6" s="7" t="s">
        <v>51</v>
      </c>
      <c r="G6" s="7" t="s">
        <v>48</v>
      </c>
      <c r="H6" s="7" t="s">
        <v>53</v>
      </c>
      <c r="I6" s="7" t="s">
        <v>42</v>
      </c>
      <c r="J6" s="7" t="s">
        <v>63</v>
      </c>
      <c r="K6" s="7" t="s">
        <v>67</v>
      </c>
      <c r="L6" s="7" t="s">
        <v>15</v>
      </c>
      <c r="M6" s="7" t="s">
        <v>64</v>
      </c>
      <c r="N6" s="7" t="s">
        <v>18</v>
      </c>
      <c r="O6" s="7" t="s">
        <v>16</v>
      </c>
      <c r="P6" s="7" t="s">
        <v>17</v>
      </c>
      <c r="Q6" s="7" t="s">
        <v>19</v>
      </c>
      <c r="R6" s="7" t="s">
        <v>65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7" t="s">
        <v>37</v>
      </c>
      <c r="AK6" s="7" t="s">
        <v>38</v>
      </c>
      <c r="AL6" s="7" t="s">
        <v>39</v>
      </c>
      <c r="AM6" s="7" t="s">
        <v>40</v>
      </c>
      <c r="AN6" s="7" t="s">
        <v>41</v>
      </c>
      <c r="AO6" s="7" t="s">
        <v>43</v>
      </c>
      <c r="AP6" s="7" t="s">
        <v>47</v>
      </c>
      <c r="AQ6" s="7" t="s">
        <v>88</v>
      </c>
      <c r="AR6" s="17" t="s">
        <v>54</v>
      </c>
      <c r="AT6" s="59" t="s">
        <v>62</v>
      </c>
    </row>
    <row r="7" spans="1:83" s="10" customFormat="1" x14ac:dyDescent="0.25">
      <c r="A7" s="13"/>
      <c r="B7" s="12"/>
      <c r="C7" s="12"/>
      <c r="D7" s="15"/>
      <c r="E7" s="15"/>
      <c r="F7" s="16"/>
      <c r="G7" s="15"/>
      <c r="H7" s="16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1"/>
      <c r="AQ7" s="57"/>
      <c r="AR7" s="11"/>
      <c r="AT7" s="48"/>
    </row>
    <row r="8" spans="1:83" s="10" customFormat="1" x14ac:dyDescent="0.25">
      <c r="A8" s="105" t="s">
        <v>8</v>
      </c>
      <c r="B8" s="106">
        <f>SUBTOTAL(103,Tableau_Lancer_la_requête_à_partir_de_Excel_Files1025678[Nom_MO])</f>
        <v>0</v>
      </c>
      <c r="C8" s="106"/>
      <c r="D8" s="107">
        <f>SUBTOTAL(109,Tableau_Lancer_la_requête_à_partir_de_Excel_Files1025678[''Coût total éligible''])</f>
        <v>0</v>
      </c>
      <c r="E8" s="107">
        <f>SUBTOTAL(109,Tableau_Lancer_la_requête_à_partir_de_Excel_Files1025678[Aide 
publique])</f>
        <v>0</v>
      </c>
      <c r="F8" s="108"/>
      <c r="G8" s="107">
        <f>SUBTOTAL(109,Tableau_Lancer_la_requête_à_partir_de_Excel_Files1025678[Aide Massif])</f>
        <v>0</v>
      </c>
      <c r="H8" s="108"/>
      <c r="I8" s="107">
        <f>SUBTOTAL(109,Tableau_Lancer_la_requête_à_partir_de_Excel_Files1025678[''FEDER''])</f>
        <v>0</v>
      </c>
      <c r="J8" s="107">
        <f>SUBTOTAL(109,Tableau_Lancer_la_requête_à_partir_de_Excel_Files1025678[Total Etat])</f>
        <v>0</v>
      </c>
      <c r="K8" s="105"/>
      <c r="L8" s="107">
        <f>SUBTOTAL(109,Tableau_Lancer_la_requête_à_partir_de_Excel_Files1025678[''Agriculture''])</f>
        <v>0</v>
      </c>
      <c r="M8" s="107">
        <f>SUBTOTAL(109,Tableau_Lancer_la_requête_à_partir_de_Excel_Files1025678[Total Régions])</f>
        <v>0</v>
      </c>
      <c r="N8" s="107">
        <f>SUBTOTAL(109,Tableau_Lancer_la_requête_à_partir_de_Excel_Files1025678[''ALPC''])</f>
        <v>0</v>
      </c>
      <c r="O8" s="107">
        <f>SUBTOTAL(109,Tableau_Lancer_la_requête_à_partir_de_Excel_Files1025678[''AURA''])</f>
        <v>0</v>
      </c>
      <c r="P8" s="107">
        <f>SUBTOTAL(109,Tableau_Lancer_la_requête_à_partir_de_Excel_Files1025678[''BFC''])</f>
        <v>0</v>
      </c>
      <c r="Q8" s="107">
        <f>SUBTOTAL(109,Tableau_Lancer_la_requête_à_partir_de_Excel_Files1025678[''LRMP''])</f>
        <v>0</v>
      </c>
      <c r="R8" s="107">
        <f>SUBTOTAL(109,Tableau_Lancer_la_requête_à_partir_de_Excel_Files1025678[Total Dpts])</f>
        <v>0</v>
      </c>
      <c r="S8" s="107">
        <f>SUBTOTAL(109,Tableau_Lancer_la_requête_à_partir_de_Excel_Files1025678[''03''])</f>
        <v>0</v>
      </c>
      <c r="T8" s="107">
        <f>SUBTOTAL(109,Tableau_Lancer_la_requête_à_partir_de_Excel_Files1025678[''07''])</f>
        <v>0</v>
      </c>
      <c r="U8" s="107">
        <f>SUBTOTAL(109,Tableau_Lancer_la_requête_à_partir_de_Excel_Files1025678[''11''])</f>
        <v>0</v>
      </c>
      <c r="V8" s="107">
        <f>SUBTOTAL(109,Tableau_Lancer_la_requête_à_partir_de_Excel_Files1025678[''12''])</f>
        <v>0</v>
      </c>
      <c r="W8" s="107">
        <f>SUBTOTAL(109,Tableau_Lancer_la_requête_à_partir_de_Excel_Files1025678[''15''])</f>
        <v>0</v>
      </c>
      <c r="X8" s="107">
        <f>SUBTOTAL(109,Tableau_Lancer_la_requête_à_partir_de_Excel_Files1025678[''19''])</f>
        <v>0</v>
      </c>
      <c r="Y8" s="107">
        <f>SUBTOTAL(109,Tableau_Lancer_la_requête_à_partir_de_Excel_Files1025678[''21''])</f>
        <v>0</v>
      </c>
      <c r="Z8" s="107">
        <f>SUBTOTAL(109,Tableau_Lancer_la_requête_à_partir_de_Excel_Files1025678[''23''])</f>
        <v>0</v>
      </c>
      <c r="AA8" s="107">
        <f>SUBTOTAL(109,Tableau_Lancer_la_requête_à_partir_de_Excel_Files1025678[''30''])</f>
        <v>0</v>
      </c>
      <c r="AB8" s="107">
        <f>SUBTOTAL(109,Tableau_Lancer_la_requête_à_partir_de_Excel_Files1025678[''34''])</f>
        <v>0</v>
      </c>
      <c r="AC8" s="107">
        <f>SUBTOTAL(109,Tableau_Lancer_la_requête_à_partir_de_Excel_Files1025678[''42''])</f>
        <v>0</v>
      </c>
      <c r="AD8" s="107">
        <f>SUBTOTAL(109,Tableau_Lancer_la_requête_à_partir_de_Excel_Files1025678[''43''])</f>
        <v>0</v>
      </c>
      <c r="AE8" s="107">
        <f>SUBTOTAL(109,Tableau_Lancer_la_requête_à_partir_de_Excel_Files1025678[''46''])</f>
        <v>0</v>
      </c>
      <c r="AF8" s="107">
        <f>SUBTOTAL(109,Tableau_Lancer_la_requête_à_partir_de_Excel_Files1025678[''48''])</f>
        <v>0</v>
      </c>
      <c r="AG8" s="107">
        <f>SUBTOTAL(109,Tableau_Lancer_la_requête_à_partir_de_Excel_Files1025678[''58''])</f>
        <v>0</v>
      </c>
      <c r="AH8" s="107">
        <f>SUBTOTAL(109,Tableau_Lancer_la_requête_à_partir_de_Excel_Files1025678[''63''])</f>
        <v>0</v>
      </c>
      <c r="AI8" s="107">
        <f>SUBTOTAL(109,Tableau_Lancer_la_requête_à_partir_de_Excel_Files1025678[''69''])</f>
        <v>0</v>
      </c>
      <c r="AJ8" s="107">
        <f>SUBTOTAL(109,Tableau_Lancer_la_requête_à_partir_de_Excel_Files1025678[''71''])</f>
        <v>0</v>
      </c>
      <c r="AK8" s="107">
        <f>SUBTOTAL(109,Tableau_Lancer_la_requête_à_partir_de_Excel_Files1025678[''81''])</f>
        <v>0</v>
      </c>
      <c r="AL8" s="107">
        <f>SUBTOTAL(109,Tableau_Lancer_la_requête_à_partir_de_Excel_Files1025678[''82''])</f>
        <v>0</v>
      </c>
      <c r="AM8" s="107">
        <f>SUBTOTAL(109,Tableau_Lancer_la_requête_à_partir_de_Excel_Files1025678[''87''])</f>
        <v>0</v>
      </c>
      <c r="AN8" s="107">
        <f>SUBTOTAL(109,Tableau_Lancer_la_requête_à_partir_de_Excel_Files1025678[''89''])</f>
        <v>0</v>
      </c>
      <c r="AO8" s="107">
        <f>SUBTOTAL(109,Tableau_Lancer_la_requête_à_partir_de_Excel_Files1025678[''Autre Public''])</f>
        <v>0</v>
      </c>
      <c r="AP8" s="105"/>
      <c r="AQ8" s="105"/>
      <c r="AR8" s="109"/>
      <c r="AT8" s="82"/>
    </row>
    <row r="9" spans="1:83" s="10" customFormat="1" x14ac:dyDescent="0.25">
      <c r="A9" s="3"/>
      <c r="B9" s="4"/>
      <c r="C9" s="5"/>
      <c r="D9" s="3"/>
      <c r="E9" s="3"/>
      <c r="F9" s="6"/>
      <c r="G9" s="3"/>
      <c r="H9" s="6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48"/>
    </row>
    <row r="10" spans="1:83" s="10" customFormat="1" x14ac:dyDescent="0.25">
      <c r="A10" s="3"/>
      <c r="B10" s="4"/>
      <c r="C10" s="5"/>
      <c r="D10" s="3"/>
      <c r="E10" s="3"/>
      <c r="F10" s="6"/>
      <c r="G10" s="3"/>
      <c r="H10" s="6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82"/>
    </row>
    <row r="11" spans="1:83" s="10" customFormat="1" x14ac:dyDescent="0.25">
      <c r="A11" s="3"/>
      <c r="B11" s="4"/>
      <c r="C11" s="5"/>
      <c r="D11" s="3"/>
      <c r="E11" s="3"/>
      <c r="F11" s="6"/>
      <c r="G11" s="3"/>
      <c r="H11" s="6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48"/>
    </row>
    <row r="12" spans="1:83" x14ac:dyDescent="0.25">
      <c r="AT12" s="82"/>
      <c r="CB12" s="4"/>
      <c r="CE12" s="3"/>
    </row>
    <row r="13" spans="1:83" x14ac:dyDescent="0.25">
      <c r="AT13" s="48"/>
      <c r="CB13" s="4"/>
      <c r="CE13" s="3"/>
    </row>
    <row r="14" spans="1:83" x14ac:dyDescent="0.25">
      <c r="AT14" s="82"/>
      <c r="CB14" s="4"/>
      <c r="CE14" s="3"/>
    </row>
    <row r="15" spans="1:83" x14ac:dyDescent="0.25">
      <c r="AT15" s="48"/>
      <c r="CB15" s="4"/>
      <c r="CE15" s="3"/>
    </row>
    <row r="16" spans="1:83" x14ac:dyDescent="0.25">
      <c r="AT16" s="82"/>
      <c r="CB16" s="4"/>
      <c r="CE16" s="3"/>
    </row>
    <row r="17" spans="1:83" s="7" customFormat="1" x14ac:dyDescent="0.25">
      <c r="A17" s="3"/>
      <c r="B17" s="4"/>
      <c r="C17" s="5"/>
      <c r="D17" s="3"/>
      <c r="E17" s="3"/>
      <c r="F17" s="6"/>
      <c r="G17" s="3"/>
      <c r="H17" s="6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48"/>
    </row>
    <row r="18" spans="1:83" s="10" customFormat="1" x14ac:dyDescent="0.25">
      <c r="A18" s="3"/>
      <c r="B18" s="4"/>
      <c r="C18" s="5"/>
      <c r="D18" s="3"/>
      <c r="E18" s="3" t="s">
        <v>81</v>
      </c>
      <c r="F18" s="6" t="s">
        <v>82</v>
      </c>
      <c r="G18" s="3"/>
      <c r="H18" s="6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82"/>
    </row>
    <row r="19" spans="1:83" ht="15.75" thickBot="1" x14ac:dyDescent="0.3">
      <c r="D19" t="s">
        <v>55</v>
      </c>
      <c r="E19" s="3">
        <f>I19+J19</f>
        <v>0</v>
      </c>
      <c r="F19" s="3">
        <f>R19+AO19</f>
        <v>0</v>
      </c>
      <c r="I19" s="3">
        <f>SUMIF(Tableau_Lancer_la_requête_à_partir_de_Excel_Files1025678[Avis Prog],"1-Favorable",Tableau_Lancer_la_requête_à_partir_de_Excel_Files1025678[''FEDER''])</f>
        <v>0</v>
      </c>
      <c r="J19" s="3">
        <f>SUMIF(Tableau_Lancer_la_requête_à_partir_de_Excel_Files1025678[Avis Prog],"2-Favorable sous réserve",Tableau_Lancer_la_requête_à_partir_de_Excel_Files1025678[''FEDER''])</f>
        <v>0</v>
      </c>
      <c r="R19" s="3">
        <f>SUMIF(Tableau_Lancer_la_requête_à_partir_de_Excel_Files1025678[Avis Cofimac],"1-Favorable",Tableau_Lancer_la_requête_à_partir_de_Excel_Files1025678[''FEDER''])</f>
        <v>0</v>
      </c>
      <c r="AO19" s="3">
        <f>SUMIF(Tableau_Lancer_la_requête_à_partir_de_Excel_Files1025678[Avis Cofimac],"2-Favorable sous réserve",Tableau_Lancer_la_requête_à_partir_de_Excel_Files1025678[''FEDER''])</f>
        <v>0</v>
      </c>
      <c r="AT19" s="48"/>
      <c r="CD19" s="4"/>
      <c r="CE19" s="3"/>
    </row>
    <row r="20" spans="1:83" ht="15.75" thickTop="1" x14ac:dyDescent="0.25">
      <c r="D20" t="s">
        <v>44</v>
      </c>
      <c r="E20" s="3">
        <f t="shared" ref="E20:E48" si="0">I20+J20</f>
        <v>0</v>
      </c>
      <c r="F20" s="3">
        <f t="shared" ref="F20:F48" si="1">R20+AO20</f>
        <v>0</v>
      </c>
      <c r="I20" s="3">
        <f>SUMIF(Tableau_Lancer_la_requête_à_partir_de_Excel_Files1025678[Avis Prog],"1-Favorable",Tableau_Lancer_la_requête_à_partir_de_Excel_Files1025678[Total Etat])</f>
        <v>0</v>
      </c>
      <c r="J20" s="3">
        <f>SUMIF(Tableau_Lancer_la_requête_à_partir_de_Excel_Files1025678[Avis Prog],"2-Favorable sous réserve",Tableau_Lancer_la_requête_à_partir_de_Excel_Files1025678[Total Etat])</f>
        <v>0</v>
      </c>
      <c r="R20" s="3">
        <f>SUMIF(Tableau_Lancer_la_requête_à_partir_de_Excel_Files1025678[Avis Cofimac],"1-Favorable",Tableau_Lancer_la_requête_à_partir_de_Excel_Files1025678[Total Etat])</f>
        <v>0</v>
      </c>
      <c r="AO20" s="3">
        <f>SUMIF(Tableau_Lancer_la_requête_à_partir_de_Excel_Files1025678[Avis Cofimac],"2-Favorable sous réserve",Tableau_Lancer_la_requête_à_partir_de_Excel_Files1025678[Total Etat])</f>
        <v>0</v>
      </c>
      <c r="AT20" s="29"/>
    </row>
    <row r="21" spans="1:83" x14ac:dyDescent="0.25">
      <c r="D21" t="s">
        <v>45</v>
      </c>
      <c r="E21" s="3">
        <f t="shared" si="0"/>
        <v>0</v>
      </c>
      <c r="F21" s="3">
        <f t="shared" si="1"/>
        <v>0</v>
      </c>
      <c r="I21" s="3">
        <f>SUMIF(Tableau_Lancer_la_requête_à_partir_de_Excel_Files1025678[Avis Prog],"1-Favorable",Tableau_Lancer_la_requête_à_partir_de_Excel_Files1025678[Total Régions])</f>
        <v>0</v>
      </c>
      <c r="J21" s="3">
        <f>SUMIF(Tableau_Lancer_la_requête_à_partir_de_Excel_Files1025678[Avis Prog],"2-Favorable sous réserve",Tableau_Lancer_la_requête_à_partir_de_Excel_Files1025678[Total Régions])</f>
        <v>0</v>
      </c>
      <c r="R21" s="3">
        <f>SUMIF(Tableau_Lancer_la_requête_à_partir_de_Excel_Files1025678[Avis Cofimac],"1-Favorable",Tableau_Lancer_la_requête_à_partir_de_Excel_Files1025678[Total Régions])</f>
        <v>0</v>
      </c>
      <c r="AO21" s="3">
        <f>SUMIF(Tableau_Lancer_la_requête_à_partir_de_Excel_Files1025678[Avis Cofimac],"2-Favorable sous réserve",Tableau_Lancer_la_requête_à_partir_de_Excel_Files1025678[Total Régions])</f>
        <v>0</v>
      </c>
    </row>
    <row r="22" spans="1:83" x14ac:dyDescent="0.25">
      <c r="D22" s="3" t="s">
        <v>56</v>
      </c>
      <c r="E22" s="3">
        <f t="shared" si="0"/>
        <v>0</v>
      </c>
      <c r="F22" s="3">
        <f t="shared" si="1"/>
        <v>0</v>
      </c>
      <c r="I22" s="3">
        <f>SUMIF(Tableau_Lancer_la_requête_à_partir_de_Excel_Files1025678[Avis Prog],"1-Favorable",Tableau_Lancer_la_requête_à_partir_de_Excel_Files1025678[''ALPC''])</f>
        <v>0</v>
      </c>
      <c r="J22" s="3">
        <f>SUMIF(Tableau_Lancer_la_requête_à_partir_de_Excel_Files1025678[Avis Prog],"2-Favorable sous réserve",Tableau_Lancer_la_requête_à_partir_de_Excel_Files1025678[''ALPC''])</f>
        <v>0</v>
      </c>
      <c r="R22" s="3">
        <f>SUMIF(Tableau_Lancer_la_requête_à_partir_de_Excel_Files1025678[Avis Cofimac],"1-Favorable",Tableau_Lancer_la_requête_à_partir_de_Excel_Files1025678[''ALPC''])</f>
        <v>0</v>
      </c>
      <c r="AO22" s="3">
        <f>SUMIF(Tableau_Lancer_la_requête_à_partir_de_Excel_Files1025678[Avis Cofimac],"2-Favorable sous réserve",Tableau_Lancer_la_requête_à_partir_de_Excel_Files1025678[''ALPC''])</f>
        <v>0</v>
      </c>
    </row>
    <row r="23" spans="1:83" x14ac:dyDescent="0.25">
      <c r="D23" s="3" t="s">
        <v>57</v>
      </c>
      <c r="E23" s="3">
        <f t="shared" si="0"/>
        <v>0</v>
      </c>
      <c r="F23" s="3">
        <f t="shared" si="1"/>
        <v>0</v>
      </c>
      <c r="I23" s="3">
        <f>SUMIF(Tableau_Lancer_la_requête_à_partir_de_Excel_Files1025678[Avis Prog],"1-Favorable",Tableau_Lancer_la_requête_à_partir_de_Excel_Files1025678[''AURA''])</f>
        <v>0</v>
      </c>
      <c r="J23" s="3">
        <f>SUMIF(Tableau_Lancer_la_requête_à_partir_de_Excel_Files1025678[Avis Prog],"2-Favorable sous réserve",Tableau_Lancer_la_requête_à_partir_de_Excel_Files1025678[''AURA''])</f>
        <v>0</v>
      </c>
      <c r="R23" s="3">
        <f>SUMIF(Tableau_Lancer_la_requête_à_partir_de_Excel_Files1025678[Avis Cofimac],"1-Favorable",Tableau_Lancer_la_requête_à_partir_de_Excel_Files1025678[''AURA''])</f>
        <v>0</v>
      </c>
      <c r="AO23" s="3">
        <f>SUMIF(Tableau_Lancer_la_requête_à_partir_de_Excel_Files1025678[Avis Cofimac],"2-Favorable sous réserve",Tableau_Lancer_la_requête_à_partir_de_Excel_Files1025678[''AURA''])</f>
        <v>0</v>
      </c>
    </row>
    <row r="24" spans="1:83" x14ac:dyDescent="0.25">
      <c r="D24" s="3" t="s">
        <v>58</v>
      </c>
      <c r="E24" s="3">
        <f t="shared" si="0"/>
        <v>0</v>
      </c>
      <c r="F24" s="3">
        <f t="shared" si="1"/>
        <v>0</v>
      </c>
      <c r="I24" s="3">
        <f>SUMIF(Tableau_Lancer_la_requête_à_partir_de_Excel_Files1025678[Avis Prog],"1-Favorable",Tableau_Lancer_la_requête_à_partir_de_Excel_Files1025678[''BFC''])</f>
        <v>0</v>
      </c>
      <c r="J24" s="3">
        <f>SUMIF(Tableau_Lancer_la_requête_à_partir_de_Excel_Files1025678[Avis Prog],"2-Favorable sous réserve",Tableau_Lancer_la_requête_à_partir_de_Excel_Files1025678[''BFC''])</f>
        <v>0</v>
      </c>
      <c r="R24" s="3">
        <f>SUMIF(Tableau_Lancer_la_requête_à_partir_de_Excel_Files1025678[Avis Cofimac],"1-Favorable",Tableau_Lancer_la_requête_à_partir_de_Excel_Files1025678[''BFC''])</f>
        <v>0</v>
      </c>
      <c r="AO24" s="3">
        <f>SUMIF(Tableau_Lancer_la_requête_à_partir_de_Excel_Files1025678[Avis Cofimac],"2-Favorable sous réserve",Tableau_Lancer_la_requête_à_partir_de_Excel_Files1025678[''BFC''])</f>
        <v>0</v>
      </c>
    </row>
    <row r="25" spans="1:83" x14ac:dyDescent="0.25">
      <c r="D25" s="3" t="s">
        <v>59</v>
      </c>
      <c r="E25" s="3">
        <f t="shared" si="0"/>
        <v>0</v>
      </c>
      <c r="F25" s="3">
        <f t="shared" si="1"/>
        <v>0</v>
      </c>
      <c r="I25" s="3">
        <f>SUMIF(Tableau_Lancer_la_requête_à_partir_de_Excel_Files1025678[Avis Prog],"1-Favorable",Tableau_Lancer_la_requête_à_partir_de_Excel_Files1025678[''LRMP''])</f>
        <v>0</v>
      </c>
      <c r="J25" s="3">
        <f>SUMIF(Tableau_Lancer_la_requête_à_partir_de_Excel_Files1025678[Avis Prog],"2-Favorable sous réserve",Tableau_Lancer_la_requête_à_partir_de_Excel_Files1025678[''LRMP''])</f>
        <v>0</v>
      </c>
      <c r="R25" s="3">
        <f>SUMIF(Tableau_Lancer_la_requête_à_partir_de_Excel_Files1025678[Avis Cofimac],"1-Favorable",Tableau_Lancer_la_requête_à_partir_de_Excel_Files1025678[''LRMP''])</f>
        <v>0</v>
      </c>
      <c r="AO25" s="3">
        <f>SUMIF(Tableau_Lancer_la_requête_à_partir_de_Excel_Files1025678[Avis Cofimac],"2-Favorable sous réserve",Tableau_Lancer_la_requête_à_partir_de_Excel_Files1025678[''LRMP''])</f>
        <v>0</v>
      </c>
    </row>
    <row r="26" spans="1:83" x14ac:dyDescent="0.25">
      <c r="D26" t="s">
        <v>46</v>
      </c>
      <c r="E26" s="3">
        <f t="shared" si="0"/>
        <v>0</v>
      </c>
      <c r="F26" s="3">
        <f t="shared" si="1"/>
        <v>0</v>
      </c>
      <c r="I26" s="3">
        <f>SUMIF(Tableau_Lancer_la_requête_à_partir_de_Excel_Files1025678[Avis Prog],"1-Favorable",Tableau_Lancer_la_requête_à_partir_de_Excel_Files1025678[Total Dpts])</f>
        <v>0</v>
      </c>
      <c r="J26" s="3">
        <f>SUMIF(Tableau_Lancer_la_requête_à_partir_de_Excel_Files1025678[Avis Prog],"2-Favorable sous réserve",Tableau_Lancer_la_requête_à_partir_de_Excel_Files1025678[Total Dpts])</f>
        <v>0</v>
      </c>
      <c r="R26" s="3">
        <f>SUMIF(Tableau_Lancer_la_requête_à_partir_de_Excel_Files1025678[Avis Cofimac],"1-Favorable",Tableau_Lancer_la_requête_à_partir_de_Excel_Files1025678[Total Dpts])</f>
        <v>0</v>
      </c>
      <c r="AO26" s="3">
        <f>SUMIF(Tableau_Lancer_la_requête_à_partir_de_Excel_Files1025678[Avis Cofimac],"2-Favorable sous réserve",Tableau_Lancer_la_requête_à_partir_de_Excel_Files1025678[Total Dpts])</f>
        <v>0</v>
      </c>
    </row>
    <row r="27" spans="1:83" x14ac:dyDescent="0.25">
      <c r="D27" t="s">
        <v>20</v>
      </c>
      <c r="E27" s="3">
        <f t="shared" si="0"/>
        <v>0</v>
      </c>
      <c r="F27" s="3">
        <f t="shared" si="1"/>
        <v>0</v>
      </c>
      <c r="I27" s="3">
        <f>SUMIF(Tableau_Lancer_la_requête_à_partir_de_Excel_Files1025678[Avis Prog],"1-Favorable",Tableau_Lancer_la_requête_à_partir_de_Excel_Files1025678[''03''])</f>
        <v>0</v>
      </c>
      <c r="J27" s="3">
        <f>SUMIF(Tableau_Lancer_la_requête_à_partir_de_Excel_Files1025678[Avis Prog],"2-Favorable sous réserve",Tableau_Lancer_la_requête_à_partir_de_Excel_Files1025678[''03''])</f>
        <v>0</v>
      </c>
      <c r="R27" s="3">
        <f>SUMIF(Tableau_Lancer_la_requête_à_partir_de_Excel_Files1025678[Avis Cofimac],"1-Favorable",Tableau_Lancer_la_requête_à_partir_de_Excel_Files1025678[''03''])</f>
        <v>0</v>
      </c>
      <c r="AO27" s="3">
        <f>SUMIF(Tableau_Lancer_la_requête_à_partir_de_Excel_Files1025678[Avis Cofimac],"2-Favorable sous réserve",Tableau_Lancer_la_requête_à_partir_de_Excel_Files1025678[''03''])</f>
        <v>0</v>
      </c>
    </row>
    <row r="28" spans="1:83" x14ac:dyDescent="0.25">
      <c r="D28" t="s">
        <v>21</v>
      </c>
      <c r="E28" s="3">
        <f t="shared" si="0"/>
        <v>0</v>
      </c>
      <c r="F28" s="3">
        <f t="shared" si="1"/>
        <v>0</v>
      </c>
      <c r="I28" s="3">
        <f>SUMIF(Tableau_Lancer_la_requête_à_partir_de_Excel_Files1025678[Avis Prog],"1-Favorable",Tableau_Lancer_la_requête_à_partir_de_Excel_Files1025678[''07''])</f>
        <v>0</v>
      </c>
      <c r="J28" s="3">
        <f>SUMIF(Tableau_Lancer_la_requête_à_partir_de_Excel_Files1025678[Avis Prog],"2-Favorable sous réserve",Tableau_Lancer_la_requête_à_partir_de_Excel_Files1025678[''07''])</f>
        <v>0</v>
      </c>
      <c r="R28" s="3">
        <f>SUMIF(Tableau_Lancer_la_requête_à_partir_de_Excel_Files1025678[Avis Cofimac],"1-Favorable",Tableau_Lancer_la_requête_à_partir_de_Excel_Files1025678[''07''])</f>
        <v>0</v>
      </c>
      <c r="AO28" s="3">
        <f>SUMIF(Tableau_Lancer_la_requête_à_partir_de_Excel_Files1025678[Avis Cofimac],"2-Favorable sous réserve",Tableau_Lancer_la_requête_à_partir_de_Excel_Files1025678[''07''])</f>
        <v>0</v>
      </c>
    </row>
    <row r="29" spans="1:83" x14ac:dyDescent="0.25">
      <c r="D29" t="s">
        <v>22</v>
      </c>
      <c r="E29" s="3">
        <f t="shared" si="0"/>
        <v>0</v>
      </c>
      <c r="F29" s="3">
        <f t="shared" si="1"/>
        <v>0</v>
      </c>
      <c r="I29" s="3">
        <f>SUMIF(Tableau_Lancer_la_requête_à_partir_de_Excel_Files1025678[Avis Prog],"1-Favorable",Tableau_Lancer_la_requête_à_partir_de_Excel_Files1025678[''11''])</f>
        <v>0</v>
      </c>
      <c r="J29" s="3">
        <f>SUMIF(Tableau_Lancer_la_requête_à_partir_de_Excel_Files1025678[Avis Prog],"2-Favorable sous réserve",Tableau_Lancer_la_requête_à_partir_de_Excel_Files1025678[''11''])</f>
        <v>0</v>
      </c>
      <c r="R29" s="3">
        <f>SUMIF(Tableau_Lancer_la_requête_à_partir_de_Excel_Files1025678[Avis Cofimac],"1-Favorable",Tableau_Lancer_la_requête_à_partir_de_Excel_Files1025678[''11''])</f>
        <v>0</v>
      </c>
      <c r="AO29" s="3">
        <f>SUMIF(Tableau_Lancer_la_requête_à_partir_de_Excel_Files1025678[Avis Cofimac],"2-Favorable sous réserve",Tableau_Lancer_la_requête_à_partir_de_Excel_Files1025678[''11''])</f>
        <v>0</v>
      </c>
    </row>
    <row r="30" spans="1:83" x14ac:dyDescent="0.25">
      <c r="D30" t="s">
        <v>23</v>
      </c>
      <c r="E30" s="3">
        <f t="shared" si="0"/>
        <v>0</v>
      </c>
      <c r="F30" s="3">
        <f t="shared" si="1"/>
        <v>0</v>
      </c>
      <c r="I30" s="3">
        <f>SUMIF(Tableau_Lancer_la_requête_à_partir_de_Excel_Files1025678[Avis Prog],"1-Favorable",Tableau_Lancer_la_requête_à_partir_de_Excel_Files1025678[''12''])</f>
        <v>0</v>
      </c>
      <c r="J30" s="3">
        <f>SUMIF(Tableau_Lancer_la_requête_à_partir_de_Excel_Files1025678[Avis Prog],"2-Favorable sous réserve",Tableau_Lancer_la_requête_à_partir_de_Excel_Files1025678[''12''])</f>
        <v>0</v>
      </c>
      <c r="R30" s="3">
        <f>SUMIF(Tableau_Lancer_la_requête_à_partir_de_Excel_Files1025678[Avis Cofimac],"1-Favorable",Tableau_Lancer_la_requête_à_partir_de_Excel_Files1025678[''12''])</f>
        <v>0</v>
      </c>
      <c r="AO30" s="3">
        <f>SUMIF(Tableau_Lancer_la_requête_à_partir_de_Excel_Files1025678[Avis Cofimac],"2-Favorable sous réserve",Tableau_Lancer_la_requête_à_partir_de_Excel_Files1025678[''12''])</f>
        <v>0</v>
      </c>
    </row>
    <row r="31" spans="1:83" hidden="1" x14ac:dyDescent="0.25">
      <c r="D31" t="s">
        <v>24</v>
      </c>
      <c r="E31" s="3">
        <f t="shared" si="0"/>
        <v>0</v>
      </c>
      <c r="F31" s="3">
        <f t="shared" si="1"/>
        <v>0</v>
      </c>
      <c r="I31" s="3">
        <f>SUMIF(Tableau_Lancer_la_requête_à_partir_de_Excel_Files1025678[Avis Prog],"1-Favorable",Tableau_Lancer_la_requête_à_partir_de_Excel_Files1025678[''15''])</f>
        <v>0</v>
      </c>
      <c r="J31" s="3">
        <f>SUMIF(Tableau_Lancer_la_requête_à_partir_de_Excel_Files1025678[Avis Prog],"2-Favorable sous réserve",Tableau_Lancer_la_requête_à_partir_de_Excel_Files1025678[''15''])</f>
        <v>0</v>
      </c>
      <c r="R31" s="3">
        <f>SUMIF(Tableau_Lancer_la_requête_à_partir_de_Excel_Files1025678[Avis Cofimac],"1-Favorable",Tableau_Lancer_la_requête_à_partir_de_Excel_Files1025678[''15''])</f>
        <v>0</v>
      </c>
      <c r="AO31" s="3">
        <f>SUMIF(Tableau_Lancer_la_requête_à_partir_de_Excel_Files1025678[Avis Cofimac],"2-Favorable sous réserve",Tableau_Lancer_la_requête_à_partir_de_Excel_Files1025678[''15''])</f>
        <v>0</v>
      </c>
    </row>
    <row r="32" spans="1:83" hidden="1" x14ac:dyDescent="0.25">
      <c r="D32" t="s">
        <v>25</v>
      </c>
      <c r="E32" s="3">
        <f t="shared" si="0"/>
        <v>0</v>
      </c>
      <c r="F32" s="3">
        <f t="shared" si="1"/>
        <v>0</v>
      </c>
      <c r="I32" s="3">
        <f>SUMIF(Tableau_Lancer_la_requête_à_partir_de_Excel_Files1025678[Avis Prog],"1-Favorable",Tableau_Lancer_la_requête_à_partir_de_Excel_Files1025678[''19''])</f>
        <v>0</v>
      </c>
      <c r="J32" s="3">
        <f>SUMIF(Tableau_Lancer_la_requête_à_partir_de_Excel_Files1025678[Avis Prog],"2-Favorable sous réserve",Tableau_Lancer_la_requête_à_partir_de_Excel_Files1025678[''19''])</f>
        <v>0</v>
      </c>
      <c r="R32" s="3">
        <f>SUMIF(Tableau_Lancer_la_requête_à_partir_de_Excel_Files1025678[Avis Cofimac],"1-Favorable",Tableau_Lancer_la_requête_à_partir_de_Excel_Files1025678[''19''])</f>
        <v>0</v>
      </c>
      <c r="AO32" s="3">
        <f>SUMIF(Tableau_Lancer_la_requête_à_partir_de_Excel_Files1025678[Avis Cofimac],"2-Favorable sous réserve",Tableau_Lancer_la_requête_à_partir_de_Excel_Files1025678[''19''])</f>
        <v>0</v>
      </c>
    </row>
    <row r="33" spans="4:41" hidden="1" x14ac:dyDescent="0.25">
      <c r="D33" t="s">
        <v>26</v>
      </c>
      <c r="E33" s="3">
        <f t="shared" si="0"/>
        <v>0</v>
      </c>
      <c r="F33" s="3">
        <f t="shared" si="1"/>
        <v>0</v>
      </c>
      <c r="I33" s="3">
        <f>SUMIF(Tableau_Lancer_la_requête_à_partir_de_Excel_Files1025678[Avis Prog],"1-Favorable",Tableau_Lancer_la_requête_à_partir_de_Excel_Files1025678[''21''])</f>
        <v>0</v>
      </c>
      <c r="J33" s="3">
        <f>SUMIF(Tableau_Lancer_la_requête_à_partir_de_Excel_Files1025678[Avis Prog],"2-Favorable sous réserve",Tableau_Lancer_la_requête_à_partir_de_Excel_Files1025678[''21''])</f>
        <v>0</v>
      </c>
      <c r="R33" s="3">
        <f>SUMIF(Tableau_Lancer_la_requête_à_partir_de_Excel_Files1025678[Avis Cofimac],"1-Favorable",Tableau_Lancer_la_requête_à_partir_de_Excel_Files1025678[''21''])</f>
        <v>0</v>
      </c>
      <c r="AO33" s="3">
        <f>SUMIF(Tableau_Lancer_la_requête_à_partir_de_Excel_Files1025678[Avis Cofimac],"2-Favorable sous réserve",Tableau_Lancer_la_requête_à_partir_de_Excel_Files1025678[''21''])</f>
        <v>0</v>
      </c>
    </row>
    <row r="34" spans="4:41" hidden="1" x14ac:dyDescent="0.25">
      <c r="D34" t="s">
        <v>27</v>
      </c>
      <c r="E34" s="3">
        <f t="shared" si="0"/>
        <v>0</v>
      </c>
      <c r="F34" s="3">
        <f t="shared" si="1"/>
        <v>0</v>
      </c>
      <c r="I34" s="3">
        <f>SUMIF(Tableau_Lancer_la_requête_à_partir_de_Excel_Files1025678[Avis Prog],"1-Favorable",Tableau_Lancer_la_requête_à_partir_de_Excel_Files1025678[''23''])</f>
        <v>0</v>
      </c>
      <c r="J34" s="3">
        <f>SUMIF(Tableau_Lancer_la_requête_à_partir_de_Excel_Files1025678[Avis Prog],"2-Favorable sous réserve",Tableau_Lancer_la_requête_à_partir_de_Excel_Files1025678[''23''])</f>
        <v>0</v>
      </c>
      <c r="R34" s="3">
        <f>SUMIF(Tableau_Lancer_la_requête_à_partir_de_Excel_Files1025678[Avis Cofimac],"1-Favorable",Tableau_Lancer_la_requête_à_partir_de_Excel_Files1025678[''23''])</f>
        <v>0</v>
      </c>
      <c r="AO34" s="3">
        <f>SUMIF(Tableau_Lancer_la_requête_à_partir_de_Excel_Files1025678[Avis Cofimac],"2-Favorable sous réserve",Tableau_Lancer_la_requête_à_partir_de_Excel_Files1025678[''23''])</f>
        <v>0</v>
      </c>
    </row>
    <row r="35" spans="4:41" hidden="1" x14ac:dyDescent="0.25">
      <c r="D35" t="s">
        <v>28</v>
      </c>
      <c r="E35" s="3">
        <f t="shared" si="0"/>
        <v>0</v>
      </c>
      <c r="F35" s="3">
        <f t="shared" si="1"/>
        <v>0</v>
      </c>
      <c r="I35" s="3">
        <f>SUMIF(Tableau_Lancer_la_requête_à_partir_de_Excel_Files1025678[Avis Prog],"1-Favorable",Tableau_Lancer_la_requête_à_partir_de_Excel_Files1025678[''30''])</f>
        <v>0</v>
      </c>
      <c r="J35" s="3">
        <f>SUMIF(Tableau_Lancer_la_requête_à_partir_de_Excel_Files1025678[Avis Prog],"2-Favorable sous réserve",Tableau_Lancer_la_requête_à_partir_de_Excel_Files1025678[''30''])</f>
        <v>0</v>
      </c>
      <c r="R35" s="3">
        <f>SUMIF(Tableau_Lancer_la_requête_à_partir_de_Excel_Files1025678[Avis Cofimac],"1-Favorable",Tableau_Lancer_la_requête_à_partir_de_Excel_Files1025678[''30''])</f>
        <v>0</v>
      </c>
      <c r="AO35" s="3">
        <f>SUMIF(Tableau_Lancer_la_requête_à_partir_de_Excel_Files1025678[Avis Cofimac],"2-Favorable sous réserve",Tableau_Lancer_la_requête_à_partir_de_Excel_Files1025678[''30''])</f>
        <v>0</v>
      </c>
    </row>
    <row r="36" spans="4:41" hidden="1" x14ac:dyDescent="0.25">
      <c r="D36" t="s">
        <v>29</v>
      </c>
      <c r="E36" s="3">
        <f t="shared" si="0"/>
        <v>0</v>
      </c>
      <c r="F36" s="3">
        <f t="shared" si="1"/>
        <v>0</v>
      </c>
      <c r="I36" s="3">
        <f>SUMIF(Tableau_Lancer_la_requête_à_partir_de_Excel_Files1025678[Avis Prog],"1-Favorable",Tableau_Lancer_la_requête_à_partir_de_Excel_Files1025678[''34''])</f>
        <v>0</v>
      </c>
      <c r="J36" s="3">
        <f>SUMIF(Tableau_Lancer_la_requête_à_partir_de_Excel_Files1025678[Avis Prog],"2-Favorable sous réserve",Tableau_Lancer_la_requête_à_partir_de_Excel_Files1025678[''34''])</f>
        <v>0</v>
      </c>
      <c r="R36" s="3">
        <f>SUMIF(Tableau_Lancer_la_requête_à_partir_de_Excel_Files1025678[Avis Cofimac],"1-Favorable",Tableau_Lancer_la_requête_à_partir_de_Excel_Files1025678[''34''])</f>
        <v>0</v>
      </c>
      <c r="AO36" s="3">
        <f>SUMIF(Tableau_Lancer_la_requête_à_partir_de_Excel_Files1025678[Avis Cofimac],"2-Favorable sous réserve",Tableau_Lancer_la_requête_à_partir_de_Excel_Files1025678[''34''])</f>
        <v>0</v>
      </c>
    </row>
    <row r="37" spans="4:41" hidden="1" x14ac:dyDescent="0.25">
      <c r="D37" t="s">
        <v>30</v>
      </c>
      <c r="E37" s="3">
        <f t="shared" si="0"/>
        <v>0</v>
      </c>
      <c r="F37" s="3">
        <f t="shared" si="1"/>
        <v>0</v>
      </c>
      <c r="I37" s="3">
        <f>SUMIF(Tableau_Lancer_la_requête_à_partir_de_Excel_Files1025678[Avis Prog],"1-Favorable",Tableau_Lancer_la_requête_à_partir_de_Excel_Files1025678[''42''])</f>
        <v>0</v>
      </c>
      <c r="J37" s="3">
        <f>SUMIF(Tableau_Lancer_la_requête_à_partir_de_Excel_Files1025678[Avis Prog],"2-Favorable sous réserve",Tableau_Lancer_la_requête_à_partir_de_Excel_Files1025678[''42''])</f>
        <v>0</v>
      </c>
      <c r="R37" s="3">
        <f>SUMIF(Tableau_Lancer_la_requête_à_partir_de_Excel_Files1025678[Avis Cofimac],"1-Favorable",Tableau_Lancer_la_requête_à_partir_de_Excel_Files1025678[''42''])</f>
        <v>0</v>
      </c>
      <c r="AO37" s="3">
        <f>SUMIF(Tableau_Lancer_la_requête_à_partir_de_Excel_Files1025678[Avis Cofimac],"2-Favorable sous réserve",Tableau_Lancer_la_requête_à_partir_de_Excel_Files1025678[''42''])</f>
        <v>0</v>
      </c>
    </row>
    <row r="38" spans="4:41" hidden="1" x14ac:dyDescent="0.25">
      <c r="D38" t="s">
        <v>31</v>
      </c>
      <c r="E38" s="3">
        <f t="shared" si="0"/>
        <v>0</v>
      </c>
      <c r="F38" s="3">
        <f t="shared" si="1"/>
        <v>0</v>
      </c>
      <c r="I38" s="3">
        <f>SUMIF(Tableau_Lancer_la_requête_à_partir_de_Excel_Files1025678[Avis Prog],"1-Favorable",Tableau_Lancer_la_requête_à_partir_de_Excel_Files1025678[''43''])</f>
        <v>0</v>
      </c>
      <c r="J38" s="3">
        <f>SUMIF(Tableau_Lancer_la_requête_à_partir_de_Excel_Files1025678[Avis Prog],"2-Favorable sous réserve",Tableau_Lancer_la_requête_à_partir_de_Excel_Files1025678[''43''])</f>
        <v>0</v>
      </c>
      <c r="R38" s="3">
        <f>SUMIF(Tableau_Lancer_la_requête_à_partir_de_Excel_Files1025678[Avis Cofimac],"1-Favorable",Tableau_Lancer_la_requête_à_partir_de_Excel_Files1025678[''43''])</f>
        <v>0</v>
      </c>
      <c r="AO38" s="3">
        <f>SUMIF(Tableau_Lancer_la_requête_à_partir_de_Excel_Files1025678[Avis Cofimac],"2-Favorable sous réserve",Tableau_Lancer_la_requête_à_partir_de_Excel_Files1025678[''43''])</f>
        <v>0</v>
      </c>
    </row>
    <row r="39" spans="4:41" hidden="1" x14ac:dyDescent="0.25">
      <c r="D39" t="s">
        <v>32</v>
      </c>
      <c r="E39" s="3">
        <f t="shared" si="0"/>
        <v>0</v>
      </c>
      <c r="F39" s="3">
        <f t="shared" si="1"/>
        <v>0</v>
      </c>
      <c r="I39" s="3">
        <f>SUMIF(Tableau_Lancer_la_requête_à_partir_de_Excel_Files1025678[Avis Prog],"1-Favorable",Tableau_Lancer_la_requête_à_partir_de_Excel_Files1025678[''46''])</f>
        <v>0</v>
      </c>
      <c r="J39" s="3">
        <f>SUMIF(Tableau_Lancer_la_requête_à_partir_de_Excel_Files1025678[Avis Prog],"2-Favorable sous réserve",Tableau_Lancer_la_requête_à_partir_de_Excel_Files1025678[''46''])</f>
        <v>0</v>
      </c>
      <c r="R39" s="3">
        <f>SUMIF(Tableau_Lancer_la_requête_à_partir_de_Excel_Files1025678[Avis Cofimac],"1-Favorable",Tableau_Lancer_la_requête_à_partir_de_Excel_Files1025678[''46''])</f>
        <v>0</v>
      </c>
      <c r="AO39" s="3">
        <f>SUMIF(Tableau_Lancer_la_requête_à_partir_de_Excel_Files1025678[Avis Cofimac],"2-Favorable sous réserve",Tableau_Lancer_la_requête_à_partir_de_Excel_Files1025678[''46''])</f>
        <v>0</v>
      </c>
    </row>
    <row r="40" spans="4:41" hidden="1" x14ac:dyDescent="0.25">
      <c r="D40" t="s">
        <v>33</v>
      </c>
      <c r="E40" s="3">
        <f t="shared" si="0"/>
        <v>0</v>
      </c>
      <c r="F40" s="3">
        <f t="shared" si="1"/>
        <v>0</v>
      </c>
      <c r="I40" s="3">
        <f>SUMIF(Tableau_Lancer_la_requête_à_partir_de_Excel_Files1025678[Avis Prog],"1-Favorable",Tableau_Lancer_la_requête_à_partir_de_Excel_Files1025678[''48''])</f>
        <v>0</v>
      </c>
      <c r="J40" s="3">
        <f>SUMIF(Tableau_Lancer_la_requête_à_partir_de_Excel_Files1025678[Avis Prog],"2-Favorable sous réserve",Tableau_Lancer_la_requête_à_partir_de_Excel_Files1025678[''48''])</f>
        <v>0</v>
      </c>
      <c r="R40" s="3">
        <f>SUMIF(Tableau_Lancer_la_requête_à_partir_de_Excel_Files1025678[Avis Cofimac],"1-Favorable",Tableau_Lancer_la_requête_à_partir_de_Excel_Files1025678[''48''])</f>
        <v>0</v>
      </c>
      <c r="AO40" s="3">
        <f>SUMIF(Tableau_Lancer_la_requête_à_partir_de_Excel_Files1025678[Avis Cofimac],"2-Favorable sous réserve",Tableau_Lancer_la_requête_à_partir_de_Excel_Files1025678[''48''])</f>
        <v>0</v>
      </c>
    </row>
    <row r="41" spans="4:41" hidden="1" x14ac:dyDescent="0.25">
      <c r="D41" t="s">
        <v>34</v>
      </c>
      <c r="E41" s="3">
        <f t="shared" si="0"/>
        <v>0</v>
      </c>
      <c r="F41" s="3">
        <f t="shared" si="1"/>
        <v>0</v>
      </c>
      <c r="I41" s="3">
        <f>SUMIF(Tableau_Lancer_la_requête_à_partir_de_Excel_Files1025678[Avis Prog],"1-Favorable",Tableau_Lancer_la_requête_à_partir_de_Excel_Files1025678[''58''])</f>
        <v>0</v>
      </c>
      <c r="J41" s="3">
        <f>SUMIF(Tableau_Lancer_la_requête_à_partir_de_Excel_Files1025678[Avis Prog],"2-Favorable sous réserve",Tableau_Lancer_la_requête_à_partir_de_Excel_Files1025678[''58''])</f>
        <v>0</v>
      </c>
      <c r="R41" s="3">
        <f>SUMIF(Tableau_Lancer_la_requête_à_partir_de_Excel_Files1025678[Avis Cofimac],"1-Favorable",Tableau_Lancer_la_requête_à_partir_de_Excel_Files1025678[''58''])</f>
        <v>0</v>
      </c>
      <c r="AO41" s="3">
        <f>SUMIF(Tableau_Lancer_la_requête_à_partir_de_Excel_Files1025678[Avis Cofimac],"2-Favorable sous réserve",Tableau_Lancer_la_requête_à_partir_de_Excel_Files1025678[''58''])</f>
        <v>0</v>
      </c>
    </row>
    <row r="42" spans="4:41" hidden="1" x14ac:dyDescent="0.25">
      <c r="D42" t="s">
        <v>35</v>
      </c>
      <c r="E42" s="3">
        <f t="shared" si="0"/>
        <v>0</v>
      </c>
      <c r="F42" s="3">
        <f t="shared" si="1"/>
        <v>0</v>
      </c>
      <c r="I42" s="3">
        <f>SUMIF(Tableau_Lancer_la_requête_à_partir_de_Excel_Files1025678[Avis Prog],"1-Favorable",Tableau_Lancer_la_requête_à_partir_de_Excel_Files1025678[''63''])</f>
        <v>0</v>
      </c>
      <c r="J42" s="3">
        <f>SUMIF(Tableau_Lancer_la_requête_à_partir_de_Excel_Files1025678[Avis Prog],"2-Favorable sous réserve",Tableau_Lancer_la_requête_à_partir_de_Excel_Files1025678[''63''])</f>
        <v>0</v>
      </c>
      <c r="R42" s="3">
        <f>SUMIF(Tableau_Lancer_la_requête_à_partir_de_Excel_Files1025678[Avis Cofimac],"1-Favorable",Tableau_Lancer_la_requête_à_partir_de_Excel_Files1025678[''63''])</f>
        <v>0</v>
      </c>
      <c r="AO42" s="3">
        <f>SUMIF(Tableau_Lancer_la_requête_à_partir_de_Excel_Files1025678[Avis Cofimac],"2-Favorable sous réserve",Tableau_Lancer_la_requête_à_partir_de_Excel_Files1025678[''63''])</f>
        <v>0</v>
      </c>
    </row>
    <row r="43" spans="4:41" hidden="1" x14ac:dyDescent="0.25">
      <c r="D43" t="s">
        <v>36</v>
      </c>
      <c r="E43" s="3">
        <f t="shared" si="0"/>
        <v>0</v>
      </c>
      <c r="F43" s="3">
        <f t="shared" si="1"/>
        <v>0</v>
      </c>
      <c r="I43" s="3">
        <f>SUMIF(Tableau_Lancer_la_requête_à_partir_de_Excel_Files1025678[Avis Prog],"1-Favorable",Tableau_Lancer_la_requête_à_partir_de_Excel_Files1025678[''69''])</f>
        <v>0</v>
      </c>
      <c r="J43" s="3">
        <f>SUMIF(Tableau_Lancer_la_requête_à_partir_de_Excel_Files1025678[Avis Prog],"2-Favorable sous réserve",Tableau_Lancer_la_requête_à_partir_de_Excel_Files1025678[''69''])</f>
        <v>0</v>
      </c>
      <c r="R43" s="3">
        <f>SUMIF(Tableau_Lancer_la_requête_à_partir_de_Excel_Files1025678[Avis Cofimac],"1-Favorable",Tableau_Lancer_la_requête_à_partir_de_Excel_Files1025678[''69''])</f>
        <v>0</v>
      </c>
      <c r="AO43" s="3">
        <f>SUMIF(Tableau_Lancer_la_requête_à_partir_de_Excel_Files1025678[Avis Cofimac],"2-Favorable sous réserve",Tableau_Lancer_la_requête_à_partir_de_Excel_Files1025678[''69''])</f>
        <v>0</v>
      </c>
    </row>
    <row r="44" spans="4:41" hidden="1" x14ac:dyDescent="0.25">
      <c r="D44" t="s">
        <v>37</v>
      </c>
      <c r="E44" s="3">
        <f t="shared" si="0"/>
        <v>0</v>
      </c>
      <c r="F44" s="3">
        <f t="shared" si="1"/>
        <v>0</v>
      </c>
      <c r="I44" s="3">
        <f>SUMIF(Tableau_Lancer_la_requête_à_partir_de_Excel_Files1025678[Avis Prog],"1-Favorable",Tableau_Lancer_la_requête_à_partir_de_Excel_Files1025678[''71''])</f>
        <v>0</v>
      </c>
      <c r="J44" s="3">
        <f>SUMIF(Tableau_Lancer_la_requête_à_partir_de_Excel_Files1025678[Avis Prog],"2-Favorable sous réserve",Tableau_Lancer_la_requête_à_partir_de_Excel_Files1025678[''71''])</f>
        <v>0</v>
      </c>
      <c r="R44" s="3">
        <f>SUMIF(Tableau_Lancer_la_requête_à_partir_de_Excel_Files1025678[Avis Cofimac],"1-Favorable",Tableau_Lancer_la_requête_à_partir_de_Excel_Files1025678[''71''])</f>
        <v>0</v>
      </c>
      <c r="AO44" s="3">
        <f>SUMIF(Tableau_Lancer_la_requête_à_partir_de_Excel_Files1025678[Avis Cofimac],"2-Favorable sous réserve",Tableau_Lancer_la_requête_à_partir_de_Excel_Files1025678[''71''])</f>
        <v>0</v>
      </c>
    </row>
    <row r="45" spans="4:41" hidden="1" x14ac:dyDescent="0.25">
      <c r="D45" t="s">
        <v>38</v>
      </c>
      <c r="E45" s="3">
        <f t="shared" si="0"/>
        <v>0</v>
      </c>
      <c r="F45" s="3">
        <f t="shared" si="1"/>
        <v>0</v>
      </c>
      <c r="I45" s="3">
        <f>SUMIF(Tableau_Lancer_la_requête_à_partir_de_Excel_Files1025678[Avis Prog],"1-Favorable",Tableau_Lancer_la_requête_à_partir_de_Excel_Files1025678[''81''])</f>
        <v>0</v>
      </c>
      <c r="J45" s="3">
        <f>SUMIF(Tableau_Lancer_la_requête_à_partir_de_Excel_Files1025678[Avis Prog],"2-Favorable sous réserve",Tableau_Lancer_la_requête_à_partir_de_Excel_Files1025678[''81''])</f>
        <v>0</v>
      </c>
      <c r="R45" s="3">
        <f>SUMIF(Tableau_Lancer_la_requête_à_partir_de_Excel_Files1025678[Avis Cofimac],"1-Favorable",Tableau_Lancer_la_requête_à_partir_de_Excel_Files1025678[''81''])</f>
        <v>0</v>
      </c>
      <c r="AO45" s="3">
        <f>SUMIF(Tableau_Lancer_la_requête_à_partir_de_Excel_Files1025678[Avis Cofimac],"2-Favorable sous réserve",Tableau_Lancer_la_requête_à_partir_de_Excel_Files1025678[''81''])</f>
        <v>0</v>
      </c>
    </row>
    <row r="46" spans="4:41" hidden="1" x14ac:dyDescent="0.25">
      <c r="D46" t="s">
        <v>39</v>
      </c>
      <c r="E46" s="3">
        <f t="shared" si="0"/>
        <v>0</v>
      </c>
      <c r="F46" s="3">
        <f t="shared" si="1"/>
        <v>0</v>
      </c>
      <c r="I46" s="3">
        <f>SUMIF(Tableau_Lancer_la_requête_à_partir_de_Excel_Files1025678[Avis Prog],"1-Favorable",Tableau_Lancer_la_requête_à_partir_de_Excel_Files1025678[''82''])</f>
        <v>0</v>
      </c>
      <c r="J46" s="3">
        <f>SUMIF(Tableau_Lancer_la_requête_à_partir_de_Excel_Files1025678[Avis Prog],"2-Favorable sous réserve",Tableau_Lancer_la_requête_à_partir_de_Excel_Files1025678[''82''])</f>
        <v>0</v>
      </c>
      <c r="R46" s="3">
        <f>SUMIF(Tableau_Lancer_la_requête_à_partir_de_Excel_Files1025678[Avis Cofimac],"1-Favorable",Tableau_Lancer_la_requête_à_partir_de_Excel_Files1025678[''82''])</f>
        <v>0</v>
      </c>
      <c r="AO46" s="3">
        <f>SUMIF(Tableau_Lancer_la_requête_à_partir_de_Excel_Files1025678[Avis Cofimac],"2-Favorable sous réserve",Tableau_Lancer_la_requête_à_partir_de_Excel_Files1025678[''82''])</f>
        <v>0</v>
      </c>
    </row>
    <row r="47" spans="4:41" hidden="1" x14ac:dyDescent="0.25">
      <c r="D47" t="s">
        <v>40</v>
      </c>
      <c r="E47" s="3">
        <f t="shared" si="0"/>
        <v>0</v>
      </c>
      <c r="F47" s="3">
        <f t="shared" si="1"/>
        <v>0</v>
      </c>
      <c r="I47" s="3">
        <f>SUMIF(Tableau_Lancer_la_requête_à_partir_de_Excel_Files1025678[Avis Prog],"1-Favorable",Tableau_Lancer_la_requête_à_partir_de_Excel_Files1025678[''87''])</f>
        <v>0</v>
      </c>
      <c r="J47" s="3">
        <f>SUMIF(Tableau_Lancer_la_requête_à_partir_de_Excel_Files1025678[Avis Prog],"2-Favorable sous réserve",Tableau_Lancer_la_requête_à_partir_de_Excel_Files1025678[''87''])</f>
        <v>0</v>
      </c>
      <c r="R47" s="3">
        <f>SUMIF(Tableau_Lancer_la_requête_à_partir_de_Excel_Files1025678[Avis Cofimac],"1-Favorable",Tableau_Lancer_la_requête_à_partir_de_Excel_Files1025678[''87''])</f>
        <v>0</v>
      </c>
      <c r="AO47" s="3">
        <f>SUMIF(Tableau_Lancer_la_requête_à_partir_de_Excel_Files1025678[Avis Cofimac],"2-Favorable sous réserve",Tableau_Lancer_la_requête_à_partir_de_Excel_Files1025678[''87''])</f>
        <v>0</v>
      </c>
    </row>
    <row r="48" spans="4:41" hidden="1" x14ac:dyDescent="0.25">
      <c r="D48" t="s">
        <v>41</v>
      </c>
      <c r="E48" s="3">
        <f t="shared" si="0"/>
        <v>0</v>
      </c>
      <c r="F48" s="3">
        <f t="shared" si="1"/>
        <v>0</v>
      </c>
      <c r="I48" s="3">
        <f>SUMIF(Tableau_Lancer_la_requête_à_partir_de_Excel_Files1025678[Avis Prog],"1-Favorable",Tableau_Lancer_la_requête_à_partir_de_Excel_Files1025678[''89''])</f>
        <v>0</v>
      </c>
      <c r="J48" s="3">
        <f>SUMIF(Tableau_Lancer_la_requête_à_partir_de_Excel_Files1025678[Avis Prog],"2-Favorable sous réserve",Tableau_Lancer_la_requête_à_partir_de_Excel_Files1025678[''89''])</f>
        <v>0</v>
      </c>
      <c r="R48" s="3">
        <f>SUMIF(Tableau_Lancer_la_requête_à_partir_de_Excel_Files1025678[Avis Cofimac],"1-Favorable",Tableau_Lancer_la_requête_à_partir_de_Excel_Files1025678[''89''])</f>
        <v>0</v>
      </c>
      <c r="AO48" s="3">
        <f>SUMIF(Tableau_Lancer_la_requête_à_partir_de_Excel_Files1025678[Avis Cofimac],"2-Favorable sous réserve",Tableau_Lancer_la_requête_à_partir_de_Excel_Files1025678[''89''])</f>
        <v>0</v>
      </c>
    </row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</sheetData>
  <conditionalFormatting sqref="AP7 AR7">
    <cfRule type="cellIs" dxfId="745" priority="6" operator="equal">
      <formula>"2-Favorable sous réserve"</formula>
    </cfRule>
    <cfRule type="cellIs" dxfId="744" priority="15" operator="equal">
      <formula>"6-Retiré/Abandon"</formula>
    </cfRule>
    <cfRule type="cellIs" dxfId="743" priority="16" operator="equal">
      <formula>"5-Défavorable"</formula>
    </cfRule>
    <cfRule type="cellIs" dxfId="742" priority="17" operator="equal">
      <formula>"4-Ajournement"</formula>
    </cfRule>
    <cfRule type="cellIs" dxfId="741" priority="18" operator="equal">
      <formula>"1-Favorable"</formula>
    </cfRule>
  </conditionalFormatting>
  <conditionalFormatting sqref="AT7:AT19">
    <cfRule type="cellIs" dxfId="740" priority="1" operator="equal">
      <formula>"2-Favorable sous réserve"</formula>
    </cfRule>
    <cfRule type="cellIs" dxfId="739" priority="2" operator="equal">
      <formula>"6-Retiré/Abandon"</formula>
    </cfRule>
    <cfRule type="cellIs" dxfId="738" priority="3" operator="equal">
      <formula>"5-Défavorable"</formula>
    </cfRule>
    <cfRule type="cellIs" dxfId="737" priority="4" operator="equal">
      <formula>"4-Ajournement"</formula>
    </cfRule>
    <cfRule type="cellIs" dxfId="736" priority="5" operator="equal">
      <formula>"1-Favorable"</formula>
    </cfRule>
  </conditionalFormatting>
  <dataValidations count="1">
    <dataValidation type="list" allowBlank="1" showInputMessage="1" showErrorMessage="1" sqref="AR7">
      <formula1>"1-Favorable,2-Favorable sous réserve,4-Ajournement,5-Défavorable,6-Retiré/Abandon"</formula1>
    </dataValidation>
  </dataValidations>
  <printOptions horizontalCentered="1" verticalCentered="1"/>
  <pageMargins left="0.25" right="0.25" top="0.75" bottom="0.75" header="0.3" footer="0.3"/>
  <pageSetup paperSize="8" scale="61" fitToHeight="0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0"/>
  <sheetViews>
    <sheetView view="pageBreakPreview" zoomScale="80" zoomScaleNormal="60" zoomScaleSheetLayoutView="80" workbookViewId="0">
      <selection activeCell="C7" sqref="C7"/>
    </sheetView>
  </sheetViews>
  <sheetFormatPr baseColWidth="10" defaultRowHeight="15" outlineLevelCol="1" x14ac:dyDescent="0.25"/>
  <cols>
    <col min="1" max="1" width="13.85546875" style="3" customWidth="1"/>
    <col min="2" max="2" width="35" style="4" customWidth="1"/>
    <col min="3" max="3" width="48" style="5" customWidth="1"/>
    <col min="4" max="4" width="15.85546875" style="3" customWidth="1"/>
    <col min="5" max="5" width="16.28515625" style="3" customWidth="1"/>
    <col min="6" max="6" width="12" style="6" customWidth="1"/>
    <col min="7" max="7" width="16" style="3" bestFit="1" customWidth="1"/>
    <col min="8" max="8" width="11.28515625" style="6" customWidth="1"/>
    <col min="9" max="9" width="14.85546875" style="3" customWidth="1"/>
    <col min="10" max="10" width="15" style="3" bestFit="1" customWidth="1"/>
    <col min="11" max="11" width="11.5703125" style="3" hidden="1" customWidth="1" outlineLevel="1"/>
    <col min="12" max="12" width="16.5703125" style="3" hidden="1" customWidth="1" outlineLevel="1"/>
    <col min="13" max="13" width="13.7109375" style="3" bestFit="1" customWidth="1" collapsed="1"/>
    <col min="14" max="14" width="11.140625" style="3" hidden="1" customWidth="1" outlineLevel="1"/>
    <col min="15" max="15" width="11.85546875" style="3" hidden="1" customWidth="1" outlineLevel="1"/>
    <col min="16" max="16" width="10" style="3" hidden="1" customWidth="1" outlineLevel="1"/>
    <col min="17" max="17" width="11.7109375" style="3" hidden="1" customWidth="1" outlineLevel="1"/>
    <col min="18" max="18" width="16.140625" style="3" bestFit="1" customWidth="1" collapsed="1"/>
    <col min="19" max="40" width="8.7109375" style="3" hidden="1" customWidth="1" outlineLevel="1"/>
    <col min="41" max="41" width="11.5703125" style="3" bestFit="1" customWidth="1" collapsed="1"/>
    <col min="42" max="43" width="11.5703125" style="3" customWidth="1"/>
    <col min="44" max="44" width="21.85546875" style="3" bestFit="1" customWidth="1"/>
    <col min="45" max="45" width="15.42578125" style="3" hidden="1" customWidth="1"/>
    <col min="46" max="46" width="55" style="3" customWidth="1"/>
    <col min="47" max="47" width="15.42578125" style="3" bestFit="1" customWidth="1"/>
    <col min="48" max="48" width="17.28515625" style="3" bestFit="1" customWidth="1"/>
    <col min="49" max="49" width="9.42578125" style="3" customWidth="1"/>
    <col min="50" max="64" width="9.7109375" style="3" customWidth="1"/>
    <col min="65" max="65" width="15.140625" style="3" customWidth="1"/>
    <col min="66" max="66" width="14.5703125" style="3" customWidth="1"/>
    <col min="67" max="67" width="18.5703125" style="3" customWidth="1"/>
    <col min="68" max="68" width="12.5703125" style="3" customWidth="1"/>
    <col min="69" max="69" width="20.42578125" style="3" customWidth="1"/>
    <col min="70" max="70" width="12.7109375" style="3" customWidth="1"/>
    <col min="71" max="71" width="9.28515625" style="3" customWidth="1"/>
    <col min="72" max="72" width="14.28515625" style="3" customWidth="1"/>
    <col min="73" max="73" width="11.42578125" style="3" customWidth="1"/>
    <col min="74" max="74" width="9" style="3" customWidth="1"/>
    <col min="75" max="75" width="9.5703125" style="3" customWidth="1"/>
    <col min="76" max="76" width="11" style="3" customWidth="1"/>
    <col min="77" max="77" width="12.7109375" style="3" customWidth="1"/>
    <col min="78" max="80" width="9.7109375" style="3" customWidth="1"/>
    <col min="81" max="81" width="15.140625" style="3" customWidth="1"/>
    <col min="82" max="82" width="17.28515625" style="3" customWidth="1"/>
    <col min="83" max="83" width="49.28515625" style="4" customWidth="1"/>
    <col min="84" max="84" width="17.28515625" style="3" customWidth="1"/>
    <col min="85" max="16384" width="11.42578125" style="3"/>
  </cols>
  <sheetData>
    <row r="1" spans="1:83" ht="18.75" x14ac:dyDescent="0.3">
      <c r="B1" s="21" t="s">
        <v>73</v>
      </c>
      <c r="C1" s="22">
        <f>Feuil1!A2</f>
        <v>42832</v>
      </c>
    </row>
    <row r="5" spans="1:83" x14ac:dyDescent="0.25">
      <c r="A5" s="1" t="s">
        <v>86</v>
      </c>
      <c r="B5" s="2"/>
    </row>
    <row r="6" spans="1:83" s="7" customFormat="1" ht="30" x14ac:dyDescent="0.25">
      <c r="A6" s="7" t="s">
        <v>7</v>
      </c>
      <c r="B6" s="7" t="s">
        <v>1</v>
      </c>
      <c r="C6" s="7" t="s">
        <v>2</v>
      </c>
      <c r="D6" s="7" t="s">
        <v>50</v>
      </c>
      <c r="E6" s="7" t="s">
        <v>52</v>
      </c>
      <c r="F6" s="7" t="s">
        <v>51</v>
      </c>
      <c r="G6" s="7" t="s">
        <v>48</v>
      </c>
      <c r="H6" s="7" t="s">
        <v>53</v>
      </c>
      <c r="I6" s="7" t="s">
        <v>42</v>
      </c>
      <c r="J6" s="7" t="s">
        <v>63</v>
      </c>
      <c r="K6" s="7" t="s">
        <v>67</v>
      </c>
      <c r="L6" s="7" t="s">
        <v>15</v>
      </c>
      <c r="M6" s="7" t="s">
        <v>64</v>
      </c>
      <c r="N6" s="7" t="s">
        <v>18</v>
      </c>
      <c r="O6" s="7" t="s">
        <v>16</v>
      </c>
      <c r="P6" s="7" t="s">
        <v>17</v>
      </c>
      <c r="Q6" s="7" t="s">
        <v>19</v>
      </c>
      <c r="R6" s="7" t="s">
        <v>65</v>
      </c>
      <c r="S6" s="7" t="s">
        <v>20</v>
      </c>
      <c r="T6" s="7" t="s">
        <v>21</v>
      </c>
      <c r="U6" s="7" t="s">
        <v>22</v>
      </c>
      <c r="V6" s="7" t="s">
        <v>23</v>
      </c>
      <c r="W6" s="7" t="s">
        <v>24</v>
      </c>
      <c r="X6" s="7" t="s">
        <v>25</v>
      </c>
      <c r="Y6" s="7" t="s">
        <v>26</v>
      </c>
      <c r="Z6" s="7" t="s">
        <v>27</v>
      </c>
      <c r="AA6" s="7" t="s">
        <v>28</v>
      </c>
      <c r="AB6" s="7" t="s">
        <v>29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 t="s">
        <v>36</v>
      </c>
      <c r="AJ6" s="7" t="s">
        <v>37</v>
      </c>
      <c r="AK6" s="7" t="s">
        <v>38</v>
      </c>
      <c r="AL6" s="7" t="s">
        <v>39</v>
      </c>
      <c r="AM6" s="7" t="s">
        <v>40</v>
      </c>
      <c r="AN6" s="7" t="s">
        <v>41</v>
      </c>
      <c r="AO6" s="7" t="s">
        <v>43</v>
      </c>
      <c r="AP6" s="7" t="s">
        <v>47</v>
      </c>
      <c r="AQ6" s="7" t="s">
        <v>88</v>
      </c>
      <c r="AR6" s="17" t="s">
        <v>54</v>
      </c>
      <c r="AT6" s="59" t="s">
        <v>62</v>
      </c>
    </row>
    <row r="7" spans="1:83" s="10" customFormat="1" x14ac:dyDescent="0.25">
      <c r="A7" s="83"/>
      <c r="B7" s="12"/>
      <c r="C7" s="12"/>
      <c r="D7" s="15"/>
      <c r="E7" s="15"/>
      <c r="F7" s="16"/>
      <c r="G7" s="15"/>
      <c r="H7" s="16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1"/>
      <c r="AQ7" s="57"/>
      <c r="AR7" s="11"/>
      <c r="AT7" s="48"/>
    </row>
    <row r="8" spans="1:83" s="10" customFormat="1" x14ac:dyDescent="0.25">
      <c r="A8" s="105" t="s">
        <v>8</v>
      </c>
      <c r="B8" s="106">
        <f>SUBTOTAL(103,Tableau_Lancer_la_requête_à_partir_de_Excel_Files1025678910[Nom_MO])</f>
        <v>0</v>
      </c>
      <c r="C8" s="106"/>
      <c r="D8" s="107">
        <f>SUBTOTAL(109,Tableau_Lancer_la_requête_à_partir_de_Excel_Files1025678910[''Coût total éligible''])</f>
        <v>0</v>
      </c>
      <c r="E8" s="107">
        <f>SUBTOTAL(109,Tableau_Lancer_la_requête_à_partir_de_Excel_Files1025678910[Aide 
publique])</f>
        <v>0</v>
      </c>
      <c r="F8" s="108"/>
      <c r="G8" s="107">
        <f>SUBTOTAL(109,Tableau_Lancer_la_requête_à_partir_de_Excel_Files1025678910[Aide Massif])</f>
        <v>0</v>
      </c>
      <c r="H8" s="108"/>
      <c r="I8" s="107">
        <f>SUBTOTAL(109,Tableau_Lancer_la_requête_à_partir_de_Excel_Files1025678910[''FEDER''])</f>
        <v>0</v>
      </c>
      <c r="J8" s="107">
        <f>SUBTOTAL(109,Tableau_Lancer_la_requête_à_partir_de_Excel_Files1025678910[Total Etat])</f>
        <v>0</v>
      </c>
      <c r="K8" s="105"/>
      <c r="L8" s="107">
        <f>SUBTOTAL(109,Tableau_Lancer_la_requête_à_partir_de_Excel_Files1025678910[''Agriculture''])</f>
        <v>0</v>
      </c>
      <c r="M8" s="107">
        <f>SUBTOTAL(109,Tableau_Lancer_la_requête_à_partir_de_Excel_Files1025678910[Total Régions])</f>
        <v>0</v>
      </c>
      <c r="N8" s="107">
        <f>SUBTOTAL(109,Tableau_Lancer_la_requête_à_partir_de_Excel_Files1025678910[''ALPC''])</f>
        <v>0</v>
      </c>
      <c r="O8" s="107">
        <f>SUBTOTAL(109,Tableau_Lancer_la_requête_à_partir_de_Excel_Files1025678910[''AURA''])</f>
        <v>0</v>
      </c>
      <c r="P8" s="107">
        <f>SUBTOTAL(109,Tableau_Lancer_la_requête_à_partir_de_Excel_Files1025678910[''BFC''])</f>
        <v>0</v>
      </c>
      <c r="Q8" s="107">
        <f>SUBTOTAL(109,Tableau_Lancer_la_requête_à_partir_de_Excel_Files1025678910[''LRMP''])</f>
        <v>0</v>
      </c>
      <c r="R8" s="107">
        <f>SUBTOTAL(109,Tableau_Lancer_la_requête_à_partir_de_Excel_Files1025678910[Total Dpts])</f>
        <v>0</v>
      </c>
      <c r="S8" s="107">
        <f>SUBTOTAL(109,Tableau_Lancer_la_requête_à_partir_de_Excel_Files1025678910[''03''])</f>
        <v>0</v>
      </c>
      <c r="T8" s="107">
        <f>SUBTOTAL(109,Tableau_Lancer_la_requête_à_partir_de_Excel_Files1025678910[''07''])</f>
        <v>0</v>
      </c>
      <c r="U8" s="107">
        <f>SUBTOTAL(109,Tableau_Lancer_la_requête_à_partir_de_Excel_Files1025678910[''11''])</f>
        <v>0</v>
      </c>
      <c r="V8" s="107">
        <f>SUBTOTAL(109,Tableau_Lancer_la_requête_à_partir_de_Excel_Files1025678910[''12''])</f>
        <v>0</v>
      </c>
      <c r="W8" s="107">
        <f>SUBTOTAL(109,Tableau_Lancer_la_requête_à_partir_de_Excel_Files1025678910[''15''])</f>
        <v>0</v>
      </c>
      <c r="X8" s="107">
        <f>SUBTOTAL(109,Tableau_Lancer_la_requête_à_partir_de_Excel_Files1025678910[''19''])</f>
        <v>0</v>
      </c>
      <c r="Y8" s="107">
        <f>SUBTOTAL(109,Tableau_Lancer_la_requête_à_partir_de_Excel_Files1025678910[''21''])</f>
        <v>0</v>
      </c>
      <c r="Z8" s="107">
        <f>SUBTOTAL(109,Tableau_Lancer_la_requête_à_partir_de_Excel_Files1025678910[''23''])</f>
        <v>0</v>
      </c>
      <c r="AA8" s="107">
        <f>SUBTOTAL(109,Tableau_Lancer_la_requête_à_partir_de_Excel_Files1025678910[''30''])</f>
        <v>0</v>
      </c>
      <c r="AB8" s="107">
        <f>SUBTOTAL(109,Tableau_Lancer_la_requête_à_partir_de_Excel_Files1025678910[''34''])</f>
        <v>0</v>
      </c>
      <c r="AC8" s="107">
        <f>SUBTOTAL(109,Tableau_Lancer_la_requête_à_partir_de_Excel_Files1025678910[''42''])</f>
        <v>0</v>
      </c>
      <c r="AD8" s="107">
        <f>SUBTOTAL(109,Tableau_Lancer_la_requête_à_partir_de_Excel_Files1025678910[''43''])</f>
        <v>0</v>
      </c>
      <c r="AE8" s="107">
        <f>SUBTOTAL(109,Tableau_Lancer_la_requête_à_partir_de_Excel_Files1025678910[''46''])</f>
        <v>0</v>
      </c>
      <c r="AF8" s="107">
        <f>SUBTOTAL(109,Tableau_Lancer_la_requête_à_partir_de_Excel_Files1025678910[''48''])</f>
        <v>0</v>
      </c>
      <c r="AG8" s="107">
        <f>SUBTOTAL(109,Tableau_Lancer_la_requête_à_partir_de_Excel_Files1025678910[''58''])</f>
        <v>0</v>
      </c>
      <c r="AH8" s="107">
        <f>SUBTOTAL(109,Tableau_Lancer_la_requête_à_partir_de_Excel_Files1025678910[''63''])</f>
        <v>0</v>
      </c>
      <c r="AI8" s="107">
        <f>SUBTOTAL(109,Tableau_Lancer_la_requête_à_partir_de_Excel_Files1025678910[''69''])</f>
        <v>0</v>
      </c>
      <c r="AJ8" s="107">
        <f>SUBTOTAL(109,Tableau_Lancer_la_requête_à_partir_de_Excel_Files1025678910[''71''])</f>
        <v>0</v>
      </c>
      <c r="AK8" s="107">
        <f>SUBTOTAL(109,Tableau_Lancer_la_requête_à_partir_de_Excel_Files1025678910[''81''])</f>
        <v>0</v>
      </c>
      <c r="AL8" s="107">
        <f>SUBTOTAL(109,Tableau_Lancer_la_requête_à_partir_de_Excel_Files1025678910[''82''])</f>
        <v>0</v>
      </c>
      <c r="AM8" s="107">
        <f>SUBTOTAL(109,Tableau_Lancer_la_requête_à_partir_de_Excel_Files1025678910[''87''])</f>
        <v>0</v>
      </c>
      <c r="AN8" s="107">
        <f>SUBTOTAL(109,Tableau_Lancer_la_requête_à_partir_de_Excel_Files1025678910[''89''])</f>
        <v>0</v>
      </c>
      <c r="AO8" s="107">
        <f>SUBTOTAL(109,Tableau_Lancer_la_requête_à_partir_de_Excel_Files1025678910[''Autre Public''])</f>
        <v>0</v>
      </c>
      <c r="AP8" s="105"/>
      <c r="AQ8" s="105"/>
      <c r="AR8" s="109"/>
      <c r="AT8" s="82"/>
    </row>
    <row r="9" spans="1:83" s="10" customFormat="1" ht="15.75" thickBot="1" x14ac:dyDescent="0.3">
      <c r="A9" s="3"/>
      <c r="B9" s="4"/>
      <c r="C9" s="5"/>
      <c r="D9" s="3"/>
      <c r="E9" s="3"/>
      <c r="F9" s="6"/>
      <c r="G9" s="3"/>
      <c r="H9" s="6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T9" s="48"/>
    </row>
    <row r="10" spans="1:83" s="10" customFormat="1" ht="15.75" thickTop="1" x14ac:dyDescent="0.25">
      <c r="A10" s="3"/>
      <c r="B10" s="4"/>
      <c r="C10" s="5"/>
      <c r="D10" s="3"/>
      <c r="E10" s="3"/>
      <c r="F10" s="6"/>
      <c r="G10" s="3"/>
      <c r="H10" s="6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29"/>
    </row>
    <row r="11" spans="1:83" s="10" customFormat="1" x14ac:dyDescent="0.25">
      <c r="A11" s="3"/>
      <c r="B11" s="4"/>
      <c r="C11" s="5"/>
      <c r="D11" s="3"/>
      <c r="E11" s="3"/>
      <c r="F11" s="6"/>
      <c r="G11" s="3"/>
      <c r="H11" s="6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83" x14ac:dyDescent="0.25">
      <c r="CB12" s="4"/>
      <c r="CE12" s="3"/>
    </row>
    <row r="13" spans="1:83" x14ac:dyDescent="0.25">
      <c r="CB13" s="4"/>
      <c r="CE13" s="3"/>
    </row>
    <row r="14" spans="1:83" x14ac:dyDescent="0.25">
      <c r="CB14" s="4"/>
      <c r="CE14" s="3"/>
    </row>
    <row r="15" spans="1:83" x14ac:dyDescent="0.25">
      <c r="CB15" s="4"/>
      <c r="CE15" s="3"/>
    </row>
    <row r="16" spans="1:83" x14ac:dyDescent="0.25">
      <c r="CB16" s="4"/>
      <c r="CE16" s="3"/>
    </row>
    <row r="17" spans="1:83" s="7" customFormat="1" x14ac:dyDescent="0.25">
      <c r="A17" s="3"/>
      <c r="B17" s="4"/>
      <c r="C17" s="5"/>
      <c r="D17" s="3"/>
      <c r="E17" s="3"/>
      <c r="F17" s="6"/>
      <c r="G17" s="3"/>
      <c r="H17" s="6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</row>
    <row r="18" spans="1:83" s="10" customFormat="1" x14ac:dyDescent="0.25">
      <c r="A18" s="3"/>
      <c r="B18" s="4"/>
      <c r="C18" s="5"/>
      <c r="D18" s="3"/>
      <c r="E18" s="3" t="s">
        <v>81</v>
      </c>
      <c r="F18" s="6" t="s">
        <v>79</v>
      </c>
      <c r="G18" s="3"/>
      <c r="H18" s="6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83" hidden="1" x14ac:dyDescent="0.25">
      <c r="D19" t="s">
        <v>55</v>
      </c>
      <c r="E19" s="3">
        <f>H19+AO19</f>
        <v>0</v>
      </c>
      <c r="F19" s="3">
        <f>I19+AP19</f>
        <v>0</v>
      </c>
      <c r="H19" s="3">
        <f>SUMIF(Tableau_Lancer_la_requête_à_partir_de_Excel_Files1025678910[Avis Prog],"1-Favorable",Tableau_Lancer_la_requête_à_partir_de_Excel_Files1025678910[''FEDER''])</f>
        <v>0</v>
      </c>
      <c r="I19" s="3">
        <f>SUMIF(Tableau_Lancer_la_requête_à_partir_de_Excel_Files1025678910[Avis Cofimac],"1-Favorable",Tableau_Lancer_la_requête_à_partir_de_Excel_Files1025678910[''FEDER''])</f>
        <v>0</v>
      </c>
      <c r="AO19" s="3">
        <f>SUMIF(Tableau_Lancer_la_requête_à_partir_de_Excel_Files1025678910[Avis Prog],"2-Favorable sous réserve",Tableau_Lancer_la_requête_à_partir_de_Excel_Files1025678910[''FEDER''])</f>
        <v>0</v>
      </c>
      <c r="AP19" s="3">
        <f>SUMIF(Tableau_Lancer_la_requête_à_partir_de_Excel_Files1025678910[Avis Cofimac],"2-Favorable sous réserve",Tableau_Lancer_la_requête_à_partir_de_Excel_Files1025678910[''FEDER''])</f>
        <v>0</v>
      </c>
      <c r="CD19" s="4"/>
      <c r="CE19" s="3"/>
    </row>
    <row r="20" spans="1:83" hidden="1" x14ac:dyDescent="0.25">
      <c r="D20" t="s">
        <v>44</v>
      </c>
      <c r="E20" s="3">
        <f t="shared" ref="E20:E48" si="0">H20+AO20</f>
        <v>0</v>
      </c>
      <c r="F20" s="3">
        <f t="shared" ref="F20:F48" si="1">I20+AP20</f>
        <v>0</v>
      </c>
      <c r="H20" s="3">
        <f>SUMIF(Tableau_Lancer_la_requête_à_partir_de_Excel_Files1025678910[Avis Prog],"1-Favorable",Tableau_Lancer_la_requête_à_partir_de_Excel_Files1025678910[Total Etat])</f>
        <v>0</v>
      </c>
      <c r="I20" s="3">
        <f>SUMIF(Tableau_Lancer_la_requête_à_partir_de_Excel_Files1025678910[Avis Cofimac],"1-Favorable",Tableau_Lancer_la_requête_à_partir_de_Excel_Files1025678910[Total Etat])</f>
        <v>0</v>
      </c>
      <c r="AO20" s="3">
        <f>SUMIF(Tableau_Lancer_la_requête_à_partir_de_Excel_Files1025678910[Avis Prog],"2-Favorable sous réserve",Tableau_Lancer_la_requête_à_partir_de_Excel_Files1025678910[Total Etat])</f>
        <v>0</v>
      </c>
      <c r="AP20" s="3">
        <f>SUMIF(Tableau_Lancer_la_requête_à_partir_de_Excel_Files1025678910[Avis Cofimac],"2-Favorable sous réserve",Tableau_Lancer_la_requête_à_partir_de_Excel_Files1025678910[Total Etat])</f>
        <v>0</v>
      </c>
    </row>
    <row r="21" spans="1:83" hidden="1" x14ac:dyDescent="0.25">
      <c r="D21" t="s">
        <v>45</v>
      </c>
      <c r="E21" s="3">
        <f t="shared" si="0"/>
        <v>0</v>
      </c>
      <c r="F21" s="3">
        <f t="shared" si="1"/>
        <v>0</v>
      </c>
      <c r="H21" s="3">
        <f>SUMIF(Tableau_Lancer_la_requête_à_partir_de_Excel_Files1025678910[Avis Prog],"1-Favorable",Tableau_Lancer_la_requête_à_partir_de_Excel_Files1025678910[Total Régions])</f>
        <v>0</v>
      </c>
      <c r="I21" s="3">
        <f>SUMIF(Tableau_Lancer_la_requête_à_partir_de_Excel_Files1025678910[Avis Cofimac],"1-Favorable",Tableau_Lancer_la_requête_à_partir_de_Excel_Files1025678910[Total Régions])</f>
        <v>0</v>
      </c>
      <c r="AO21" s="3">
        <f>SUMIF(Tableau_Lancer_la_requête_à_partir_de_Excel_Files1025678910[Avis Prog],"2-Favorable sous réserve",Tableau_Lancer_la_requête_à_partir_de_Excel_Files1025678910[Total Régions])</f>
        <v>0</v>
      </c>
      <c r="AP21" s="3">
        <f>SUMIF(Tableau_Lancer_la_requête_à_partir_de_Excel_Files1025678910[Avis Cofimac],"2-Favorable sous réserve",Tableau_Lancer_la_requête_à_partir_de_Excel_Files1025678910[Total Régions])</f>
        <v>0</v>
      </c>
    </row>
    <row r="22" spans="1:83" hidden="1" x14ac:dyDescent="0.25">
      <c r="D22" s="3" t="s">
        <v>56</v>
      </c>
      <c r="E22" s="3">
        <f t="shared" si="0"/>
        <v>0</v>
      </c>
      <c r="F22" s="3">
        <f t="shared" si="1"/>
        <v>0</v>
      </c>
      <c r="H22" s="3">
        <f>SUMIF(Tableau_Lancer_la_requête_à_partir_de_Excel_Files1025678910[Avis Prog],"1-Favorable",Tableau_Lancer_la_requête_à_partir_de_Excel_Files1025678910[''ALPC''])</f>
        <v>0</v>
      </c>
      <c r="I22" s="3">
        <f>SUMIF(Tableau_Lancer_la_requête_à_partir_de_Excel_Files1025678910[Avis Cofimac],"1-Favorable",Tableau_Lancer_la_requête_à_partir_de_Excel_Files1025678910[''ALPC''])</f>
        <v>0</v>
      </c>
      <c r="AO22" s="3">
        <f>SUMIF(Tableau_Lancer_la_requête_à_partir_de_Excel_Files1025678910[Avis Prog],"2-Favorable sous réserve",Tableau_Lancer_la_requête_à_partir_de_Excel_Files1025678910[''ALPC''])</f>
        <v>0</v>
      </c>
      <c r="AP22" s="3">
        <f>SUMIF(Tableau_Lancer_la_requête_à_partir_de_Excel_Files1025678910[Avis Cofimac],"2-Favorable sous réserve",Tableau_Lancer_la_requête_à_partir_de_Excel_Files1025678910[''ALPC''])</f>
        <v>0</v>
      </c>
    </row>
    <row r="23" spans="1:83" hidden="1" x14ac:dyDescent="0.25">
      <c r="D23" s="3" t="s">
        <v>57</v>
      </c>
      <c r="E23" s="3">
        <f t="shared" si="0"/>
        <v>0</v>
      </c>
      <c r="F23" s="3">
        <f t="shared" si="1"/>
        <v>0</v>
      </c>
      <c r="H23" s="3">
        <f>SUMIF(Tableau_Lancer_la_requête_à_partir_de_Excel_Files1025678910[Avis Prog],"1-Favorable",Tableau_Lancer_la_requête_à_partir_de_Excel_Files1025678910[''AURA''])</f>
        <v>0</v>
      </c>
      <c r="I23" s="3">
        <f>SUMIF(Tableau_Lancer_la_requête_à_partir_de_Excel_Files1025678910[Avis Cofimac],"1-Favorable",Tableau_Lancer_la_requête_à_partir_de_Excel_Files1025678910[''AURA''])</f>
        <v>0</v>
      </c>
      <c r="AO23" s="3">
        <f>SUMIF(Tableau_Lancer_la_requête_à_partir_de_Excel_Files1025678910[Avis Prog],"2-Favorable sous réserve",Tableau_Lancer_la_requête_à_partir_de_Excel_Files1025678910[''AURA''])</f>
        <v>0</v>
      </c>
      <c r="AP23" s="3">
        <f>SUMIF(Tableau_Lancer_la_requête_à_partir_de_Excel_Files1025678910[Avis Cofimac],"2-Favorable sous réserve",Tableau_Lancer_la_requête_à_partir_de_Excel_Files1025678910[''AURA''])</f>
        <v>0</v>
      </c>
    </row>
    <row r="24" spans="1:83" hidden="1" x14ac:dyDescent="0.25">
      <c r="D24" s="3" t="s">
        <v>58</v>
      </c>
      <c r="E24" s="3">
        <f t="shared" si="0"/>
        <v>0</v>
      </c>
      <c r="F24" s="3">
        <f t="shared" si="1"/>
        <v>0</v>
      </c>
      <c r="H24" s="3">
        <f>SUMIF(Tableau_Lancer_la_requête_à_partir_de_Excel_Files1025678910[Avis Prog],"1-Favorable",Tableau_Lancer_la_requête_à_partir_de_Excel_Files1025678910[''BFC''])</f>
        <v>0</v>
      </c>
      <c r="I24" s="3">
        <f>SUMIF(Tableau_Lancer_la_requête_à_partir_de_Excel_Files1025678910[Avis Cofimac],"1-Favorable",Tableau_Lancer_la_requête_à_partir_de_Excel_Files1025678910[''BFC''])</f>
        <v>0</v>
      </c>
      <c r="AO24" s="3">
        <f>SUMIF(Tableau_Lancer_la_requête_à_partir_de_Excel_Files1025678910[Avis Prog],"2-Favorable sous réserve",Tableau_Lancer_la_requête_à_partir_de_Excel_Files1025678910[''BFC''])</f>
        <v>0</v>
      </c>
      <c r="AP24" s="3">
        <f>SUMIF(Tableau_Lancer_la_requête_à_partir_de_Excel_Files1025678910[Avis Cofimac],"2-Favorable sous réserve",Tableau_Lancer_la_requête_à_partir_de_Excel_Files1025678910[''BFC''])</f>
        <v>0</v>
      </c>
    </row>
    <row r="25" spans="1:83" hidden="1" x14ac:dyDescent="0.25">
      <c r="D25" s="3" t="s">
        <v>59</v>
      </c>
      <c r="E25" s="3">
        <f t="shared" si="0"/>
        <v>0</v>
      </c>
      <c r="F25" s="3">
        <f t="shared" si="1"/>
        <v>0</v>
      </c>
      <c r="H25" s="3">
        <f>SUMIF(Tableau_Lancer_la_requête_à_partir_de_Excel_Files1025678910[Avis Prog],"1-Favorable",Tableau_Lancer_la_requête_à_partir_de_Excel_Files1025678910[''LRMP''])</f>
        <v>0</v>
      </c>
      <c r="I25" s="3">
        <f>SUMIF(Tableau_Lancer_la_requête_à_partir_de_Excel_Files1025678910[Avis Cofimac],"1-Favorable",Tableau_Lancer_la_requête_à_partir_de_Excel_Files1025678910[''LRMP''])</f>
        <v>0</v>
      </c>
      <c r="AO25" s="3">
        <f>SUMIF(Tableau_Lancer_la_requête_à_partir_de_Excel_Files1025678910[Avis Prog],"2-Favorable sous réserve",Tableau_Lancer_la_requête_à_partir_de_Excel_Files1025678910[''LRMP''])</f>
        <v>0</v>
      </c>
      <c r="AP25" s="3">
        <f>SUMIF(Tableau_Lancer_la_requête_à_partir_de_Excel_Files1025678910[Avis Cofimac],"2-Favorable sous réserve",Tableau_Lancer_la_requête_à_partir_de_Excel_Files1025678910[''LRMP''])</f>
        <v>0</v>
      </c>
    </row>
    <row r="26" spans="1:83" hidden="1" x14ac:dyDescent="0.25">
      <c r="D26" t="s">
        <v>46</v>
      </c>
      <c r="E26" s="3">
        <f t="shared" si="0"/>
        <v>0</v>
      </c>
      <c r="F26" s="3">
        <f t="shared" si="1"/>
        <v>0</v>
      </c>
      <c r="H26" s="3">
        <f>SUMIF(Tableau_Lancer_la_requête_à_partir_de_Excel_Files1025678910[Avis Prog],"1-Favorable",Tableau_Lancer_la_requête_à_partir_de_Excel_Files1025678910[Total Dpts])</f>
        <v>0</v>
      </c>
      <c r="I26" s="3">
        <f>SUMIF(Tableau_Lancer_la_requête_à_partir_de_Excel_Files1025678910[Avis Cofimac],"1-Favorable",Tableau_Lancer_la_requête_à_partir_de_Excel_Files1025678910[Total Dpts])</f>
        <v>0</v>
      </c>
      <c r="AO26" s="3">
        <f>SUMIF(Tableau_Lancer_la_requête_à_partir_de_Excel_Files1025678910[Avis Prog],"2-Favorable sous réserve",Tableau_Lancer_la_requête_à_partir_de_Excel_Files1025678910[Total Dpts])</f>
        <v>0</v>
      </c>
      <c r="AP26" s="3">
        <f>SUMIF(Tableau_Lancer_la_requête_à_partir_de_Excel_Files1025678910[Avis Cofimac],"2-Favorable sous réserve",Tableau_Lancer_la_requête_à_partir_de_Excel_Files1025678910[Total Dpts])</f>
        <v>0</v>
      </c>
    </row>
    <row r="27" spans="1:83" hidden="1" x14ac:dyDescent="0.25">
      <c r="D27" t="s">
        <v>20</v>
      </c>
      <c r="E27" s="3">
        <f t="shared" si="0"/>
        <v>0</v>
      </c>
      <c r="F27" s="3">
        <f t="shared" si="1"/>
        <v>0</v>
      </c>
      <c r="H27" s="3">
        <f>SUMIF(Tableau_Lancer_la_requête_à_partir_de_Excel_Files1025678910[Avis Prog],"1-Favorable",Tableau_Lancer_la_requête_à_partir_de_Excel_Files1025678910[''03''])</f>
        <v>0</v>
      </c>
      <c r="I27" s="3">
        <f>SUMIF(Tableau_Lancer_la_requête_à_partir_de_Excel_Files1025678910[Avis Cofimac],"1-Favorable",Tableau_Lancer_la_requête_à_partir_de_Excel_Files1025678910[''03''])</f>
        <v>0</v>
      </c>
      <c r="AO27" s="3">
        <f>SUMIF(Tableau_Lancer_la_requête_à_partir_de_Excel_Files1025678910[Avis Prog],"2-Favorable sous réserve",Tableau_Lancer_la_requête_à_partir_de_Excel_Files1025678910[''03''])</f>
        <v>0</v>
      </c>
      <c r="AP27" s="3">
        <f>SUMIF(Tableau_Lancer_la_requête_à_partir_de_Excel_Files1025678910[Avis Cofimac],"2-Favorable sous réserve",Tableau_Lancer_la_requête_à_partir_de_Excel_Files1025678910[''03''])</f>
        <v>0</v>
      </c>
    </row>
    <row r="28" spans="1:83" hidden="1" x14ac:dyDescent="0.25">
      <c r="D28" t="s">
        <v>21</v>
      </c>
      <c r="E28" s="3">
        <f t="shared" si="0"/>
        <v>0</v>
      </c>
      <c r="F28" s="3">
        <f t="shared" si="1"/>
        <v>0</v>
      </c>
      <c r="H28" s="3">
        <f>SUMIF(Tableau_Lancer_la_requête_à_partir_de_Excel_Files1025678910[Avis Prog],"1-Favorable",Tableau_Lancer_la_requête_à_partir_de_Excel_Files1025678910[''07''])</f>
        <v>0</v>
      </c>
      <c r="I28" s="3">
        <f>SUMIF(Tableau_Lancer_la_requête_à_partir_de_Excel_Files1025678910[Avis Cofimac],"1-Favorable",Tableau_Lancer_la_requête_à_partir_de_Excel_Files1025678910[''07''])</f>
        <v>0</v>
      </c>
      <c r="AO28" s="3">
        <f>SUMIF(Tableau_Lancer_la_requête_à_partir_de_Excel_Files1025678910[Avis Prog],"2-Favorable sous réserve",Tableau_Lancer_la_requête_à_partir_de_Excel_Files1025678910[''07''])</f>
        <v>0</v>
      </c>
      <c r="AP28" s="3">
        <f>SUMIF(Tableau_Lancer_la_requête_à_partir_de_Excel_Files1025678910[Avis Cofimac],"2-Favorable sous réserve",Tableau_Lancer_la_requête_à_partir_de_Excel_Files1025678910[''07''])</f>
        <v>0</v>
      </c>
    </row>
    <row r="29" spans="1:83" hidden="1" x14ac:dyDescent="0.25">
      <c r="D29" t="s">
        <v>22</v>
      </c>
      <c r="E29" s="3">
        <f t="shared" si="0"/>
        <v>0</v>
      </c>
      <c r="F29" s="3">
        <f t="shared" si="1"/>
        <v>0</v>
      </c>
      <c r="H29" s="3">
        <f>SUMIF(Tableau_Lancer_la_requête_à_partir_de_Excel_Files1025678910[Avis Prog],"1-Favorable",Tableau_Lancer_la_requête_à_partir_de_Excel_Files1025678910[''11''])</f>
        <v>0</v>
      </c>
      <c r="I29" s="3">
        <f>SUMIF(Tableau_Lancer_la_requête_à_partir_de_Excel_Files1025678910[Avis Cofimac],"1-Favorable",Tableau_Lancer_la_requête_à_partir_de_Excel_Files1025678910[''11''])</f>
        <v>0</v>
      </c>
      <c r="AO29" s="3">
        <f>SUMIF(Tableau_Lancer_la_requête_à_partir_de_Excel_Files1025678910[Avis Prog],"2-Favorable sous réserve",Tableau_Lancer_la_requête_à_partir_de_Excel_Files1025678910[''11''])</f>
        <v>0</v>
      </c>
      <c r="AP29" s="3">
        <f>SUMIF(Tableau_Lancer_la_requête_à_partir_de_Excel_Files1025678910[Avis Cofimac],"2-Favorable sous réserve",Tableau_Lancer_la_requête_à_partir_de_Excel_Files1025678910[''11''])</f>
        <v>0</v>
      </c>
    </row>
    <row r="30" spans="1:83" hidden="1" x14ac:dyDescent="0.25">
      <c r="D30" t="s">
        <v>23</v>
      </c>
      <c r="E30" s="3">
        <f t="shared" si="0"/>
        <v>0</v>
      </c>
      <c r="F30" s="3">
        <f t="shared" si="1"/>
        <v>0</v>
      </c>
      <c r="H30" s="3">
        <f>SUMIF(Tableau_Lancer_la_requête_à_partir_de_Excel_Files1025678910[Avis Prog],"1-Favorable",Tableau_Lancer_la_requête_à_partir_de_Excel_Files1025678910[''12''])</f>
        <v>0</v>
      </c>
      <c r="I30" s="3">
        <f>SUMIF(Tableau_Lancer_la_requête_à_partir_de_Excel_Files1025678910[Avis Cofimac],"1-Favorable",Tableau_Lancer_la_requête_à_partir_de_Excel_Files1025678910[''12''])</f>
        <v>0</v>
      </c>
      <c r="AO30" s="3">
        <f>SUMIF(Tableau_Lancer_la_requête_à_partir_de_Excel_Files1025678910[Avis Prog],"2-Favorable sous réserve",Tableau_Lancer_la_requête_à_partir_de_Excel_Files1025678910[''12''])</f>
        <v>0</v>
      </c>
      <c r="AP30" s="3">
        <f>SUMIF(Tableau_Lancer_la_requête_à_partir_de_Excel_Files1025678910[Avis Cofimac],"2-Favorable sous réserve",Tableau_Lancer_la_requête_à_partir_de_Excel_Files1025678910[''12''])</f>
        <v>0</v>
      </c>
    </row>
    <row r="31" spans="1:83" hidden="1" x14ac:dyDescent="0.25">
      <c r="D31" t="s">
        <v>24</v>
      </c>
      <c r="E31" s="3">
        <f t="shared" si="0"/>
        <v>0</v>
      </c>
      <c r="F31" s="3">
        <f t="shared" si="1"/>
        <v>0</v>
      </c>
      <c r="H31" s="3">
        <f>SUMIF(Tableau_Lancer_la_requête_à_partir_de_Excel_Files1025678910[Avis Prog],"1-Favorable",Tableau_Lancer_la_requête_à_partir_de_Excel_Files1025678910[''15''])</f>
        <v>0</v>
      </c>
      <c r="I31" s="3">
        <f>SUMIF(Tableau_Lancer_la_requête_à_partir_de_Excel_Files1025678910[Avis Cofimac],"1-Favorable",Tableau_Lancer_la_requête_à_partir_de_Excel_Files1025678910[''15''])</f>
        <v>0</v>
      </c>
      <c r="AO31" s="3">
        <f>SUMIF(Tableau_Lancer_la_requête_à_partir_de_Excel_Files1025678910[Avis Prog],"2-Favorable sous réserve",Tableau_Lancer_la_requête_à_partir_de_Excel_Files1025678910[''15''])</f>
        <v>0</v>
      </c>
      <c r="AP31" s="3">
        <f>SUMIF(Tableau_Lancer_la_requête_à_partir_de_Excel_Files1025678910[Avis Cofimac],"2-Favorable sous réserve",Tableau_Lancer_la_requête_à_partir_de_Excel_Files1025678910[''15''])</f>
        <v>0</v>
      </c>
    </row>
    <row r="32" spans="1:83" hidden="1" x14ac:dyDescent="0.25">
      <c r="D32" t="s">
        <v>25</v>
      </c>
      <c r="E32" s="3">
        <f t="shared" si="0"/>
        <v>0</v>
      </c>
      <c r="F32" s="3">
        <f t="shared" si="1"/>
        <v>0</v>
      </c>
      <c r="H32" s="3">
        <f>SUMIF(Tableau_Lancer_la_requête_à_partir_de_Excel_Files1025678910[Avis Prog],"1-Favorable",Tableau_Lancer_la_requête_à_partir_de_Excel_Files1025678910[''19''])</f>
        <v>0</v>
      </c>
      <c r="I32" s="3">
        <f>SUMIF(Tableau_Lancer_la_requête_à_partir_de_Excel_Files1025678910[Avis Cofimac],"1-Favorable",Tableau_Lancer_la_requête_à_partir_de_Excel_Files1025678910[''19''])</f>
        <v>0</v>
      </c>
      <c r="AO32" s="3">
        <f>SUMIF(Tableau_Lancer_la_requête_à_partir_de_Excel_Files1025678910[Avis Prog],"2-Favorable sous réserve",Tableau_Lancer_la_requête_à_partir_de_Excel_Files1025678910[''19''])</f>
        <v>0</v>
      </c>
      <c r="AP32" s="3">
        <f>SUMIF(Tableau_Lancer_la_requête_à_partir_de_Excel_Files1025678910[Avis Cofimac],"2-Favorable sous réserve",Tableau_Lancer_la_requête_à_partir_de_Excel_Files1025678910[''19''])</f>
        <v>0</v>
      </c>
    </row>
    <row r="33" spans="4:42" hidden="1" x14ac:dyDescent="0.25">
      <c r="D33" t="s">
        <v>26</v>
      </c>
      <c r="E33" s="3">
        <f t="shared" si="0"/>
        <v>0</v>
      </c>
      <c r="F33" s="3">
        <f t="shared" si="1"/>
        <v>0</v>
      </c>
      <c r="H33" s="3">
        <f>SUMIF(Tableau_Lancer_la_requête_à_partir_de_Excel_Files1025678910[Avis Prog],"1-Favorable",Tableau_Lancer_la_requête_à_partir_de_Excel_Files1025678910[''21''])</f>
        <v>0</v>
      </c>
      <c r="I33" s="3">
        <f>SUMIF(Tableau_Lancer_la_requête_à_partir_de_Excel_Files1025678910[Avis Cofimac],"1-Favorable",Tableau_Lancer_la_requête_à_partir_de_Excel_Files1025678910[''21''])</f>
        <v>0</v>
      </c>
      <c r="AO33" s="3">
        <f>SUMIF(Tableau_Lancer_la_requête_à_partir_de_Excel_Files1025678910[Avis Prog],"2-Favorable sous réserve",Tableau_Lancer_la_requête_à_partir_de_Excel_Files1025678910[''21''])</f>
        <v>0</v>
      </c>
      <c r="AP33" s="3">
        <f>SUMIF(Tableau_Lancer_la_requête_à_partir_de_Excel_Files1025678910[Avis Cofimac],"2-Favorable sous réserve",Tableau_Lancer_la_requête_à_partir_de_Excel_Files1025678910[''21''])</f>
        <v>0</v>
      </c>
    </row>
    <row r="34" spans="4:42" hidden="1" x14ac:dyDescent="0.25">
      <c r="D34" t="s">
        <v>27</v>
      </c>
      <c r="E34" s="3">
        <f t="shared" si="0"/>
        <v>0</v>
      </c>
      <c r="F34" s="3">
        <f t="shared" si="1"/>
        <v>0</v>
      </c>
      <c r="H34" s="3">
        <f>SUMIF(Tableau_Lancer_la_requête_à_partir_de_Excel_Files1025678910[Avis Prog],"1-Favorable",Tableau_Lancer_la_requête_à_partir_de_Excel_Files1025678910[''23''])</f>
        <v>0</v>
      </c>
      <c r="I34" s="3">
        <f>SUMIF(Tableau_Lancer_la_requête_à_partir_de_Excel_Files1025678910[Avis Cofimac],"1-Favorable",Tableau_Lancer_la_requête_à_partir_de_Excel_Files1025678910[''23''])</f>
        <v>0</v>
      </c>
      <c r="AO34" s="3">
        <f>SUMIF(Tableau_Lancer_la_requête_à_partir_de_Excel_Files1025678910[Avis Prog],"2-Favorable sous réserve",Tableau_Lancer_la_requête_à_partir_de_Excel_Files1025678910[''23''])</f>
        <v>0</v>
      </c>
      <c r="AP34" s="3">
        <f>SUMIF(Tableau_Lancer_la_requête_à_partir_de_Excel_Files1025678910[Avis Cofimac],"2-Favorable sous réserve",Tableau_Lancer_la_requête_à_partir_de_Excel_Files1025678910[''23''])</f>
        <v>0</v>
      </c>
    </row>
    <row r="35" spans="4:42" hidden="1" x14ac:dyDescent="0.25">
      <c r="D35" t="s">
        <v>28</v>
      </c>
      <c r="E35" s="3">
        <f t="shared" si="0"/>
        <v>0</v>
      </c>
      <c r="F35" s="3">
        <f t="shared" si="1"/>
        <v>0</v>
      </c>
      <c r="H35" s="3">
        <f>SUMIF(Tableau_Lancer_la_requête_à_partir_de_Excel_Files1025678910[Avis Prog],"1-Favorable",Tableau_Lancer_la_requête_à_partir_de_Excel_Files1025678910[''30''])</f>
        <v>0</v>
      </c>
      <c r="I35" s="3">
        <f>SUMIF(Tableau_Lancer_la_requête_à_partir_de_Excel_Files1025678910[Avis Cofimac],"1-Favorable",Tableau_Lancer_la_requête_à_partir_de_Excel_Files1025678910[''30''])</f>
        <v>0</v>
      </c>
      <c r="AO35" s="3">
        <f>SUMIF(Tableau_Lancer_la_requête_à_partir_de_Excel_Files1025678910[Avis Prog],"2-Favorable sous réserve",Tableau_Lancer_la_requête_à_partir_de_Excel_Files1025678910[''30''])</f>
        <v>0</v>
      </c>
      <c r="AP35" s="3">
        <f>SUMIF(Tableau_Lancer_la_requête_à_partir_de_Excel_Files1025678910[Avis Cofimac],"2-Favorable sous réserve",Tableau_Lancer_la_requête_à_partir_de_Excel_Files1025678910[''30''])</f>
        <v>0</v>
      </c>
    </row>
    <row r="36" spans="4:42" hidden="1" x14ac:dyDescent="0.25">
      <c r="D36" t="s">
        <v>29</v>
      </c>
      <c r="E36" s="3">
        <f t="shared" si="0"/>
        <v>0</v>
      </c>
      <c r="F36" s="3">
        <f t="shared" si="1"/>
        <v>0</v>
      </c>
      <c r="H36" s="3">
        <f>SUMIF(Tableau_Lancer_la_requête_à_partir_de_Excel_Files1025678910[Avis Prog],"1-Favorable",Tableau_Lancer_la_requête_à_partir_de_Excel_Files1025678910[''34''])</f>
        <v>0</v>
      </c>
      <c r="I36" s="3">
        <f>SUMIF(Tableau_Lancer_la_requête_à_partir_de_Excel_Files1025678910[Avis Cofimac],"1-Favorable",Tableau_Lancer_la_requête_à_partir_de_Excel_Files1025678910[''34''])</f>
        <v>0</v>
      </c>
      <c r="AO36" s="3">
        <f>SUMIF(Tableau_Lancer_la_requête_à_partir_de_Excel_Files1025678910[Avis Prog],"2-Favorable sous réserve",Tableau_Lancer_la_requête_à_partir_de_Excel_Files1025678910[''34''])</f>
        <v>0</v>
      </c>
      <c r="AP36" s="3">
        <f>SUMIF(Tableau_Lancer_la_requête_à_partir_de_Excel_Files1025678910[Avis Cofimac],"2-Favorable sous réserve",Tableau_Lancer_la_requête_à_partir_de_Excel_Files1025678910[''34''])</f>
        <v>0</v>
      </c>
    </row>
    <row r="37" spans="4:42" hidden="1" x14ac:dyDescent="0.25">
      <c r="D37" t="s">
        <v>30</v>
      </c>
      <c r="E37" s="3">
        <f t="shared" si="0"/>
        <v>0</v>
      </c>
      <c r="F37" s="3">
        <f t="shared" si="1"/>
        <v>0</v>
      </c>
      <c r="H37" s="3">
        <f>SUMIF(Tableau_Lancer_la_requête_à_partir_de_Excel_Files1025678910[Avis Prog],"1-Favorable",Tableau_Lancer_la_requête_à_partir_de_Excel_Files1025678910[''42''])</f>
        <v>0</v>
      </c>
      <c r="I37" s="3">
        <f>SUMIF(Tableau_Lancer_la_requête_à_partir_de_Excel_Files1025678910[Avis Cofimac],"1-Favorable",Tableau_Lancer_la_requête_à_partir_de_Excel_Files1025678910[''42''])</f>
        <v>0</v>
      </c>
      <c r="AO37" s="3">
        <f>SUMIF(Tableau_Lancer_la_requête_à_partir_de_Excel_Files1025678910[Avis Prog],"2-Favorable sous réserve",Tableau_Lancer_la_requête_à_partir_de_Excel_Files1025678910[''42''])</f>
        <v>0</v>
      </c>
      <c r="AP37" s="3">
        <f>SUMIF(Tableau_Lancer_la_requête_à_partir_de_Excel_Files1025678910[Avis Cofimac],"2-Favorable sous réserve",Tableau_Lancer_la_requête_à_partir_de_Excel_Files1025678910[''42''])</f>
        <v>0</v>
      </c>
    </row>
    <row r="38" spans="4:42" hidden="1" x14ac:dyDescent="0.25">
      <c r="D38" t="s">
        <v>31</v>
      </c>
      <c r="E38" s="3">
        <f t="shared" si="0"/>
        <v>0</v>
      </c>
      <c r="F38" s="3">
        <f t="shared" si="1"/>
        <v>0</v>
      </c>
      <c r="H38" s="3">
        <f>SUMIF(Tableau_Lancer_la_requête_à_partir_de_Excel_Files1025678910[Avis Prog],"1-Favorable",Tableau_Lancer_la_requête_à_partir_de_Excel_Files1025678910[''43''])</f>
        <v>0</v>
      </c>
      <c r="I38" s="3">
        <f>SUMIF(Tableau_Lancer_la_requête_à_partir_de_Excel_Files1025678910[Avis Cofimac],"1-Favorable",Tableau_Lancer_la_requête_à_partir_de_Excel_Files1025678910[''43''])</f>
        <v>0</v>
      </c>
      <c r="AO38" s="3">
        <f>SUMIF(Tableau_Lancer_la_requête_à_partir_de_Excel_Files1025678910[Avis Prog],"2-Favorable sous réserve",Tableau_Lancer_la_requête_à_partir_de_Excel_Files1025678910[''43''])</f>
        <v>0</v>
      </c>
      <c r="AP38" s="3">
        <f>SUMIF(Tableau_Lancer_la_requête_à_partir_de_Excel_Files1025678910[Avis Cofimac],"2-Favorable sous réserve",Tableau_Lancer_la_requête_à_partir_de_Excel_Files1025678910[''43''])</f>
        <v>0</v>
      </c>
    </row>
    <row r="39" spans="4:42" hidden="1" x14ac:dyDescent="0.25">
      <c r="D39" t="s">
        <v>32</v>
      </c>
      <c r="E39" s="3">
        <f t="shared" si="0"/>
        <v>0</v>
      </c>
      <c r="F39" s="3">
        <f t="shared" si="1"/>
        <v>0</v>
      </c>
      <c r="H39" s="3">
        <f>SUMIF(Tableau_Lancer_la_requête_à_partir_de_Excel_Files1025678910[Avis Prog],"1-Favorable",Tableau_Lancer_la_requête_à_partir_de_Excel_Files1025678910[''46''])</f>
        <v>0</v>
      </c>
      <c r="I39" s="3">
        <f>SUMIF(Tableau_Lancer_la_requête_à_partir_de_Excel_Files1025678910[Avis Cofimac],"1-Favorable",Tableau_Lancer_la_requête_à_partir_de_Excel_Files1025678910[''46''])</f>
        <v>0</v>
      </c>
      <c r="AO39" s="3">
        <f>SUMIF(Tableau_Lancer_la_requête_à_partir_de_Excel_Files1025678910[Avis Prog],"2-Favorable sous réserve",Tableau_Lancer_la_requête_à_partir_de_Excel_Files1025678910[''46''])</f>
        <v>0</v>
      </c>
      <c r="AP39" s="3">
        <f>SUMIF(Tableau_Lancer_la_requête_à_partir_de_Excel_Files1025678910[Avis Cofimac],"2-Favorable sous réserve",Tableau_Lancer_la_requête_à_partir_de_Excel_Files1025678910[''46''])</f>
        <v>0</v>
      </c>
    </row>
    <row r="40" spans="4:42" hidden="1" x14ac:dyDescent="0.25">
      <c r="D40" t="s">
        <v>33</v>
      </c>
      <c r="E40" s="3">
        <f t="shared" si="0"/>
        <v>0</v>
      </c>
      <c r="F40" s="3">
        <f t="shared" si="1"/>
        <v>0</v>
      </c>
      <c r="H40" s="3">
        <f>SUMIF(Tableau_Lancer_la_requête_à_partir_de_Excel_Files1025678910[Avis Prog],"1-Favorable",Tableau_Lancer_la_requête_à_partir_de_Excel_Files1025678910[''48''])</f>
        <v>0</v>
      </c>
      <c r="I40" s="3">
        <f>SUMIF(Tableau_Lancer_la_requête_à_partir_de_Excel_Files1025678910[Avis Cofimac],"1-Favorable",Tableau_Lancer_la_requête_à_partir_de_Excel_Files1025678910[''48''])</f>
        <v>0</v>
      </c>
      <c r="AO40" s="3">
        <f>SUMIF(Tableau_Lancer_la_requête_à_partir_de_Excel_Files1025678910[Avis Prog],"2-Favorable sous réserve",Tableau_Lancer_la_requête_à_partir_de_Excel_Files1025678910[''48''])</f>
        <v>0</v>
      </c>
      <c r="AP40" s="3">
        <f>SUMIF(Tableau_Lancer_la_requête_à_partir_de_Excel_Files1025678910[Avis Cofimac],"2-Favorable sous réserve",Tableau_Lancer_la_requête_à_partir_de_Excel_Files1025678910[''48''])</f>
        <v>0</v>
      </c>
    </row>
    <row r="41" spans="4:42" hidden="1" x14ac:dyDescent="0.25">
      <c r="D41" t="s">
        <v>34</v>
      </c>
      <c r="E41" s="3">
        <f t="shared" si="0"/>
        <v>0</v>
      </c>
      <c r="F41" s="3">
        <f t="shared" si="1"/>
        <v>0</v>
      </c>
      <c r="H41" s="3">
        <f>SUMIF(Tableau_Lancer_la_requête_à_partir_de_Excel_Files1025678910[Avis Prog],"1-Favorable",Tableau_Lancer_la_requête_à_partir_de_Excel_Files1025678910[''58''])</f>
        <v>0</v>
      </c>
      <c r="I41" s="3">
        <f>SUMIF(Tableau_Lancer_la_requête_à_partir_de_Excel_Files1025678910[Avis Cofimac],"1-Favorable",Tableau_Lancer_la_requête_à_partir_de_Excel_Files1025678910[''58''])</f>
        <v>0</v>
      </c>
      <c r="AO41" s="3">
        <f>SUMIF(Tableau_Lancer_la_requête_à_partir_de_Excel_Files1025678910[Avis Prog],"2-Favorable sous réserve",Tableau_Lancer_la_requête_à_partir_de_Excel_Files1025678910[''58''])</f>
        <v>0</v>
      </c>
      <c r="AP41" s="3">
        <f>SUMIF(Tableau_Lancer_la_requête_à_partir_de_Excel_Files1025678910[Avis Cofimac],"2-Favorable sous réserve",Tableau_Lancer_la_requête_à_partir_de_Excel_Files1025678910[''58''])</f>
        <v>0</v>
      </c>
    </row>
    <row r="42" spans="4:42" hidden="1" x14ac:dyDescent="0.25">
      <c r="D42" t="s">
        <v>35</v>
      </c>
      <c r="E42" s="3">
        <f t="shared" si="0"/>
        <v>0</v>
      </c>
      <c r="F42" s="3">
        <f t="shared" si="1"/>
        <v>0</v>
      </c>
      <c r="H42" s="3">
        <f>SUMIF(Tableau_Lancer_la_requête_à_partir_de_Excel_Files1025678910[Avis Prog],"1-Favorable",Tableau_Lancer_la_requête_à_partir_de_Excel_Files1025678910[''63''])</f>
        <v>0</v>
      </c>
      <c r="I42" s="3">
        <f>SUMIF(Tableau_Lancer_la_requête_à_partir_de_Excel_Files1025678910[Avis Cofimac],"1-Favorable",Tableau_Lancer_la_requête_à_partir_de_Excel_Files1025678910[''63''])</f>
        <v>0</v>
      </c>
      <c r="AO42" s="3">
        <f>SUMIF(Tableau_Lancer_la_requête_à_partir_de_Excel_Files1025678910[Avis Prog],"2-Favorable sous réserve",Tableau_Lancer_la_requête_à_partir_de_Excel_Files1025678910[''63''])</f>
        <v>0</v>
      </c>
      <c r="AP42" s="3">
        <f>SUMIF(Tableau_Lancer_la_requête_à_partir_de_Excel_Files1025678910[Avis Cofimac],"2-Favorable sous réserve",Tableau_Lancer_la_requête_à_partir_de_Excel_Files1025678910[''63''])</f>
        <v>0</v>
      </c>
    </row>
    <row r="43" spans="4:42" hidden="1" x14ac:dyDescent="0.25">
      <c r="D43" t="s">
        <v>36</v>
      </c>
      <c r="E43" s="3">
        <f t="shared" si="0"/>
        <v>0</v>
      </c>
      <c r="F43" s="3">
        <f t="shared" si="1"/>
        <v>0</v>
      </c>
      <c r="H43" s="3">
        <f>SUMIF(Tableau_Lancer_la_requête_à_partir_de_Excel_Files1025678910[Avis Prog],"1-Favorable",Tableau_Lancer_la_requête_à_partir_de_Excel_Files1025678910[''69''])</f>
        <v>0</v>
      </c>
      <c r="I43" s="3">
        <f>SUMIF(Tableau_Lancer_la_requête_à_partir_de_Excel_Files1025678910[Avis Cofimac],"1-Favorable",Tableau_Lancer_la_requête_à_partir_de_Excel_Files1025678910[''69''])</f>
        <v>0</v>
      </c>
      <c r="AO43" s="3">
        <f>SUMIF(Tableau_Lancer_la_requête_à_partir_de_Excel_Files1025678910[Avis Prog],"2-Favorable sous réserve",Tableau_Lancer_la_requête_à_partir_de_Excel_Files1025678910[''69''])</f>
        <v>0</v>
      </c>
      <c r="AP43" s="3">
        <f>SUMIF(Tableau_Lancer_la_requête_à_partir_de_Excel_Files1025678910[Avis Cofimac],"2-Favorable sous réserve",Tableau_Lancer_la_requête_à_partir_de_Excel_Files1025678910[''69''])</f>
        <v>0</v>
      </c>
    </row>
    <row r="44" spans="4:42" hidden="1" x14ac:dyDescent="0.25">
      <c r="D44" t="s">
        <v>37</v>
      </c>
      <c r="E44" s="3">
        <f t="shared" si="0"/>
        <v>0</v>
      </c>
      <c r="F44" s="3">
        <f t="shared" si="1"/>
        <v>0</v>
      </c>
      <c r="H44" s="3">
        <f>SUMIF(Tableau_Lancer_la_requête_à_partir_de_Excel_Files1025678910[Avis Prog],"1-Favorable",Tableau_Lancer_la_requête_à_partir_de_Excel_Files1025678910[''71''])</f>
        <v>0</v>
      </c>
      <c r="I44" s="3">
        <f>SUMIF(Tableau_Lancer_la_requête_à_partir_de_Excel_Files1025678910[Avis Cofimac],"1-Favorable",Tableau_Lancer_la_requête_à_partir_de_Excel_Files1025678910[''71''])</f>
        <v>0</v>
      </c>
      <c r="AO44" s="3">
        <f>SUMIF(Tableau_Lancer_la_requête_à_partir_de_Excel_Files1025678910[Avis Prog],"2-Favorable sous réserve",Tableau_Lancer_la_requête_à_partir_de_Excel_Files1025678910[''71''])</f>
        <v>0</v>
      </c>
      <c r="AP44" s="3">
        <f>SUMIF(Tableau_Lancer_la_requête_à_partir_de_Excel_Files1025678910[Avis Cofimac],"2-Favorable sous réserve",Tableau_Lancer_la_requête_à_partir_de_Excel_Files1025678910[''71''])</f>
        <v>0</v>
      </c>
    </row>
    <row r="45" spans="4:42" hidden="1" x14ac:dyDescent="0.25">
      <c r="D45" t="s">
        <v>38</v>
      </c>
      <c r="E45" s="3">
        <f t="shared" si="0"/>
        <v>0</v>
      </c>
      <c r="F45" s="3">
        <f t="shared" si="1"/>
        <v>0</v>
      </c>
      <c r="H45" s="3">
        <f>SUMIF(Tableau_Lancer_la_requête_à_partir_de_Excel_Files1025678910[Avis Prog],"1-Favorable",Tableau_Lancer_la_requête_à_partir_de_Excel_Files1025678910[''81''])</f>
        <v>0</v>
      </c>
      <c r="I45" s="3">
        <f>SUMIF(Tableau_Lancer_la_requête_à_partir_de_Excel_Files1025678910[Avis Cofimac],"1-Favorable",Tableau_Lancer_la_requête_à_partir_de_Excel_Files1025678910[''81''])</f>
        <v>0</v>
      </c>
      <c r="AO45" s="3">
        <f>SUMIF(Tableau_Lancer_la_requête_à_partir_de_Excel_Files1025678910[Avis Prog],"2-Favorable sous réserve",Tableau_Lancer_la_requête_à_partir_de_Excel_Files1025678910[''81''])</f>
        <v>0</v>
      </c>
      <c r="AP45" s="3">
        <f>SUMIF(Tableau_Lancer_la_requête_à_partir_de_Excel_Files1025678910[Avis Cofimac],"2-Favorable sous réserve",Tableau_Lancer_la_requête_à_partir_de_Excel_Files1025678910[''81''])</f>
        <v>0</v>
      </c>
    </row>
    <row r="46" spans="4:42" hidden="1" x14ac:dyDescent="0.25">
      <c r="D46" t="s">
        <v>39</v>
      </c>
      <c r="E46" s="3">
        <f t="shared" si="0"/>
        <v>0</v>
      </c>
      <c r="F46" s="3">
        <f t="shared" si="1"/>
        <v>0</v>
      </c>
      <c r="H46" s="3">
        <f>SUMIF(Tableau_Lancer_la_requête_à_partir_de_Excel_Files1025678910[Avis Prog],"1-Favorable",Tableau_Lancer_la_requête_à_partir_de_Excel_Files1025678910[''82''])</f>
        <v>0</v>
      </c>
      <c r="I46" s="3">
        <f>SUMIF(Tableau_Lancer_la_requête_à_partir_de_Excel_Files1025678910[Avis Cofimac],"1-Favorable",Tableau_Lancer_la_requête_à_partir_de_Excel_Files1025678910[''82''])</f>
        <v>0</v>
      </c>
      <c r="AO46" s="3">
        <f>SUMIF(Tableau_Lancer_la_requête_à_partir_de_Excel_Files1025678910[Avis Prog],"2-Favorable sous réserve",Tableau_Lancer_la_requête_à_partir_de_Excel_Files1025678910[''82''])</f>
        <v>0</v>
      </c>
      <c r="AP46" s="3">
        <f>SUMIF(Tableau_Lancer_la_requête_à_partir_de_Excel_Files1025678910[Avis Cofimac],"2-Favorable sous réserve",Tableau_Lancer_la_requête_à_partir_de_Excel_Files1025678910[''82''])</f>
        <v>0</v>
      </c>
    </row>
    <row r="47" spans="4:42" hidden="1" x14ac:dyDescent="0.25">
      <c r="D47" t="s">
        <v>40</v>
      </c>
      <c r="E47" s="3">
        <f t="shared" si="0"/>
        <v>0</v>
      </c>
      <c r="F47" s="3">
        <f t="shared" si="1"/>
        <v>0</v>
      </c>
      <c r="H47" s="3">
        <f>SUMIF(Tableau_Lancer_la_requête_à_partir_de_Excel_Files1025678910[Avis Prog],"1-Favorable",Tableau_Lancer_la_requête_à_partir_de_Excel_Files1025678910[''87''])</f>
        <v>0</v>
      </c>
      <c r="I47" s="3">
        <f>SUMIF(Tableau_Lancer_la_requête_à_partir_de_Excel_Files1025678910[Avis Cofimac],"1-Favorable",Tableau_Lancer_la_requête_à_partir_de_Excel_Files1025678910[''87''])</f>
        <v>0</v>
      </c>
      <c r="AO47" s="3">
        <f>SUMIF(Tableau_Lancer_la_requête_à_partir_de_Excel_Files1025678910[Avis Prog],"2-Favorable sous réserve",Tableau_Lancer_la_requête_à_partir_de_Excel_Files1025678910[''87''])</f>
        <v>0</v>
      </c>
      <c r="AP47" s="3">
        <f>SUMIF(Tableau_Lancer_la_requête_à_partir_de_Excel_Files1025678910[Avis Cofimac],"2-Favorable sous réserve",Tableau_Lancer_la_requête_à_partir_de_Excel_Files1025678910[''87''])</f>
        <v>0</v>
      </c>
    </row>
    <row r="48" spans="4:42" hidden="1" x14ac:dyDescent="0.25">
      <c r="D48" t="s">
        <v>41</v>
      </c>
      <c r="E48" s="3">
        <f t="shared" si="0"/>
        <v>0</v>
      </c>
      <c r="F48" s="3">
        <f t="shared" si="1"/>
        <v>0</v>
      </c>
      <c r="H48" s="3">
        <f>SUMIF(Tableau_Lancer_la_requête_à_partir_de_Excel_Files1025678910[Avis Prog],"1-Favorable",Tableau_Lancer_la_requête_à_partir_de_Excel_Files1025678910[''89''])</f>
        <v>0</v>
      </c>
      <c r="I48" s="3">
        <f>SUMIF(Tableau_Lancer_la_requête_à_partir_de_Excel_Files1025678910[Avis Cofimac],"1-Favorable",Tableau_Lancer_la_requête_à_partir_de_Excel_Files1025678910[''89''])</f>
        <v>0</v>
      </c>
      <c r="AO48" s="3">
        <f>SUMIF(Tableau_Lancer_la_requête_à_partir_de_Excel_Files1025678910[Avis Prog],"2-Favorable sous réserve",Tableau_Lancer_la_requête_à_partir_de_Excel_Files1025678910[''89''])</f>
        <v>0</v>
      </c>
      <c r="AP48" s="3">
        <f>SUMIF(Tableau_Lancer_la_requête_à_partir_de_Excel_Files1025678910[Avis Cofimac],"2-Favorable sous réserve",Tableau_Lancer_la_requête_à_partir_de_Excel_Files1025678910[''89''])</f>
        <v>0</v>
      </c>
    </row>
    <row r="49" hidden="1" x14ac:dyDescent="0.25"/>
    <row r="50" hidden="1" x14ac:dyDescent="0.25"/>
  </sheetData>
  <conditionalFormatting sqref="AP7 AR7">
    <cfRule type="cellIs" dxfId="644" priority="6" operator="equal">
      <formula>"2-Favorable sous réserve"</formula>
    </cfRule>
    <cfRule type="cellIs" dxfId="643" priority="19" operator="equal">
      <formula>"6-Retiré/Abandon"</formula>
    </cfRule>
    <cfRule type="cellIs" dxfId="642" priority="20" operator="equal">
      <formula>"5-Défavorable"</formula>
    </cfRule>
    <cfRule type="cellIs" dxfId="641" priority="21" operator="equal">
      <formula>"4-Ajournement"</formula>
    </cfRule>
    <cfRule type="cellIs" dxfId="640" priority="22" operator="equal">
      <formula>"1-Favorable"</formula>
    </cfRule>
  </conditionalFormatting>
  <conditionalFormatting sqref="AT7:AT9">
    <cfRule type="cellIs" dxfId="639" priority="1" operator="equal">
      <formula>"2-Favorable sous réserve"</formula>
    </cfRule>
    <cfRule type="cellIs" dxfId="638" priority="2" operator="equal">
      <formula>"6-Retiré/Abandon"</formula>
    </cfRule>
    <cfRule type="cellIs" dxfId="637" priority="3" operator="equal">
      <formula>"5-Défavorable"</formula>
    </cfRule>
    <cfRule type="cellIs" dxfId="636" priority="4" operator="equal">
      <formula>"4-Ajournement"</formula>
    </cfRule>
    <cfRule type="cellIs" dxfId="635" priority="5" operator="equal">
      <formula>"1-Favorable"</formula>
    </cfRule>
  </conditionalFormatting>
  <dataValidations count="1">
    <dataValidation type="list" allowBlank="1" showInputMessage="1" showErrorMessage="1" sqref="AR7">
      <formula1>"1-Favorable,2-Favorable sous réserve,4-Ajournement,5-Défavorable,6-Retiré/Abandon"</formula1>
    </dataValidation>
  </dataValidations>
  <printOptions horizontalCentered="1" verticalCentered="1"/>
  <pageMargins left="0.25" right="0.25" top="0.75" bottom="0.75" header="0.3" footer="0.3"/>
  <pageSetup paperSize="8" scale="6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12</vt:i4>
      </vt:variant>
    </vt:vector>
  </HeadingPairs>
  <TitlesOfParts>
    <vt:vector size="26" baseType="lpstr">
      <vt:lpstr>Itinérance</vt:lpstr>
      <vt:lpstr>Tourisme</vt:lpstr>
      <vt:lpstr>Bois</vt:lpstr>
      <vt:lpstr>Pierre</vt:lpstr>
      <vt:lpstr>Attractivité-Innovation</vt:lpstr>
      <vt:lpstr>Centre-Bourg</vt:lpstr>
      <vt:lpstr>Biodiversité</vt:lpstr>
      <vt:lpstr>Agriculture</vt:lpstr>
      <vt:lpstr>AT-Ing Terr</vt:lpstr>
      <vt:lpstr>Filières</vt:lpstr>
      <vt:lpstr>Reprog (en cours)</vt:lpstr>
      <vt:lpstr>Abandon</vt:lpstr>
      <vt:lpstr>Recap Financier</vt:lpstr>
      <vt:lpstr>Feuil1</vt:lpstr>
      <vt:lpstr>Abandon!Impression_des_titres</vt:lpstr>
      <vt:lpstr>'Reprog (en cours)'!Impression_des_titres</vt:lpstr>
      <vt:lpstr>Agriculture!Zone_d_impression</vt:lpstr>
      <vt:lpstr>'AT-Ing Terr'!Zone_d_impression</vt:lpstr>
      <vt:lpstr>'Attractivité-Innovation'!Zone_d_impression</vt:lpstr>
      <vt:lpstr>Biodiversité!Zone_d_impression</vt:lpstr>
      <vt:lpstr>Bois!Zone_d_impression</vt:lpstr>
      <vt:lpstr>'Centre-Bourg'!Zone_d_impression</vt:lpstr>
      <vt:lpstr>Filières!Zone_d_impression</vt:lpstr>
      <vt:lpstr>Itinérance!Zone_d_impression</vt:lpstr>
      <vt:lpstr>Pierre!Zone_d_impression</vt:lpstr>
      <vt:lpstr>Tourisme!Zone_d_impression</vt:lpstr>
    </vt:vector>
  </TitlesOfParts>
  <Company>cra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pe.melac</dc:creator>
  <cp:lastModifiedBy>EL.MICHEL</cp:lastModifiedBy>
  <cp:lastPrinted>2016-06-03T11:53:35Z</cp:lastPrinted>
  <dcterms:created xsi:type="dcterms:W3CDTF">2016-01-13T16:44:12Z</dcterms:created>
  <dcterms:modified xsi:type="dcterms:W3CDTF">2017-04-10T06:58:37Z</dcterms:modified>
</cp:coreProperties>
</file>