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2.xml" ContentType="application/vnd.openxmlformats-officedocument.drawing+xml"/>
  <Override PartName="/xl/tables/table2.xml" ContentType="application/vnd.openxmlformats-officedocument.spreadsheetml.table+xml"/>
  <Override PartName="/xl/queryTables/queryTable2.xml" ContentType="application/vnd.openxmlformats-officedocument.spreadsheetml.queryTable+xml"/>
  <Override PartName="/xl/drawings/drawing3.xml" ContentType="application/vnd.openxmlformats-officedocument.drawing+xml"/>
  <Override PartName="/xl/tables/table3.xml" ContentType="application/vnd.openxmlformats-officedocument.spreadsheetml.table+xml"/>
  <Override PartName="/xl/queryTables/queryTable3.xml" ContentType="application/vnd.openxmlformats-officedocument.spreadsheetml.queryTable+xml"/>
  <Override PartName="/xl/drawings/drawing4.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drawings/drawing5.xml" ContentType="application/vnd.openxmlformats-officedocument.drawing+xml"/>
  <Override PartName="/xl/tables/table5.xml" ContentType="application/vnd.openxmlformats-officedocument.spreadsheetml.table+xml"/>
  <Override PartName="/xl/queryTables/queryTable5.xml" ContentType="application/vnd.openxmlformats-officedocument.spreadsheetml.queryTable+xml"/>
  <Override PartName="/xl/drawings/drawing6.xml" ContentType="application/vnd.openxmlformats-officedocument.drawing+xml"/>
  <Override PartName="/xl/tables/table6.xml" ContentType="application/vnd.openxmlformats-officedocument.spreadsheetml.table+xml"/>
  <Override PartName="/xl/queryTables/queryTable6.xml" ContentType="application/vnd.openxmlformats-officedocument.spreadsheetml.queryTable+xml"/>
  <Override PartName="/xl/drawings/drawing7.xml" ContentType="application/vnd.openxmlformats-officedocument.drawing+xml"/>
  <Override PartName="/xl/tables/table7.xml" ContentType="application/vnd.openxmlformats-officedocument.spreadsheetml.table+xml"/>
  <Override PartName="/xl/queryTables/queryTable7.xml" ContentType="application/vnd.openxmlformats-officedocument.spreadsheetml.queryTable+xml"/>
  <Override PartName="/xl/drawings/drawing8.xml" ContentType="application/vnd.openxmlformats-officedocument.drawing+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drawings/drawing9.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555" windowWidth="19320" windowHeight="6270"/>
  </bookViews>
  <sheets>
    <sheet name="Bois" sheetId="2" r:id="rId1"/>
    <sheet name="Pierre" sheetId="5" r:id="rId2"/>
    <sheet name="Attractivité" sheetId="6" r:id="rId3"/>
    <sheet name="Biodiversité" sheetId="7" r:id="rId4"/>
    <sheet name="Agriculture" sheetId="8" r:id="rId5"/>
    <sheet name="Tourisme" sheetId="9" r:id="rId6"/>
    <sheet name="AT-Ing Terr" sheetId="10" r:id="rId7"/>
    <sheet name="Reprog (en cours)" sheetId="4" r:id="rId8"/>
    <sheet name="Recap Financier" sheetId="3" r:id="rId9"/>
    <sheet name="Reprog 2007-2013" sheetId="11" r:id="rId10"/>
    <sheet name="Feuil2" sheetId="12" r:id="rId11"/>
  </sheets>
  <definedNames>
    <definedName name="_xlnm.Print_Titles" localSheetId="7">'Reprog (en cours)'!$1:$6</definedName>
    <definedName name="Lancer_la_requête_à_partir_de_Excel_Files" localSheetId="4" hidden="1">Agriculture!#REF!</definedName>
    <definedName name="Lancer_la_requête_à_partir_de_Excel_Files" localSheetId="6" hidden="1">'AT-Ing Terr'!#REF!</definedName>
    <definedName name="Lancer_la_requête_à_partir_de_Excel_Files" localSheetId="2" hidden="1">Attractivité!#REF!</definedName>
    <definedName name="Lancer_la_requête_à_partir_de_Excel_Files" localSheetId="3" hidden="1">Biodiversité!#REF!</definedName>
    <definedName name="Lancer_la_requête_à_partir_de_Excel_Files" localSheetId="0" hidden="1">Bois!#REF!</definedName>
    <definedName name="Lancer_la_requête_à_partir_de_Excel_Files" localSheetId="1" hidden="1">Pierre!#REF!</definedName>
    <definedName name="Lancer_la_requête_à_partir_de_Excel_Files" localSheetId="7" hidden="1">'Reprog (en cours)'!$A$6:$AS$54</definedName>
    <definedName name="Lancer_la_requête_à_partir_de_Excel_Files" localSheetId="5" hidden="1">Tourisme!#REF!</definedName>
    <definedName name="Lancer_la_requête_à_partir_de_Excel_Files_1" localSheetId="4" hidden="1">Agriculture!#REF!</definedName>
    <definedName name="Lancer_la_requête_à_partir_de_Excel_Files_1" localSheetId="6" hidden="1">'AT-Ing Terr'!#REF!</definedName>
    <definedName name="Lancer_la_requête_à_partir_de_Excel_Files_1" localSheetId="2" hidden="1">Attractivité!#REF!</definedName>
    <definedName name="Lancer_la_requête_à_partir_de_Excel_Files_1" localSheetId="3" hidden="1">Biodiversité!#REF!</definedName>
    <definedName name="Lancer_la_requête_à_partir_de_Excel_Files_1" localSheetId="0" hidden="1">Bois!#REF!</definedName>
    <definedName name="Lancer_la_requête_à_partir_de_Excel_Files_1" localSheetId="1" hidden="1">Pierre!#REF!</definedName>
    <definedName name="Lancer_la_requête_à_partir_de_Excel_Files_1" localSheetId="5" hidden="1">Tourisme!#REF!</definedName>
    <definedName name="Lancer_la_requête_à_partir_de_Excel_Files_2" localSheetId="4" hidden="1">Agriculture!#REF!</definedName>
    <definedName name="Lancer_la_requête_à_partir_de_Excel_Files_2" localSheetId="6" hidden="1">'AT-Ing Terr'!#REF!</definedName>
    <definedName name="Lancer_la_requête_à_partir_de_Excel_Files_2" localSheetId="2" hidden="1">Attractivité!#REF!</definedName>
    <definedName name="Lancer_la_requête_à_partir_de_Excel_Files_2" localSheetId="3" hidden="1">Biodiversité!#REF!</definedName>
    <definedName name="Lancer_la_requête_à_partir_de_Excel_Files_2" localSheetId="0" hidden="1">Bois!#REF!</definedName>
    <definedName name="Lancer_la_requête_à_partir_de_Excel_Files_2" localSheetId="1" hidden="1">Pierre!#REF!</definedName>
    <definedName name="Lancer_la_requête_à_partir_de_Excel_Files_2" localSheetId="5" hidden="1">Tourisme!#REF!</definedName>
    <definedName name="Lancer_la_requête_à_partir_de_Excel_Files_3" localSheetId="4" hidden="1">Agriculture!#REF!</definedName>
    <definedName name="Lancer_la_requête_à_partir_de_Excel_Files_3" localSheetId="6" hidden="1">'AT-Ing Terr'!#REF!</definedName>
    <definedName name="Lancer_la_requête_à_partir_de_Excel_Files_3" localSheetId="2" hidden="1">Attractivité!#REF!</definedName>
    <definedName name="Lancer_la_requête_à_partir_de_Excel_Files_3" localSheetId="3" hidden="1">Biodiversité!#REF!</definedName>
    <definedName name="Lancer_la_requête_à_partir_de_Excel_Files_3" localSheetId="0" hidden="1">Bois!#REF!</definedName>
    <definedName name="Lancer_la_requête_à_partir_de_Excel_Files_3" localSheetId="1" hidden="1">Pierre!#REF!</definedName>
    <definedName name="Lancer_la_requête_à_partir_de_Excel_Files_3" localSheetId="5" hidden="1">Tourisme!#REF!</definedName>
    <definedName name="Lancer_la_requête_à_partir_de_Excel_Files_4" localSheetId="4" hidden="1">Agriculture!#REF!</definedName>
    <definedName name="Lancer_la_requête_à_partir_de_Excel_Files_4" localSheetId="6" hidden="1">'AT-Ing Terr'!#REF!</definedName>
    <definedName name="Lancer_la_requête_à_partir_de_Excel_Files_4" localSheetId="2" hidden="1">Attractivité!#REF!</definedName>
    <definedName name="Lancer_la_requête_à_partir_de_Excel_Files_4" localSheetId="3" hidden="1">Biodiversité!#REF!</definedName>
    <definedName name="Lancer_la_requête_à_partir_de_Excel_Files_4" localSheetId="0" hidden="1">Bois!#REF!</definedName>
    <definedName name="Lancer_la_requête_à_partir_de_Excel_Files_4" localSheetId="1" hidden="1">Pierre!#REF!</definedName>
    <definedName name="Lancer_la_requête_à_partir_de_Excel_Files_4" localSheetId="5" hidden="1">Tourisme!#REF!</definedName>
    <definedName name="Lancer_la_requête_à_partir_de_Excel_Files_5" localSheetId="4" hidden="1">Agriculture!#REF!</definedName>
    <definedName name="Lancer_la_requête_à_partir_de_Excel_Files_5" localSheetId="6" hidden="1">'AT-Ing Terr'!#REF!</definedName>
    <definedName name="Lancer_la_requête_à_partir_de_Excel_Files_5" localSheetId="2" hidden="1">Attractivité!#REF!</definedName>
    <definedName name="Lancer_la_requête_à_partir_de_Excel_Files_5" localSheetId="3" hidden="1">Biodiversité!#REF!</definedName>
    <definedName name="Lancer_la_requête_à_partir_de_Excel_Files_5" localSheetId="0" hidden="1">Bois!#REF!</definedName>
    <definedName name="Lancer_la_requête_à_partir_de_Excel_Files_5" localSheetId="1" hidden="1">Pierre!#REF!</definedName>
    <definedName name="Lancer_la_requête_à_partir_de_Excel_Files_5" localSheetId="5" hidden="1">Tourisme!#REF!</definedName>
    <definedName name="Lancer_la_requête_à_partir_de_Excel_Files_6" localSheetId="4" hidden="1">Agriculture!#REF!</definedName>
    <definedName name="Lancer_la_requête_à_partir_de_Excel_Files_6" localSheetId="6" hidden="1">'AT-Ing Terr'!#REF!</definedName>
    <definedName name="Lancer_la_requête_à_partir_de_Excel_Files_6" localSheetId="2" hidden="1">Attractivité!#REF!</definedName>
    <definedName name="Lancer_la_requête_à_partir_de_Excel_Files_6" localSheetId="3" hidden="1">Biodiversité!#REF!</definedName>
    <definedName name="Lancer_la_requête_à_partir_de_Excel_Files_6" localSheetId="0" hidden="1">Bois!#REF!</definedName>
    <definedName name="Lancer_la_requête_à_partir_de_Excel_Files_6" localSheetId="1" hidden="1">Pierre!#REF!</definedName>
    <definedName name="Lancer_la_requête_à_partir_de_Excel_Files_6" localSheetId="5" hidden="1">Tourisme!#REF!</definedName>
    <definedName name="Lancer_la_requête_à_partir_de_Excel_Files_7" localSheetId="4" hidden="1">Agriculture!#REF!</definedName>
    <definedName name="Lancer_la_requête_à_partir_de_Excel_Files_7" localSheetId="6" hidden="1">'AT-Ing Terr'!#REF!</definedName>
    <definedName name="Lancer_la_requête_à_partir_de_Excel_Files_7" localSheetId="2" hidden="1">Attractivité!#REF!</definedName>
    <definedName name="Lancer_la_requête_à_partir_de_Excel_Files_7" localSheetId="3" hidden="1">Biodiversité!#REF!</definedName>
    <definedName name="Lancer_la_requête_à_partir_de_Excel_Files_7" localSheetId="0" hidden="1">Bois!#REF!</definedName>
    <definedName name="Lancer_la_requête_à_partir_de_Excel_Files_7" localSheetId="1" hidden="1">Pierre!#REF!</definedName>
    <definedName name="Lancer_la_requête_à_partir_de_Excel_Files_7" localSheetId="5" hidden="1">Tourisme!#REF!</definedName>
    <definedName name="Lancer_la_requête_à_partir_de_Excel_Files_8" localSheetId="4" hidden="1">Agriculture!$A$6:$AO$7</definedName>
    <definedName name="Lancer_la_requête_à_partir_de_Excel_Files_8" localSheetId="6" hidden="1">'AT-Ing Terr'!$A$6:$AO$9</definedName>
    <definedName name="Lancer_la_requête_à_partir_de_Excel_Files_8" localSheetId="2" hidden="1">Attractivité!$A$6:$AO$17</definedName>
    <definedName name="Lancer_la_requête_à_partir_de_Excel_Files_8" localSheetId="3" hidden="1">Biodiversité!$A$6:$AP$21</definedName>
    <definedName name="Lancer_la_requête_à_partir_de_Excel_Files_8" localSheetId="0" hidden="1">Bois!$A$6:$AO$18</definedName>
    <definedName name="Lancer_la_requête_à_partir_de_Excel_Files_8" localSheetId="1" hidden="1">Pierre!$A$6:$AO$17</definedName>
    <definedName name="Lancer_la_requête_à_partir_de_Excel_Files_8" localSheetId="5" hidden="1">Tourisme!$A$6:$AO$10</definedName>
    <definedName name="_xlnm.Print_Area" localSheetId="4">Agriculture!$A$1:$AR$8</definedName>
    <definedName name="_xlnm.Print_Area" localSheetId="6">'AT-Ing Terr'!$A$1:$AR$10</definedName>
    <definedName name="_xlnm.Print_Area" localSheetId="2">Attractivité!$A$1:$AR$18</definedName>
    <definedName name="_xlnm.Print_Area" localSheetId="3">Biodiversité!$A$1:$AS$22</definedName>
    <definedName name="_xlnm.Print_Area" localSheetId="0">Bois!$A$1:$AQ$19</definedName>
    <definedName name="_xlnm.Print_Area" localSheetId="1">Pierre!$A$1:$AR$18</definedName>
    <definedName name="_xlnm.Print_Area" localSheetId="5">Tourisme!$A$1:$AR$11</definedName>
  </definedNames>
  <calcPr calcId="145621"/>
</workbook>
</file>

<file path=xl/calcChain.xml><?xml version="1.0" encoding="utf-8"?>
<calcChain xmlns="http://schemas.openxmlformats.org/spreadsheetml/2006/main">
  <c r="C55" i="4" l="1"/>
  <c r="F55" i="4"/>
  <c r="AR55"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M7" i="4"/>
  <c r="K7" i="4" s="1"/>
  <c r="M8" i="4"/>
  <c r="K8" i="4" s="1"/>
  <c r="M9" i="4"/>
  <c r="K9" i="4" s="1"/>
  <c r="M10" i="4"/>
  <c r="K10" i="4" s="1"/>
  <c r="M11" i="4"/>
  <c r="K11" i="4" s="1"/>
  <c r="M12" i="4"/>
  <c r="K12" i="4" s="1"/>
  <c r="M13" i="4"/>
  <c r="K13" i="4" s="1"/>
  <c r="M14" i="4"/>
  <c r="K14" i="4" s="1"/>
  <c r="M15" i="4"/>
  <c r="K15" i="4" s="1"/>
  <c r="M16" i="4"/>
  <c r="K16" i="4" s="1"/>
  <c r="M17" i="4"/>
  <c r="K17" i="4" s="1"/>
  <c r="M18" i="4"/>
  <c r="K18" i="4" s="1"/>
  <c r="M19" i="4"/>
  <c r="K19" i="4" s="1"/>
  <c r="M20" i="4"/>
  <c r="K20" i="4" s="1"/>
  <c r="M21" i="4"/>
  <c r="K21" i="4" s="1"/>
  <c r="M22" i="4"/>
  <c r="K22" i="4" s="1"/>
  <c r="M23" i="4"/>
  <c r="K23" i="4" s="1"/>
  <c r="M24" i="4"/>
  <c r="K24" i="4" s="1"/>
  <c r="M25" i="4"/>
  <c r="K25" i="4" s="1"/>
  <c r="M26" i="4"/>
  <c r="K26" i="4" s="1"/>
  <c r="M27" i="4"/>
  <c r="K27" i="4" s="1"/>
  <c r="M28" i="4"/>
  <c r="K28" i="4" s="1"/>
  <c r="M29" i="4"/>
  <c r="K29" i="4" s="1"/>
  <c r="M30" i="4"/>
  <c r="K30" i="4" s="1"/>
  <c r="M31" i="4"/>
  <c r="K31" i="4" s="1"/>
  <c r="M32" i="4"/>
  <c r="K32" i="4" s="1"/>
  <c r="M33" i="4"/>
  <c r="K33" i="4" s="1"/>
  <c r="M34" i="4"/>
  <c r="K34" i="4" s="1"/>
  <c r="M35" i="4"/>
  <c r="K35" i="4" s="1"/>
  <c r="M36" i="4"/>
  <c r="K36" i="4" s="1"/>
  <c r="M37" i="4"/>
  <c r="K37" i="4" s="1"/>
  <c r="M38" i="4"/>
  <c r="K38" i="4" s="1"/>
  <c r="M39" i="4"/>
  <c r="K39" i="4" s="1"/>
  <c r="M40" i="4"/>
  <c r="K40" i="4" s="1"/>
  <c r="M41" i="4"/>
  <c r="K41" i="4" s="1"/>
  <c r="M42" i="4"/>
  <c r="K42" i="4" s="1"/>
  <c r="M43" i="4"/>
  <c r="K43" i="4" s="1"/>
  <c r="M44" i="4"/>
  <c r="K44" i="4" s="1"/>
  <c r="M45" i="4"/>
  <c r="K45" i="4" s="1"/>
  <c r="M46" i="4"/>
  <c r="K46" i="4" s="1"/>
  <c r="M47" i="4"/>
  <c r="K47" i="4" s="1"/>
  <c r="M48" i="4"/>
  <c r="K48" i="4" s="1"/>
  <c r="M49" i="4"/>
  <c r="K49" i="4" s="1"/>
  <c r="M50" i="4"/>
  <c r="K50" i="4" s="1"/>
  <c r="M51" i="4"/>
  <c r="K51" i="4" s="1"/>
  <c r="M52" i="4"/>
  <c r="K52" i="4" s="1"/>
  <c r="M53" i="4"/>
  <c r="K53" i="4" s="1"/>
  <c r="M54" i="4"/>
  <c r="K54" i="4" s="1"/>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L45" i="4" l="1"/>
  <c r="I45" i="4"/>
  <c r="J45" i="4" s="1"/>
  <c r="L33" i="4"/>
  <c r="I33" i="4"/>
  <c r="J33" i="4" s="1"/>
  <c r="I21" i="4"/>
  <c r="J21" i="4" s="1"/>
  <c r="L21" i="4"/>
  <c r="I15" i="4"/>
  <c r="J15" i="4" s="1"/>
  <c r="L15" i="4"/>
  <c r="I50" i="4"/>
  <c r="J50" i="4" s="1"/>
  <c r="L50" i="4"/>
  <c r="I44" i="4"/>
  <c r="J44" i="4" s="1"/>
  <c r="L44" i="4"/>
  <c r="I38" i="4"/>
  <c r="J38" i="4" s="1"/>
  <c r="L38" i="4"/>
  <c r="I32" i="4"/>
  <c r="J32" i="4" s="1"/>
  <c r="L32" i="4"/>
  <c r="I26" i="4"/>
  <c r="J26" i="4" s="1"/>
  <c r="L26" i="4"/>
  <c r="I20" i="4"/>
  <c r="J20" i="4" s="1"/>
  <c r="L20" i="4"/>
  <c r="I14" i="4"/>
  <c r="J14" i="4" s="1"/>
  <c r="L14" i="4"/>
  <c r="I8" i="4"/>
  <c r="J8" i="4" s="1"/>
  <c r="L8" i="4"/>
  <c r="I51" i="4"/>
  <c r="J51" i="4" s="1"/>
  <c r="L51" i="4"/>
  <c r="I39" i="4"/>
  <c r="J39" i="4" s="1"/>
  <c r="L39" i="4"/>
  <c r="I27" i="4"/>
  <c r="J27" i="4" s="1"/>
  <c r="L27" i="4"/>
  <c r="I9" i="4"/>
  <c r="J9" i="4" s="1"/>
  <c r="L9" i="4"/>
  <c r="I49" i="4"/>
  <c r="J49" i="4" s="1"/>
  <c r="L49" i="4"/>
  <c r="I43" i="4"/>
  <c r="J43" i="4" s="1"/>
  <c r="L43" i="4"/>
  <c r="I37" i="4"/>
  <c r="J37" i="4" s="1"/>
  <c r="L37" i="4"/>
  <c r="I31" i="4"/>
  <c r="J31" i="4" s="1"/>
  <c r="L31" i="4"/>
  <c r="I25" i="4"/>
  <c r="J25" i="4" s="1"/>
  <c r="L25" i="4"/>
  <c r="I19" i="4"/>
  <c r="J19" i="4" s="1"/>
  <c r="L19" i="4"/>
  <c r="I13" i="4"/>
  <c r="J13" i="4" s="1"/>
  <c r="L13" i="4"/>
  <c r="I7" i="4"/>
  <c r="J7" i="4" s="1"/>
  <c r="L7" i="4"/>
  <c r="I48" i="4"/>
  <c r="J48" i="4" s="1"/>
  <c r="L48" i="4"/>
  <c r="I36" i="4"/>
  <c r="J36" i="4" s="1"/>
  <c r="L36" i="4"/>
  <c r="I30" i="4"/>
  <c r="J30" i="4" s="1"/>
  <c r="L30" i="4"/>
  <c r="I18" i="4"/>
  <c r="J18" i="4" s="1"/>
  <c r="L18" i="4"/>
  <c r="I53" i="4"/>
  <c r="J53" i="4" s="1"/>
  <c r="L53" i="4"/>
  <c r="I47" i="4"/>
  <c r="J47" i="4" s="1"/>
  <c r="L47" i="4"/>
  <c r="I41" i="4"/>
  <c r="J41" i="4" s="1"/>
  <c r="L41" i="4"/>
  <c r="I35" i="4"/>
  <c r="J35" i="4" s="1"/>
  <c r="L35" i="4"/>
  <c r="I29" i="4"/>
  <c r="J29" i="4" s="1"/>
  <c r="L29" i="4"/>
  <c r="I23" i="4"/>
  <c r="J23" i="4" s="1"/>
  <c r="L23" i="4"/>
  <c r="I17" i="4"/>
  <c r="J17" i="4" s="1"/>
  <c r="L17" i="4"/>
  <c r="I11" i="4"/>
  <c r="J11" i="4" s="1"/>
  <c r="L11" i="4"/>
  <c r="I54" i="4"/>
  <c r="J54" i="4" s="1"/>
  <c r="L54" i="4"/>
  <c r="I42" i="4"/>
  <c r="J42" i="4" s="1"/>
  <c r="L42" i="4"/>
  <c r="I24" i="4"/>
  <c r="J24" i="4" s="1"/>
  <c r="L24" i="4"/>
  <c r="I12" i="4"/>
  <c r="J12" i="4" s="1"/>
  <c r="L12" i="4"/>
  <c r="I52" i="4"/>
  <c r="J52" i="4" s="1"/>
  <c r="L52" i="4"/>
  <c r="I46" i="4"/>
  <c r="J46" i="4" s="1"/>
  <c r="L46" i="4"/>
  <c r="I40" i="4"/>
  <c r="J40" i="4" s="1"/>
  <c r="L40" i="4"/>
  <c r="I34" i="4"/>
  <c r="J34" i="4" s="1"/>
  <c r="L34" i="4"/>
  <c r="I28" i="4"/>
  <c r="J28" i="4" s="1"/>
  <c r="L28" i="4"/>
  <c r="I22" i="4"/>
  <c r="J22" i="4" s="1"/>
  <c r="L22" i="4"/>
  <c r="I16" i="4"/>
  <c r="J16" i="4" s="1"/>
  <c r="L16" i="4"/>
  <c r="I10" i="4"/>
  <c r="J10" i="4" s="1"/>
  <c r="L10" i="4"/>
  <c r="B18" i="6"/>
  <c r="D18" i="6"/>
  <c r="I18" i="6"/>
  <c r="L18" i="6"/>
  <c r="N18" i="6"/>
  <c r="O18" i="6"/>
  <c r="P18" i="6"/>
  <c r="Q18" i="6"/>
  <c r="S18" i="6"/>
  <c r="T18" i="6"/>
  <c r="U18" i="6"/>
  <c r="V18" i="6"/>
  <c r="W18" i="6"/>
  <c r="X18" i="6"/>
  <c r="Y18" i="6"/>
  <c r="Z18" i="6"/>
  <c r="AA18" i="6"/>
  <c r="AB18" i="6"/>
  <c r="AC18" i="6"/>
  <c r="AD18" i="6"/>
  <c r="AE18" i="6"/>
  <c r="AF18" i="6"/>
  <c r="AG18" i="6"/>
  <c r="AH18" i="6"/>
  <c r="AI18" i="6"/>
  <c r="AJ18" i="6"/>
  <c r="AK18" i="6"/>
  <c r="AL18" i="6"/>
  <c r="AM18" i="6"/>
  <c r="AN18" i="6"/>
  <c r="AO18" i="6"/>
  <c r="J7" i="6"/>
  <c r="J14" i="6"/>
  <c r="J15" i="6"/>
  <c r="J16" i="6"/>
  <c r="G16" i="6" s="1"/>
  <c r="J17" i="6"/>
  <c r="J8" i="6"/>
  <c r="J9" i="6"/>
  <c r="J10" i="6"/>
  <c r="J11" i="6"/>
  <c r="J12" i="6"/>
  <c r="G12" i="6" s="1"/>
  <c r="J13" i="6"/>
  <c r="M7" i="6"/>
  <c r="M14" i="6"/>
  <c r="M15" i="6"/>
  <c r="M16" i="6"/>
  <c r="M17" i="6"/>
  <c r="M8" i="6"/>
  <c r="M9" i="6"/>
  <c r="M10" i="6"/>
  <c r="M11" i="6"/>
  <c r="M12" i="6"/>
  <c r="M13" i="6"/>
  <c r="R7" i="6"/>
  <c r="R14" i="6"/>
  <c r="R15" i="6"/>
  <c r="R16" i="6"/>
  <c r="R17" i="6"/>
  <c r="R8" i="6"/>
  <c r="R9" i="6"/>
  <c r="R10" i="6"/>
  <c r="R11" i="6"/>
  <c r="R12" i="6"/>
  <c r="R13" i="6"/>
  <c r="G11" i="6" l="1"/>
  <c r="G13" i="6"/>
  <c r="G17" i="6"/>
  <c r="G15" i="6"/>
  <c r="H15" i="6" s="1"/>
  <c r="G10" i="6"/>
  <c r="E10" i="6" s="1"/>
  <c r="F10" i="6" s="1"/>
  <c r="G14" i="6"/>
  <c r="H14" i="6" s="1"/>
  <c r="G9" i="6"/>
  <c r="E9" i="6" s="1"/>
  <c r="F9" i="6" s="1"/>
  <c r="G7" i="6"/>
  <c r="G8" i="6"/>
  <c r="H8" i="6" s="1"/>
  <c r="H17" i="6"/>
  <c r="E17" i="6"/>
  <c r="F17" i="6" s="1"/>
  <c r="H13" i="6"/>
  <c r="E13" i="6"/>
  <c r="F13" i="6" s="1"/>
  <c r="H16" i="6"/>
  <c r="E16" i="6"/>
  <c r="F16" i="6" s="1"/>
  <c r="H10" i="6"/>
  <c r="H12" i="6"/>
  <c r="E12" i="6"/>
  <c r="F12" i="6" s="1"/>
  <c r="H11" i="6"/>
  <c r="E11" i="6"/>
  <c r="F11" i="6" s="1"/>
  <c r="E7" i="6"/>
  <c r="F7" i="6" s="1"/>
  <c r="H7" i="6"/>
  <c r="E8" i="6"/>
  <c r="F8" i="6" s="1"/>
  <c r="B19" i="2"/>
  <c r="D19" i="2"/>
  <c r="I19" i="2"/>
  <c r="L19" i="2"/>
  <c r="N19" i="2"/>
  <c r="O19" i="2"/>
  <c r="P19" i="2"/>
  <c r="Q19" i="2"/>
  <c r="S19" i="2"/>
  <c r="T19" i="2"/>
  <c r="U19" i="2"/>
  <c r="V19" i="2"/>
  <c r="W19" i="2"/>
  <c r="X19" i="2"/>
  <c r="Y19" i="2"/>
  <c r="Z19" i="2"/>
  <c r="AA19" i="2"/>
  <c r="AB19" i="2"/>
  <c r="AC19" i="2"/>
  <c r="AD19" i="2"/>
  <c r="AE19" i="2"/>
  <c r="AF19" i="2"/>
  <c r="AG19" i="2"/>
  <c r="AH19" i="2"/>
  <c r="AI19" i="2"/>
  <c r="AJ19" i="2"/>
  <c r="AK19" i="2"/>
  <c r="AL19" i="2"/>
  <c r="AM19" i="2"/>
  <c r="AN19" i="2"/>
  <c r="AO19" i="2"/>
  <c r="J18" i="2"/>
  <c r="J14" i="2"/>
  <c r="J15" i="2"/>
  <c r="J16" i="2"/>
  <c r="J17" i="2"/>
  <c r="J10" i="2"/>
  <c r="J13" i="2"/>
  <c r="J11" i="2"/>
  <c r="J7" i="2"/>
  <c r="J8" i="2"/>
  <c r="J9" i="2"/>
  <c r="J12" i="2"/>
  <c r="M18" i="2"/>
  <c r="M14" i="2"/>
  <c r="M15" i="2"/>
  <c r="M16" i="2"/>
  <c r="M17" i="2"/>
  <c r="M10" i="2"/>
  <c r="M13" i="2"/>
  <c r="M11" i="2"/>
  <c r="M7" i="2"/>
  <c r="M8" i="2"/>
  <c r="M9" i="2"/>
  <c r="M12" i="2"/>
  <c r="R18" i="2"/>
  <c r="R14" i="2"/>
  <c r="R15" i="2"/>
  <c r="R16" i="2"/>
  <c r="R17" i="2"/>
  <c r="R10" i="2"/>
  <c r="R13" i="2"/>
  <c r="R11" i="2"/>
  <c r="R7" i="2"/>
  <c r="R8" i="2"/>
  <c r="R9" i="2"/>
  <c r="R12" i="2"/>
  <c r="B18" i="5"/>
  <c r="D18" i="5"/>
  <c r="I18" i="5"/>
  <c r="L18" i="5"/>
  <c r="N18" i="5"/>
  <c r="O18" i="5"/>
  <c r="P18" i="5"/>
  <c r="Q18" i="5"/>
  <c r="S18" i="5"/>
  <c r="T18" i="5"/>
  <c r="U18" i="5"/>
  <c r="V18" i="5"/>
  <c r="W18" i="5"/>
  <c r="X18" i="5"/>
  <c r="Y18" i="5"/>
  <c r="Z18" i="5"/>
  <c r="AA18" i="5"/>
  <c r="AB18" i="5"/>
  <c r="AC18" i="5"/>
  <c r="AD18" i="5"/>
  <c r="AE18" i="5"/>
  <c r="AF18" i="5"/>
  <c r="AG18" i="5"/>
  <c r="AH18" i="5"/>
  <c r="AI18" i="5"/>
  <c r="AJ18" i="5"/>
  <c r="AK18" i="5"/>
  <c r="AL18" i="5"/>
  <c r="AM18" i="5"/>
  <c r="AN18" i="5"/>
  <c r="AO18" i="5"/>
  <c r="J7" i="5"/>
  <c r="J8" i="5"/>
  <c r="J9" i="5"/>
  <c r="J10" i="5"/>
  <c r="J11" i="5"/>
  <c r="J12" i="5"/>
  <c r="J13" i="5"/>
  <c r="J14" i="5"/>
  <c r="J15" i="5"/>
  <c r="J16" i="5"/>
  <c r="J17" i="5"/>
  <c r="M7" i="5"/>
  <c r="M8" i="5"/>
  <c r="M9" i="5"/>
  <c r="M10" i="5"/>
  <c r="M11" i="5"/>
  <c r="M12" i="5"/>
  <c r="M13" i="5"/>
  <c r="M14" i="5"/>
  <c r="M15" i="5"/>
  <c r="M16" i="5"/>
  <c r="M17" i="5"/>
  <c r="R7" i="5"/>
  <c r="R8" i="5"/>
  <c r="R9" i="5"/>
  <c r="R10" i="5"/>
  <c r="R11" i="5"/>
  <c r="R12" i="5"/>
  <c r="R13" i="5"/>
  <c r="R14" i="5"/>
  <c r="R15" i="5"/>
  <c r="R16" i="5"/>
  <c r="R17" i="5"/>
  <c r="E14" i="6" l="1"/>
  <c r="F14" i="6" s="1"/>
  <c r="H9" i="6"/>
  <c r="E15" i="6"/>
  <c r="F15" i="6" s="1"/>
  <c r="G17" i="5"/>
  <c r="G9" i="2"/>
  <c r="G17" i="2"/>
  <c r="E17" i="2" s="1"/>
  <c r="F17" i="2" s="1"/>
  <c r="G8" i="2"/>
  <c r="H8" i="2" s="1"/>
  <c r="G16" i="2"/>
  <c r="H16" i="2" s="1"/>
  <c r="G7" i="2"/>
  <c r="E7" i="2" s="1"/>
  <c r="F7" i="2" s="1"/>
  <c r="G15" i="2"/>
  <c r="E15" i="2" s="1"/>
  <c r="F15" i="2" s="1"/>
  <c r="G11" i="2"/>
  <c r="G14" i="2"/>
  <c r="E14" i="2" s="1"/>
  <c r="F14" i="2" s="1"/>
  <c r="G13" i="2"/>
  <c r="E13" i="2" s="1"/>
  <c r="F13" i="2" s="1"/>
  <c r="G18" i="2"/>
  <c r="E18" i="2" s="1"/>
  <c r="F18" i="2" s="1"/>
  <c r="G12" i="2"/>
  <c r="E12" i="2" s="1"/>
  <c r="F12" i="2" s="1"/>
  <c r="G10" i="2"/>
  <c r="E10" i="2" s="1"/>
  <c r="F10" i="2" s="1"/>
  <c r="E9" i="2"/>
  <c r="F9" i="2" s="1"/>
  <c r="H9" i="2"/>
  <c r="E16" i="2"/>
  <c r="F16" i="2" s="1"/>
  <c r="E8" i="2"/>
  <c r="F8" i="2" s="1"/>
  <c r="H14" i="2"/>
  <c r="E11" i="2"/>
  <c r="F11" i="2" s="1"/>
  <c r="H11" i="2"/>
  <c r="G11" i="5"/>
  <c r="G13" i="5"/>
  <c r="E13" i="5" s="1"/>
  <c r="F13" i="5" s="1"/>
  <c r="G7" i="5"/>
  <c r="E7" i="5" s="1"/>
  <c r="F7" i="5" s="1"/>
  <c r="G12" i="5"/>
  <c r="E12" i="5" s="1"/>
  <c r="F12" i="5" s="1"/>
  <c r="G14" i="5"/>
  <c r="E14" i="5" s="1"/>
  <c r="F14" i="5" s="1"/>
  <c r="G8" i="5"/>
  <c r="E8" i="5" s="1"/>
  <c r="F8" i="5" s="1"/>
  <c r="G16" i="5"/>
  <c r="H16" i="5" s="1"/>
  <c r="G10" i="5"/>
  <c r="E10" i="5" s="1"/>
  <c r="F10" i="5" s="1"/>
  <c r="G15" i="5"/>
  <c r="H15" i="5" s="1"/>
  <c r="G9" i="5"/>
  <c r="H9" i="5" s="1"/>
  <c r="H14" i="5"/>
  <c r="E17" i="5"/>
  <c r="F17" i="5" s="1"/>
  <c r="H17" i="5"/>
  <c r="H11" i="5"/>
  <c r="E11" i="5"/>
  <c r="F11" i="5" s="1"/>
  <c r="H13" i="5"/>
  <c r="H7" i="5"/>
  <c r="B10" i="10"/>
  <c r="D10" i="10"/>
  <c r="I10" i="10"/>
  <c r="L10" i="10"/>
  <c r="N10" i="10"/>
  <c r="O10" i="10"/>
  <c r="P10" i="10"/>
  <c r="Q10" i="10"/>
  <c r="S10" i="10"/>
  <c r="T10" i="10"/>
  <c r="U10" i="10"/>
  <c r="V10" i="10"/>
  <c r="W10" i="10"/>
  <c r="X10" i="10"/>
  <c r="Y10" i="10"/>
  <c r="Z10" i="10"/>
  <c r="AA10" i="10"/>
  <c r="AB10" i="10"/>
  <c r="AC10" i="10"/>
  <c r="AD10" i="10"/>
  <c r="AE10" i="10"/>
  <c r="AF10" i="10"/>
  <c r="AG10" i="10"/>
  <c r="AH10" i="10"/>
  <c r="AI10" i="10"/>
  <c r="AJ10" i="10"/>
  <c r="AK10" i="10"/>
  <c r="AL10" i="10"/>
  <c r="AM10" i="10"/>
  <c r="AN10" i="10"/>
  <c r="AO10" i="10"/>
  <c r="J7" i="10"/>
  <c r="J8" i="10"/>
  <c r="J9" i="10"/>
  <c r="M7" i="10"/>
  <c r="M8" i="10"/>
  <c r="M9" i="10"/>
  <c r="R7" i="10"/>
  <c r="R8" i="10"/>
  <c r="R9" i="10"/>
  <c r="B11" i="9"/>
  <c r="D11" i="9"/>
  <c r="I11" i="9"/>
  <c r="L11" i="9"/>
  <c r="N11" i="9"/>
  <c r="O11" i="9"/>
  <c r="P11" i="9"/>
  <c r="Q11" i="9"/>
  <c r="S11" i="9"/>
  <c r="T11" i="9"/>
  <c r="U11" i="9"/>
  <c r="V11" i="9"/>
  <c r="W11" i="9"/>
  <c r="X11" i="9"/>
  <c r="Y11" i="9"/>
  <c r="Z11" i="9"/>
  <c r="AA11" i="9"/>
  <c r="AB11" i="9"/>
  <c r="AC11" i="9"/>
  <c r="AD11" i="9"/>
  <c r="AE11" i="9"/>
  <c r="AF11" i="9"/>
  <c r="AG11" i="9"/>
  <c r="AH11" i="9"/>
  <c r="AI11" i="9"/>
  <c r="AJ11" i="9"/>
  <c r="AK11" i="9"/>
  <c r="AL11" i="9"/>
  <c r="AM11" i="9"/>
  <c r="AN11" i="9"/>
  <c r="AO11" i="9"/>
  <c r="J9" i="9"/>
  <c r="J8" i="9"/>
  <c r="J10" i="9"/>
  <c r="J7" i="9"/>
  <c r="M9" i="9"/>
  <c r="M8" i="9"/>
  <c r="M10" i="9"/>
  <c r="M7" i="9"/>
  <c r="R9" i="9"/>
  <c r="R8" i="9"/>
  <c r="R10" i="9"/>
  <c r="R7" i="9"/>
  <c r="B8" i="8"/>
  <c r="D8" i="8"/>
  <c r="I8" i="8"/>
  <c r="L8" i="8"/>
  <c r="N8" i="8"/>
  <c r="O8" i="8"/>
  <c r="P8" i="8"/>
  <c r="Q8" i="8"/>
  <c r="S8" i="8"/>
  <c r="T8" i="8"/>
  <c r="U8" i="8"/>
  <c r="V8" i="8"/>
  <c r="W8" i="8"/>
  <c r="X8" i="8"/>
  <c r="Y8" i="8"/>
  <c r="Z8" i="8"/>
  <c r="AA8" i="8"/>
  <c r="AB8" i="8"/>
  <c r="AC8" i="8"/>
  <c r="AD8" i="8"/>
  <c r="AE8" i="8"/>
  <c r="AF8" i="8"/>
  <c r="AG8" i="8"/>
  <c r="AH8" i="8"/>
  <c r="AI8" i="8"/>
  <c r="AJ8" i="8"/>
  <c r="AK8" i="8"/>
  <c r="AL8" i="8"/>
  <c r="AM8" i="8"/>
  <c r="AN8" i="8"/>
  <c r="AO8" i="8"/>
  <c r="J7" i="8"/>
  <c r="M7" i="8"/>
  <c r="R7" i="8"/>
  <c r="C22" i="7"/>
  <c r="E22" i="7"/>
  <c r="J22" i="7"/>
  <c r="M22" i="7"/>
  <c r="O22" i="7"/>
  <c r="P22" i="7"/>
  <c r="Q22" i="7"/>
  <c r="R22" i="7"/>
  <c r="T22" i="7"/>
  <c r="U22" i="7"/>
  <c r="V22" i="7"/>
  <c r="W22" i="7"/>
  <c r="X22" i="7"/>
  <c r="Y22" i="7"/>
  <c r="Z22" i="7"/>
  <c r="AA22" i="7"/>
  <c r="AB22" i="7"/>
  <c r="AC22" i="7"/>
  <c r="AD22" i="7"/>
  <c r="AE22" i="7"/>
  <c r="AF22" i="7"/>
  <c r="AG22" i="7"/>
  <c r="AH22" i="7"/>
  <c r="AI22" i="7"/>
  <c r="AJ22" i="7"/>
  <c r="AK22" i="7"/>
  <c r="AL22" i="7"/>
  <c r="AM22" i="7"/>
  <c r="AN22" i="7"/>
  <c r="AO22" i="7"/>
  <c r="AP22" i="7"/>
  <c r="K7" i="7"/>
  <c r="K8" i="7"/>
  <c r="K11" i="7"/>
  <c r="K12" i="7"/>
  <c r="K19" i="7"/>
  <c r="K20" i="7"/>
  <c r="K21" i="7"/>
  <c r="K16" i="7"/>
  <c r="K15" i="7"/>
  <c r="K9" i="7"/>
  <c r="K13" i="7"/>
  <c r="K18" i="7"/>
  <c r="K17" i="7"/>
  <c r="K10" i="7"/>
  <c r="K14" i="7"/>
  <c r="N7" i="7"/>
  <c r="N8" i="7"/>
  <c r="N11" i="7"/>
  <c r="N12" i="7"/>
  <c r="N19" i="7"/>
  <c r="N20" i="7"/>
  <c r="N21" i="7"/>
  <c r="N16" i="7"/>
  <c r="N15" i="7"/>
  <c r="N9" i="7"/>
  <c r="N13" i="7"/>
  <c r="N18" i="7"/>
  <c r="N17" i="7"/>
  <c r="N10" i="7"/>
  <c r="N14" i="7"/>
  <c r="S7" i="7"/>
  <c r="S8" i="7"/>
  <c r="S11" i="7"/>
  <c r="S12" i="7"/>
  <c r="S19" i="7"/>
  <c r="S20" i="7"/>
  <c r="S21" i="7"/>
  <c r="S16" i="7"/>
  <c r="S15" i="7"/>
  <c r="S9" i="7"/>
  <c r="S13" i="7"/>
  <c r="S18" i="7"/>
  <c r="S17" i="7"/>
  <c r="S10" i="7"/>
  <c r="S14" i="7"/>
  <c r="H10" i="5" l="1"/>
  <c r="E16" i="5"/>
  <c r="F16" i="5" s="1"/>
  <c r="H12" i="5"/>
  <c r="H18" i="2"/>
  <c r="H17" i="2"/>
  <c r="H10" i="2"/>
  <c r="H12" i="2"/>
  <c r="H13" i="2"/>
  <c r="H7" i="2"/>
  <c r="H15" i="2"/>
  <c r="H8" i="5"/>
  <c r="E9" i="5"/>
  <c r="F9" i="5" s="1"/>
  <c r="E15" i="5"/>
  <c r="F15" i="5" s="1"/>
  <c r="G8" i="10"/>
  <c r="G9" i="10"/>
  <c r="E9" i="10" s="1"/>
  <c r="F9" i="10" s="1"/>
  <c r="G7" i="10"/>
  <c r="H7" i="10" s="1"/>
  <c r="E8" i="10"/>
  <c r="F8" i="10" s="1"/>
  <c r="H8" i="10"/>
  <c r="G9" i="9"/>
  <c r="G7" i="9"/>
  <c r="E7" i="9" s="1"/>
  <c r="F7" i="9" s="1"/>
  <c r="G10" i="9"/>
  <c r="E10" i="9" s="1"/>
  <c r="F10" i="9" s="1"/>
  <c r="G8" i="9"/>
  <c r="E8" i="9" s="1"/>
  <c r="F8" i="9" s="1"/>
  <c r="E9" i="9"/>
  <c r="F9" i="9" s="1"/>
  <c r="H9" i="9"/>
  <c r="H7" i="9"/>
  <c r="G7" i="8"/>
  <c r="E7" i="8"/>
  <c r="F7" i="8" s="1"/>
  <c r="H7" i="8"/>
  <c r="H9" i="7"/>
  <c r="H12" i="7"/>
  <c r="H14" i="7"/>
  <c r="F14" i="7" s="1"/>
  <c r="G14" i="7" s="1"/>
  <c r="H15" i="7"/>
  <c r="I15" i="7" s="1"/>
  <c r="H11" i="7"/>
  <c r="I11" i="7" s="1"/>
  <c r="H13" i="7"/>
  <c r="I13" i="7" s="1"/>
  <c r="H10" i="7"/>
  <c r="I10" i="7" s="1"/>
  <c r="H16" i="7"/>
  <c r="I16" i="7" s="1"/>
  <c r="H8" i="7"/>
  <c r="F8" i="7" s="1"/>
  <c r="G8" i="7" s="1"/>
  <c r="H17" i="7"/>
  <c r="F17" i="7" s="1"/>
  <c r="G17" i="7" s="1"/>
  <c r="H21" i="7"/>
  <c r="I21" i="7" s="1"/>
  <c r="H7" i="7"/>
  <c r="F7" i="7" s="1"/>
  <c r="G7" i="7" s="1"/>
  <c r="H19" i="7"/>
  <c r="H18" i="7"/>
  <c r="F18" i="7" s="1"/>
  <c r="G18" i="7" s="1"/>
  <c r="H20" i="7"/>
  <c r="F20" i="7" s="1"/>
  <c r="G20" i="7" s="1"/>
  <c r="I19" i="7"/>
  <c r="F19" i="7"/>
  <c r="G19" i="7" s="1"/>
  <c r="I9" i="7"/>
  <c r="F9" i="7"/>
  <c r="G9" i="7" s="1"/>
  <c r="I12" i="7"/>
  <c r="F12" i="7"/>
  <c r="G12" i="7" s="1"/>
  <c r="F11" i="7"/>
  <c r="G11" i="7" s="1"/>
  <c r="F10" i="7"/>
  <c r="G10" i="7" s="1"/>
  <c r="F21" i="7"/>
  <c r="G21" i="7" s="1"/>
  <c r="I18" i="7"/>
  <c r="I20" i="7"/>
  <c r="H9" i="10" l="1"/>
  <c r="F16" i="7"/>
  <c r="G16" i="7" s="1"/>
  <c r="I14" i="7"/>
  <c r="E7" i="10"/>
  <c r="F7" i="10" s="1"/>
  <c r="H8" i="9"/>
  <c r="H10" i="9"/>
  <c r="I7" i="7"/>
  <c r="F13" i="7"/>
  <c r="G13" i="7" s="1"/>
  <c r="F15" i="7"/>
  <c r="G15" i="7" s="1"/>
  <c r="I8" i="7"/>
  <c r="I17" i="7"/>
  <c r="F50" i="10" l="1"/>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59" i="2" l="1"/>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58" i="5" l="1"/>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G11" i="9" l="1"/>
  <c r="H55" i="4"/>
  <c r="M55" i="4"/>
  <c r="P55" i="4"/>
  <c r="U55" i="4"/>
  <c r="CE7" i="4"/>
  <c r="CE8" i="4"/>
  <c r="CE9" i="4"/>
  <c r="CE10" i="4"/>
  <c r="CE11" i="4"/>
  <c r="CE12" i="4"/>
  <c r="CE13" i="4"/>
  <c r="CE14" i="4"/>
  <c r="CE15" i="4"/>
  <c r="CE16" i="4"/>
  <c r="CE17" i="4"/>
  <c r="CE18" i="4"/>
  <c r="CE19" i="4"/>
  <c r="CE20" i="4"/>
  <c r="CE21" i="4"/>
  <c r="CE22" i="4"/>
  <c r="CE23" i="4"/>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58" i="6"/>
  <c r="E51" i="9"/>
  <c r="E58" i="5"/>
  <c r="E62" i="7"/>
  <c r="E48" i="8"/>
  <c r="E50" i="10"/>
  <c r="E57" i="6"/>
  <c r="E50" i="9"/>
  <c r="E57" i="5"/>
  <c r="E61" i="7"/>
  <c r="E47" i="8"/>
  <c r="E49" i="10"/>
  <c r="E56" i="6"/>
  <c r="E49" i="9"/>
  <c r="E56" i="5"/>
  <c r="E60" i="7"/>
  <c r="E46" i="8"/>
  <c r="E48" i="10"/>
  <c r="E55" i="6"/>
  <c r="E48" i="9"/>
  <c r="E55" i="5"/>
  <c r="E59" i="7"/>
  <c r="E45" i="8"/>
  <c r="E47" i="10"/>
  <c r="E54" i="6"/>
  <c r="E47" i="9"/>
  <c r="E54" i="5"/>
  <c r="E58" i="7"/>
  <c r="E44" i="8"/>
  <c r="E46" i="10"/>
  <c r="E53" i="6"/>
  <c r="E46" i="9"/>
  <c r="E53" i="5"/>
  <c r="E57" i="7"/>
  <c r="E43" i="8"/>
  <c r="E45" i="10"/>
  <c r="E52" i="6"/>
  <c r="E45" i="9"/>
  <c r="E52" i="5"/>
  <c r="E56" i="7"/>
  <c r="E42" i="8"/>
  <c r="E44" i="10"/>
  <c r="E51" i="6"/>
  <c r="E44" i="9"/>
  <c r="E51" i="5"/>
  <c r="E55" i="7"/>
  <c r="E41" i="8"/>
  <c r="E43" i="10"/>
  <c r="E50" i="6"/>
  <c r="E43" i="9"/>
  <c r="E50" i="5"/>
  <c r="E54" i="7"/>
  <c r="E40" i="8"/>
  <c r="E42" i="10"/>
  <c r="E49" i="6"/>
  <c r="E42" i="9"/>
  <c r="E49" i="5"/>
  <c r="E53" i="7"/>
  <c r="E39" i="8"/>
  <c r="E41" i="10"/>
  <c r="E48" i="6"/>
  <c r="E41" i="9"/>
  <c r="E48" i="5"/>
  <c r="E52" i="7"/>
  <c r="E38" i="8"/>
  <c r="E40" i="10"/>
  <c r="E47" i="6"/>
  <c r="E40" i="9"/>
  <c r="E47" i="5"/>
  <c r="E51" i="7"/>
  <c r="E37" i="8"/>
  <c r="E39" i="10"/>
  <c r="E46" i="6"/>
  <c r="E39" i="9"/>
  <c r="E46" i="5"/>
  <c r="E50" i="7"/>
  <c r="E36" i="8"/>
  <c r="E38" i="10"/>
  <c r="E45" i="6"/>
  <c r="E38" i="9"/>
  <c r="E45" i="5"/>
  <c r="E49" i="7"/>
  <c r="E35" i="8"/>
  <c r="E37" i="10"/>
  <c r="E44" i="6"/>
  <c r="E37" i="9"/>
  <c r="E44" i="5"/>
  <c r="E48" i="7"/>
  <c r="E34" i="8"/>
  <c r="E36" i="10"/>
  <c r="E43" i="6"/>
  <c r="E36" i="9"/>
  <c r="E43" i="5"/>
  <c r="E47" i="7"/>
  <c r="E33" i="8"/>
  <c r="E35" i="10"/>
  <c r="E42" i="6"/>
  <c r="E35" i="9"/>
  <c r="E42" i="5"/>
  <c r="E46" i="7"/>
  <c r="E32" i="8"/>
  <c r="E34" i="10"/>
  <c r="E41" i="6"/>
  <c r="E34" i="9"/>
  <c r="E41" i="5"/>
  <c r="E45" i="7"/>
  <c r="E31" i="8"/>
  <c r="E33" i="10"/>
  <c r="E40" i="6"/>
  <c r="E33" i="9"/>
  <c r="E40" i="5"/>
  <c r="E44" i="7"/>
  <c r="E30" i="8"/>
  <c r="E32" i="10"/>
  <c r="E39" i="6"/>
  <c r="E32" i="9"/>
  <c r="E39" i="5"/>
  <c r="E43" i="7"/>
  <c r="E29" i="8"/>
  <c r="E31" i="10"/>
  <c r="E38" i="6"/>
  <c r="E31" i="9"/>
  <c r="E38" i="5"/>
  <c r="E42" i="7"/>
  <c r="E28" i="8"/>
  <c r="E30" i="10"/>
  <c r="E37" i="6"/>
  <c r="E30" i="9"/>
  <c r="E37" i="5"/>
  <c r="E41" i="7"/>
  <c r="E27" i="8"/>
  <c r="E29" i="10"/>
  <c r="E36" i="6"/>
  <c r="E29" i="9"/>
  <c r="E36" i="5"/>
  <c r="E40" i="7"/>
  <c r="E26" i="8"/>
  <c r="E28" i="10"/>
  <c r="E35" i="6"/>
  <c r="E28" i="9"/>
  <c r="E35" i="5"/>
  <c r="E39" i="7"/>
  <c r="E25" i="8"/>
  <c r="E27" i="10"/>
  <c r="E34" i="6"/>
  <c r="E27" i="9"/>
  <c r="E34" i="5"/>
  <c r="E38" i="7"/>
  <c r="E24" i="8"/>
  <c r="E26" i="10"/>
  <c r="E33" i="6"/>
  <c r="E26" i="9"/>
  <c r="E33" i="5"/>
  <c r="E37" i="7"/>
  <c r="E23" i="8"/>
  <c r="E25" i="10"/>
  <c r="E32" i="6"/>
  <c r="E25" i="9"/>
  <c r="E32" i="5"/>
  <c r="E36" i="7"/>
  <c r="E22" i="8"/>
  <c r="E24" i="10"/>
  <c r="E31" i="6"/>
  <c r="E24" i="9"/>
  <c r="E31" i="5"/>
  <c r="E35" i="7"/>
  <c r="E21" i="8"/>
  <c r="E23" i="10"/>
  <c r="E30" i="6"/>
  <c r="E23" i="9"/>
  <c r="E30" i="5"/>
  <c r="E34" i="7"/>
  <c r="E20" i="8"/>
  <c r="E22" i="10"/>
  <c r="E29" i="6"/>
  <c r="E22" i="9"/>
  <c r="E29" i="5"/>
  <c r="E33" i="7"/>
  <c r="E19" i="8"/>
  <c r="E21" i="10"/>
  <c r="R10" i="10"/>
  <c r="M10" i="10"/>
  <c r="J10" i="10"/>
  <c r="G10" i="10"/>
  <c r="R11" i="9"/>
  <c r="M11" i="9"/>
  <c r="J11" i="9"/>
  <c r="R8" i="8"/>
  <c r="M8" i="8"/>
  <c r="J8" i="8"/>
  <c r="G8" i="8"/>
  <c r="S22" i="7"/>
  <c r="N22" i="7"/>
  <c r="K22" i="7"/>
  <c r="R18" i="6"/>
  <c r="J18" i="6"/>
  <c r="R18" i="5"/>
  <c r="M18" i="5"/>
  <c r="J18" i="5"/>
  <c r="G18" i="5"/>
  <c r="E18" i="5"/>
  <c r="J19" i="2"/>
  <c r="M19" i="2"/>
  <c r="R19" i="2"/>
  <c r="AZ24" i="4"/>
  <c r="BG15" i="4"/>
  <c r="BF15" i="4" s="1"/>
  <c r="BG16" i="4"/>
  <c r="BF16" i="4" s="1"/>
  <c r="BB16" i="4" s="1"/>
  <c r="BA16" i="4" s="1"/>
  <c r="AY16" i="4" s="1"/>
  <c r="BG17" i="4"/>
  <c r="BF17" i="4" s="1"/>
  <c r="BB17" i="4" s="1"/>
  <c r="BA17" i="4" s="1"/>
  <c r="AY17" i="4" s="1"/>
  <c r="BG18" i="4"/>
  <c r="BF18" i="4" s="1"/>
  <c r="BB18" i="4" s="1"/>
  <c r="BA18" i="4" s="1"/>
  <c r="AY18" i="4" s="1"/>
  <c r="BG19" i="4"/>
  <c r="BF19" i="4" s="1"/>
  <c r="BB19" i="4" s="1"/>
  <c r="BA19" i="4" s="1"/>
  <c r="AY19" i="4" s="1"/>
  <c r="BG20" i="4"/>
  <c r="BF20" i="4" s="1"/>
  <c r="BB20" i="4" s="1"/>
  <c r="BA20" i="4" s="1"/>
  <c r="AY20" i="4" s="1"/>
  <c r="BG21" i="4"/>
  <c r="BF21" i="4" s="1"/>
  <c r="BB21" i="4" s="1"/>
  <c r="BA21" i="4" s="1"/>
  <c r="AY21" i="4" s="1"/>
  <c r="BG22" i="4"/>
  <c r="BF22" i="4" s="1"/>
  <c r="BB22" i="4" s="1"/>
  <c r="BA22" i="4" s="1"/>
  <c r="AY22" i="4" s="1"/>
  <c r="BG23" i="4"/>
  <c r="BF23" i="4" s="1"/>
  <c r="BB23" i="4" s="1"/>
  <c r="BA23" i="4" s="1"/>
  <c r="AY23" i="4" s="1"/>
  <c r="BB7" i="4"/>
  <c r="BB8" i="4"/>
  <c r="BB9" i="4"/>
  <c r="BB10" i="4"/>
  <c r="BB11" i="4"/>
  <c r="BB12" i="4"/>
  <c r="BB13" i="4"/>
  <c r="BB14" i="4"/>
  <c r="BC24" i="4"/>
  <c r="AZ34" i="4" s="1"/>
  <c r="BD24" i="4"/>
  <c r="AZ35" i="4" s="1"/>
  <c r="BE24" i="4"/>
  <c r="AZ36" i="4" s="1"/>
  <c r="BG7" i="4"/>
  <c r="BG8" i="4"/>
  <c r="BG9" i="4"/>
  <c r="BG10" i="4"/>
  <c r="BG11" i="4"/>
  <c r="BG12" i="4"/>
  <c r="BG13" i="4"/>
  <c r="BG14" i="4"/>
  <c r="BH24" i="4"/>
  <c r="AZ39" i="4" s="1"/>
  <c r="BI24" i="4"/>
  <c r="BJ24" i="4"/>
  <c r="AZ40" i="4" s="1"/>
  <c r="BK24" i="4"/>
  <c r="AZ41" i="4" s="1"/>
  <c r="BL24" i="4"/>
  <c r="AZ42" i="4" s="1"/>
  <c r="BM24" i="4"/>
  <c r="AZ43" i="4" s="1"/>
  <c r="BN24" i="4"/>
  <c r="AZ44" i="4" s="1"/>
  <c r="BO24" i="4"/>
  <c r="AZ45" i="4" s="1"/>
  <c r="BP24" i="4"/>
  <c r="AZ46" i="4" s="1"/>
  <c r="BQ24" i="4"/>
  <c r="AZ47" i="4" s="1"/>
  <c r="BR24" i="4"/>
  <c r="AZ48" i="4" s="1"/>
  <c r="BS24" i="4"/>
  <c r="AZ49" i="4" s="1"/>
  <c r="BT24" i="4"/>
  <c r="AZ50" i="4" s="1"/>
  <c r="BU24" i="4"/>
  <c r="AZ51" i="4" s="1"/>
  <c r="BV24" i="4"/>
  <c r="AZ52" i="4" s="1"/>
  <c r="BW24" i="4"/>
  <c r="AZ53" i="4" s="1"/>
  <c r="BX24" i="4"/>
  <c r="AZ54" i="4" s="1"/>
  <c r="BY24" i="4"/>
  <c r="AZ55" i="4" s="1"/>
  <c r="BZ24" i="4"/>
  <c r="AZ56" i="4" s="1"/>
  <c r="CA24" i="4"/>
  <c r="AZ57" i="4" s="1"/>
  <c r="CB24" i="4"/>
  <c r="AZ58" i="4" s="1"/>
  <c r="CC24" i="4"/>
  <c r="AZ59" i="4" s="1"/>
  <c r="CD24" i="4"/>
  <c r="AZ31" i="4" s="1"/>
  <c r="AY7" i="4"/>
  <c r="AY8" i="4"/>
  <c r="AY9" i="4"/>
  <c r="AY10" i="4"/>
  <c r="AY11" i="4"/>
  <c r="AY12" i="4"/>
  <c r="AY13" i="4"/>
  <c r="AY14" i="4"/>
  <c r="BG24" i="4" l="1"/>
  <c r="BB15" i="4"/>
  <c r="BA15" i="4" s="1"/>
  <c r="BF24" i="4"/>
  <c r="AZ37" i="4" s="1"/>
  <c r="BG55" i="4"/>
  <c r="BG49" i="4"/>
  <c r="BG43" i="4"/>
  <c r="BG38" i="4"/>
  <c r="BG32" i="4"/>
  <c r="BG54" i="4"/>
  <c r="BG48" i="4"/>
  <c r="BG42" i="4"/>
  <c r="BG37" i="4"/>
  <c r="BG31" i="4"/>
  <c r="BG59" i="4"/>
  <c r="BG53" i="4"/>
  <c r="BG47" i="4"/>
  <c r="BG41" i="4"/>
  <c r="BG36" i="4"/>
  <c r="BG34" i="4"/>
  <c r="BG58" i="4"/>
  <c r="BG52" i="4"/>
  <c r="BG46" i="4"/>
  <c r="BG40" i="4"/>
  <c r="BG35" i="4"/>
  <c r="BG57" i="4"/>
  <c r="BG51" i="4"/>
  <c r="BG45" i="4"/>
  <c r="BG56" i="4"/>
  <c r="BG50" i="4"/>
  <c r="BG44" i="4"/>
  <c r="BG39" i="4"/>
  <c r="BG33" i="4"/>
  <c r="G19" i="2"/>
  <c r="BA24" i="4"/>
  <c r="AY15" i="4"/>
  <c r="AY24" i="4" s="1"/>
  <c r="K55" i="4"/>
  <c r="BB56" i="4"/>
  <c r="L33" i="3" s="1"/>
  <c r="BB57" i="4"/>
  <c r="L34" i="3" s="1"/>
  <c r="BB37" i="4"/>
  <c r="L13" i="3" s="1"/>
  <c r="BB44" i="4"/>
  <c r="L21" i="3" s="1"/>
  <c r="BB52" i="4"/>
  <c r="L29" i="3" s="1"/>
  <c r="BB32" i="4"/>
  <c r="L8" i="3" s="1"/>
  <c r="L16" i="3"/>
  <c r="BB43" i="4"/>
  <c r="L20" i="3" s="1"/>
  <c r="BB47" i="4"/>
  <c r="L24" i="3" s="1"/>
  <c r="BB51" i="4"/>
  <c r="L28" i="3" s="1"/>
  <c r="BB55" i="4"/>
  <c r="L32" i="3" s="1"/>
  <c r="BB59" i="4"/>
  <c r="L36" i="3" s="1"/>
  <c r="I55" i="4"/>
  <c r="BB33" i="4"/>
  <c r="L9" i="3" s="1"/>
  <c r="BB40" i="4"/>
  <c r="L17" i="3" s="1"/>
  <c r="BB48" i="4"/>
  <c r="L25" i="3" s="1"/>
  <c r="CE24" i="4"/>
  <c r="BB36" i="4"/>
  <c r="L12" i="3" s="1"/>
  <c r="BB31" i="4"/>
  <c r="BB35" i="4"/>
  <c r="L11" i="3" s="1"/>
  <c r="BB39" i="4"/>
  <c r="L15" i="3" s="1"/>
  <c r="BB42" i="4"/>
  <c r="L19" i="3" s="1"/>
  <c r="BB46" i="4"/>
  <c r="L23" i="3" s="1"/>
  <c r="BB50" i="4"/>
  <c r="L27" i="3" s="1"/>
  <c r="BB54" i="4"/>
  <c r="L31" i="3" s="1"/>
  <c r="BB58" i="4"/>
  <c r="L35" i="3" s="1"/>
  <c r="BB34" i="4"/>
  <c r="L10" i="3" s="1"/>
  <c r="BB38" i="4"/>
  <c r="L14" i="3" s="1"/>
  <c r="BB41" i="4"/>
  <c r="L18" i="3" s="1"/>
  <c r="BB45" i="4"/>
  <c r="L22" i="3" s="1"/>
  <c r="BB49" i="4"/>
  <c r="L26" i="3" s="1"/>
  <c r="BB53" i="4"/>
  <c r="L30" i="3" s="1"/>
  <c r="E10" i="10"/>
  <c r="E11" i="9"/>
  <c r="E8" i="8"/>
  <c r="H22" i="7"/>
  <c r="F22" i="7"/>
  <c r="E19" i="2"/>
  <c r="AZ32" i="4" l="1"/>
  <c r="L7" i="3"/>
  <c r="L6" i="3" s="1"/>
  <c r="AZ33" i="4"/>
  <c r="AZ38" i="4"/>
  <c r="BB24" i="4"/>
  <c r="M18" i="6" l="1"/>
  <c r="G18" i="6" l="1"/>
  <c r="E18" i="6"/>
</calcChain>
</file>

<file path=xl/connections.xml><?xml version="1.0" encoding="utf-8"?>
<connections xmlns="http://schemas.openxmlformats.org/spreadsheetml/2006/main">
  <connection id="1" name="Agriculture" type="1" refreshedVersion="4" deleted="1" background="1" saveData="1">
    <dbPr connection="" command=""/>
  </connection>
  <connection id="2" name="AT-IngTerr" type="1" refreshedVersion="4" deleted="1" background="1" saveData="1">
    <dbPr connection="" command=""/>
  </connection>
  <connection id="3" name="Attractivité" type="1" refreshedVersion="4" deleted="1" background="1" saveData="1">
    <dbPr connection="" command=""/>
  </connection>
  <connection id="4" name="Biodiversité-MOH" type="1" refreshedVersion="4" deleted="1" background="1" saveData="1">
    <dbPr connection="" command=""/>
  </connection>
  <connection id="5" name="Bois" type="1" refreshedVersion="4" deleted="1" background="1" saveData="1">
    <dbPr connection="" command=""/>
  </connection>
  <connection id="6" name="Pierre" type="1" refreshedVersion="4" deleted="1" background="1" saveData="1">
    <dbPr connection="" command=""/>
  </connection>
  <connection id="7" name="Reprog" type="1" refreshedVersion="4" deleted="1" background="1" saveData="1">
    <dbPr connection="" command=""/>
  </connection>
  <connection id="8" name="Tourisme" type="1" refreshedVersion="4" deleted="1" background="1" saveData="1">
    <dbPr connection="" command=""/>
  </connection>
</connections>
</file>

<file path=xl/sharedStrings.xml><?xml version="1.0" encoding="utf-8"?>
<sst xmlns="http://schemas.openxmlformats.org/spreadsheetml/2006/main" count="1401" uniqueCount="458">
  <si>
    <t>Programme</t>
  </si>
  <si>
    <t>Nom_MO</t>
  </si>
  <si>
    <t>Intitule_Operation</t>
  </si>
  <si>
    <t>Coût total déposé</t>
  </si>
  <si>
    <t>CIMAC</t>
  </si>
  <si>
    <t>POI</t>
  </si>
  <si>
    <t>Communauté de Communes Causses Aigoual Cévennes Terres Solidaires</t>
  </si>
  <si>
    <t>Taux Aide Massif</t>
  </si>
  <si>
    <t>Aide Massif Obtenu</t>
  </si>
  <si>
    <t>Taux Aide Publique</t>
  </si>
  <si>
    <t>ID_Synergie</t>
  </si>
  <si>
    <t>Total</t>
  </si>
  <si>
    <t>VetAgro Sup</t>
  </si>
  <si>
    <t>D158g</t>
  </si>
  <si>
    <t>EPLEFPA Brioude-Bonnefont</t>
  </si>
  <si>
    <t>Melibio</t>
  </si>
  <si>
    <t>D158m</t>
  </si>
  <si>
    <t>VetAgro Sup - ABioDoc</t>
  </si>
  <si>
    <t>ID_dossier GIP</t>
  </si>
  <si>
    <t>D092</t>
  </si>
  <si>
    <t>Conseil départemental du Lot</t>
  </si>
  <si>
    <t>Développement d’un accompagnement technique éco-pastoral innovant pour le maintien d’un bon état agro-écologique des milieux ouverts herbacés.</t>
  </si>
  <si>
    <t xml:space="preserve">Remarques </t>
  </si>
  <si>
    <t>Aide Publique Obtenue</t>
  </si>
  <si>
    <t>Coût total Eligible FEDER</t>
  </si>
  <si>
    <t>Coût total</t>
  </si>
  <si>
    <t>'FNADT'</t>
  </si>
  <si>
    <t>'Agriculture'</t>
  </si>
  <si>
    <t>'AURA'</t>
  </si>
  <si>
    <t>'BFC'</t>
  </si>
  <si>
    <t>'ALPC'</t>
  </si>
  <si>
    <t>'LRMP'</t>
  </si>
  <si>
    <t>'03'</t>
  </si>
  <si>
    <t>'07'</t>
  </si>
  <si>
    <t>'11'</t>
  </si>
  <si>
    <t>'12'</t>
  </si>
  <si>
    <t>'15'</t>
  </si>
  <si>
    <t>'19'</t>
  </si>
  <si>
    <t>'21'</t>
  </si>
  <si>
    <t>'23'</t>
  </si>
  <si>
    <t>'30'</t>
  </si>
  <si>
    <t>'34'</t>
  </si>
  <si>
    <t>'42'</t>
  </si>
  <si>
    <t>'43'</t>
  </si>
  <si>
    <t>'46'</t>
  </si>
  <si>
    <t>'48'</t>
  </si>
  <si>
    <t>'58'</t>
  </si>
  <si>
    <t>'63'</t>
  </si>
  <si>
    <t>'69'</t>
  </si>
  <si>
    <t>'71'</t>
  </si>
  <si>
    <t>'81'</t>
  </si>
  <si>
    <t>'82'</t>
  </si>
  <si>
    <t>'87'</t>
  </si>
  <si>
    <t>'89'</t>
  </si>
  <si>
    <t>'FEDER'</t>
  </si>
  <si>
    <t>'Autre Public'</t>
  </si>
  <si>
    <t>Etat</t>
  </si>
  <si>
    <t>Régions</t>
  </si>
  <si>
    <t>Départements</t>
  </si>
  <si>
    <t>MC0004724</t>
  </si>
  <si>
    <t>D067</t>
  </si>
  <si>
    <t>Commune d'Autun</t>
  </si>
  <si>
    <t>D037e</t>
  </si>
  <si>
    <t>Communauté de communes du Grand Autunois Morvan</t>
  </si>
  <si>
    <t>Aménagements activités pleine nature de la Communauté de communes du Grand Autunois Morvan : développement de l'itinérance verte "vélo" et création d'un espace d'accueil randonneurs en forêt de Montmain</t>
  </si>
  <si>
    <t>MC0004473</t>
  </si>
  <si>
    <t>Développement des activités de pleine nature autour de la base de loisirs Marcel Lucotte à Autun</t>
  </si>
  <si>
    <t>D037d</t>
  </si>
  <si>
    <t>Appel à projet Massif central - Amplification et diversification d'une politique locale d'accueil</t>
  </si>
  <si>
    <t>reprogrammation sur périmètre dérogatoire</t>
  </si>
  <si>
    <t>Aide Massif</t>
  </si>
  <si>
    <t>Bois</t>
  </si>
  <si>
    <t>'Coût total éligible'</t>
  </si>
  <si>
    <t>Tx Aide publique</t>
  </si>
  <si>
    <t>MC0004118</t>
  </si>
  <si>
    <t>Vivier Bois Massif central</t>
  </si>
  <si>
    <t>Groupe projet pilote des entreprises du bois construction Tarn/Hérault</t>
  </si>
  <si>
    <t>1-Favorable</t>
  </si>
  <si>
    <t>MC0004436</t>
  </si>
  <si>
    <t>Chambre des Métiers et de l'Artisanat du Tarn</t>
  </si>
  <si>
    <t>Groupe projet pilote bois construction Tarn Hérault</t>
  </si>
  <si>
    <t>MC0004266</t>
  </si>
  <si>
    <t>Territoires et compétences</t>
  </si>
  <si>
    <t>Groupe projet pilote des entreprises du bois construction pour les bâtiments performants – Action de Coopération Ardèche St Flour</t>
  </si>
  <si>
    <t>MC0004354</t>
  </si>
  <si>
    <t>MC0003840</t>
  </si>
  <si>
    <t>France Douglas</t>
  </si>
  <si>
    <t>Développer l'utilisation du douglas dans la filière bois construction : améliorer l'accès des entreprises aux marchés nationaux et internationaux</t>
  </si>
  <si>
    <t>MC0004006</t>
  </si>
  <si>
    <t>MacCOFOR</t>
  </si>
  <si>
    <t>Amélioration de la valorisation locale du Bois du Massif Central en assurant sa traçabilité – Phase 2</t>
  </si>
  <si>
    <t>MC0003866</t>
  </si>
  <si>
    <t>Action collective d’accompagnement des groupes d’entreprises TPE/PME du bois construction dans la mise en place collaborative des services numériques</t>
  </si>
  <si>
    <t>MC0003795</t>
  </si>
  <si>
    <t>Réseau Alternative Forestière</t>
  </si>
  <si>
    <t>Développement de filières forêt-bois de proximité éthiques et solidaires en Massif central</t>
  </si>
  <si>
    <t>MC0003801</t>
  </si>
  <si>
    <t>Collectif Bois 07</t>
  </si>
  <si>
    <t>Mise en place d’une filière courte écologiquement responsable et socialement solidaire de produits finis et semi-finis en Pin Maritime en Ardèche du Sud</t>
  </si>
  <si>
    <t>MC0003802</t>
  </si>
  <si>
    <t>ERE 43</t>
  </si>
  <si>
    <t>expérimentations d'exploitation forestières éco-responsables et solidaires visant à améliorer le tri des petits lots et la qualité du sciage</t>
  </si>
  <si>
    <t>MC0003941</t>
  </si>
  <si>
    <t>PFBMAC</t>
  </si>
  <si>
    <t xml:space="preserve">Prescription bois et animation de la filière forêt bois  sur le Massif Central </t>
  </si>
  <si>
    <t>MC0004355</t>
  </si>
  <si>
    <t>Communauté de communes du Pays de Saint-Flour Margeride</t>
  </si>
  <si>
    <t>6-Retiré/Abandon</t>
  </si>
  <si>
    <t>Aide 
publique</t>
  </si>
  <si>
    <t>Tx
Aide Massif</t>
  </si>
  <si>
    <t>Avis Prog</t>
  </si>
  <si>
    <t>5-Défavorable</t>
  </si>
  <si>
    <t>FEDER</t>
  </si>
  <si>
    <t>ALPC</t>
  </si>
  <si>
    <t>AURA</t>
  </si>
  <si>
    <t>BFC</t>
  </si>
  <si>
    <t>LRMP</t>
  </si>
  <si>
    <t>MC0005229</t>
  </si>
  <si>
    <t>NumSym</t>
  </si>
  <si>
    <t>Avis</t>
  </si>
  <si>
    <t>Parc naturel régional du Morvan</t>
  </si>
  <si>
    <t>Association du Pays du Haut Limousin</t>
  </si>
  <si>
    <t>Mise en oeuvre d’une politique d’accueil à l’échelle du Pays du Haut Limousin</t>
  </si>
  <si>
    <t>D063</t>
  </si>
  <si>
    <t>MC0005459</t>
  </si>
  <si>
    <t>D115</t>
  </si>
  <si>
    <t>Conseil départemental de la Lozère</t>
  </si>
  <si>
    <t>Accompagner les territoires du Massif central dans la mise en œuvre d’une offre d’accueil qualifiée</t>
  </si>
  <si>
    <t>Commentaires</t>
  </si>
  <si>
    <t>Total Etat</t>
  </si>
  <si>
    <t>Total Régions</t>
  </si>
  <si>
    <t>Total Dpts</t>
  </si>
  <si>
    <t>Pierre</t>
  </si>
  <si>
    <t>D123a</t>
  </si>
  <si>
    <t>Artisans Bâtisseurs en Pierres Sèches (APBS)</t>
  </si>
  <si>
    <t>LAUBAMAC-Consolider et développer les filières des lauziers et bâtisseurs en pierre sèche du massif central</t>
  </si>
  <si>
    <t>D123b</t>
  </si>
  <si>
    <t>ARMINES</t>
  </si>
  <si>
    <t>LAUBAMAC-Thèse sur l'approvisionnement en lauze calcaire à l'échelle du Massif central</t>
  </si>
  <si>
    <t>D123c</t>
  </si>
  <si>
    <t>Chambre des Métiers et de l'Artisanat de la Lozère</t>
  </si>
  <si>
    <t xml:space="preserve">LAUBAMAC - consolider et développer les filières des lauziers et bâtisseurs en pierre sèche du massif central </t>
  </si>
  <si>
    <t>D123d</t>
  </si>
  <si>
    <t>Parc naturel régional des Grands Causses</t>
  </si>
  <si>
    <t>D123e</t>
  </si>
  <si>
    <t>Parc national des Cévennes</t>
  </si>
  <si>
    <t>D123f</t>
  </si>
  <si>
    <t>Parc naturel régional des Causses du Quercy</t>
  </si>
  <si>
    <t>D123g</t>
  </si>
  <si>
    <t>Parc naturel régional des Monts d'Ardeche</t>
  </si>
  <si>
    <t>LAUBAMAC - Opération de sensibilisation et de référence sur la technique de la calade en pierre sèche</t>
  </si>
  <si>
    <t>D124a</t>
  </si>
  <si>
    <t>Association Granit et Pierres du Sidobre</t>
  </si>
  <si>
    <t>Groupe projet pilote d’entreprises pour le développement de l’utilisation de la pierre naturelle locale dans les marchés de la filière– action de coopération interrégionale</t>
  </si>
  <si>
    <t>D124b</t>
  </si>
  <si>
    <t>Association Rhônes-Alpes Pierres Naturelles</t>
  </si>
  <si>
    <t>Groupe projet pilote d’entreprises pour le développement de l’utilisation de la pierre naturelle locale dans les marchés de la filière – action de coopération interrégionale</t>
  </si>
  <si>
    <t>D124c</t>
  </si>
  <si>
    <t>D124d</t>
  </si>
  <si>
    <t>'FNADT '</t>
  </si>
  <si>
    <t>D120</t>
  </si>
  <si>
    <t>Agri-solidarité Lot</t>
  </si>
  <si>
    <t>Poursuite de l'expérimentation : renforcer l'appui des agriculteurs en situation fragile et mise en place d'un suivi personnalisé ( détection précoce et suivi technique ).</t>
  </si>
  <si>
    <t>MC0003872</t>
  </si>
  <si>
    <t>Commune de Thizy les Bourgs</t>
  </si>
  <si>
    <t xml:space="preserve">TERRALIM Producteur de faire Ensemble     </t>
  </si>
  <si>
    <t>MC0003904</t>
  </si>
  <si>
    <t>MC0003907</t>
  </si>
  <si>
    <t>Association "Figeacteurs : la Fabrique"</t>
  </si>
  <si>
    <t>MC0004112</t>
  </si>
  <si>
    <t>Pôle agroalimentaire Loire</t>
  </si>
  <si>
    <t>MC0004631</t>
  </si>
  <si>
    <t>Cevennes Ecotourisme</t>
  </si>
  <si>
    <t>Cluster Ecotourisme</t>
  </si>
  <si>
    <t>D147</t>
  </si>
  <si>
    <t>Terre de Liens</t>
  </si>
  <si>
    <t>Animer le dialogue territorial et élargir la participation au service de l'accueil et du renouvellement d'actifs agri-ruraux en Massif central</t>
  </si>
  <si>
    <t>MC0003753</t>
  </si>
  <si>
    <t>Réseau en scène Languedoc-Roussillon</t>
  </si>
  <si>
    <t>Développement des Arts Vivants en Massif central-axe 3 Musique</t>
  </si>
  <si>
    <t>AVANT MARDI</t>
  </si>
  <si>
    <t>Développement des Arts vivants en Massif central -axe 3 Musique</t>
  </si>
  <si>
    <t>DES LENDEMAINS QUI CHANTENT</t>
  </si>
  <si>
    <t>Le Transfo</t>
  </si>
  <si>
    <t>Attractivité</t>
  </si>
  <si>
    <t>MC0003819</t>
  </si>
  <si>
    <t>Syndicat mixte du Parc naturel régional des Monts d'Ardèche</t>
  </si>
  <si>
    <t xml:space="preserve">Conservation et valorisation des forêts anciennes des Monts d'Ardèche </t>
  </si>
  <si>
    <t>FRAPNA Ardèche</t>
  </si>
  <si>
    <t>Conservation et mise en valeur des forêts anciennes des Monts d’Ardèche</t>
  </si>
  <si>
    <t>MC0003898</t>
  </si>
  <si>
    <t>Centre régional de la Propriété Forestière de Midi-Pyrénées</t>
  </si>
  <si>
    <t>Diagnostics forêts anciennes et matures à l’échelle de la propriété</t>
  </si>
  <si>
    <t>MC0003903</t>
  </si>
  <si>
    <t>Syndicat mixte du Parc naturel régional des Volcans d’Auvergne</t>
  </si>
  <si>
    <t>Les Forêts anciennes du Parc des Volcans d’Auvergne</t>
  </si>
  <si>
    <t>MC0003736</t>
  </si>
  <si>
    <t>Conservatoire d'Espaces naturels de la Lozère</t>
  </si>
  <si>
    <t>Collectivités et milieux humides : connaissance et prise en compte des tourbières et de leurs éco-complexes, et des zones humides en général dans les politiques publiques en Lozère</t>
  </si>
  <si>
    <t>MC0003957</t>
  </si>
  <si>
    <t>Préservation écologique et hydrologique de tourbières en Lozère – volet 1 – Etudes préalables et sensibilisation</t>
  </si>
  <si>
    <t>MC0003851</t>
  </si>
  <si>
    <t>Parc naturel régional des Millevaches</t>
  </si>
  <si>
    <t>Stratégie patrimoine naturel «forêts ancienne et /ou à forte naturalité potentiellement anciennes »</t>
  </si>
  <si>
    <t>MC0003972</t>
  </si>
  <si>
    <t>Parc naturel régional du Livradois Forez</t>
  </si>
  <si>
    <t>LES PETITES CHOUETTES DE MONTAGNE ET LES FORÊTS ANCIENNES DU LIVRADOIS-FOREZ</t>
  </si>
  <si>
    <t>MC0003855</t>
  </si>
  <si>
    <t>Plan d’actions en faveur des forêts anciennes du Morvan</t>
  </si>
  <si>
    <t>MC0003796</t>
  </si>
  <si>
    <t>Syndicat mixte du Parc naturel régional du Pilat</t>
  </si>
  <si>
    <t>Pôle de pleine nature Pilat</t>
  </si>
  <si>
    <t>MC0003716</t>
  </si>
  <si>
    <t>Syndicat Mixte de la Montagne Ardéchoise</t>
  </si>
  <si>
    <t>Développer le Pôle Montagne : animation du Pôle et de la section sportive du Collège de la Montagne</t>
  </si>
  <si>
    <t>MC0003708</t>
  </si>
  <si>
    <t>Pôle Nature 4 saisons du Massif de l’Aigoual, territoire d’expériences pleine nature entre Causses et Cévennes</t>
  </si>
  <si>
    <t>Agriculture</t>
  </si>
  <si>
    <t>Tourisme</t>
  </si>
  <si>
    <t>Assistance technique-Ingénierie Territoriale</t>
  </si>
  <si>
    <t>D154</t>
  </si>
  <si>
    <t>Groupement d'intérêt public interrégional pour le développement du Massif central (GIP Massif central)</t>
  </si>
  <si>
    <t>Assistance technique - Frais de personnel de l’Autorité de gestion</t>
  </si>
  <si>
    <t>D121</t>
  </si>
  <si>
    <t>SIDAM</t>
  </si>
  <si>
    <t>CLUSTER Herbe – Phase d’émergence d’une plateforme collaborative</t>
  </si>
  <si>
    <t>D164</t>
  </si>
  <si>
    <t>IPAMAC</t>
  </si>
  <si>
    <t>Convention d'objectif
Années 2016</t>
  </si>
  <si>
    <t>MC0003923</t>
  </si>
  <si>
    <t xml:space="preserve">IPAMAC </t>
  </si>
  <si>
    <t>Animation, coordination et communication du programme MOH 2 – phase 2016-2017</t>
  </si>
  <si>
    <t>MC0003731</t>
  </si>
  <si>
    <t>Conservatoire d'Espaces naturels de Midi-Pyrénées</t>
  </si>
  <si>
    <t>Valoriser les Milieux Ouverts Herbacés de l’Aubrac dans une démarche concertée et coordonnée à l’échelle du Massif central (première année 2016)</t>
  </si>
  <si>
    <t>MC0003713</t>
  </si>
  <si>
    <t>Parc naturel régional du Haut Languedoc</t>
  </si>
  <si>
    <t>Diagnostic Agri-Environnemental d’exploitations agricoles en système herbagers : analyse et partage des connaissances</t>
  </si>
  <si>
    <t>MC0003798</t>
  </si>
  <si>
    <t>Observatoire et plan d’actions en faveur de la Pie grièche grise dans la plaine d’Ambert</t>
  </si>
  <si>
    <t>MC0003793</t>
  </si>
  <si>
    <t>Parc naturel régional des Volcans d'Auvergne</t>
  </si>
  <si>
    <t>Suivis de la population de Pies Grièches Grises autour de Saulzet le Froid en associant agriculteurs et habitants locaux</t>
  </si>
  <si>
    <t>D145</t>
  </si>
  <si>
    <t>CPPARM</t>
  </si>
  <si>
    <t>Mission pour la gestion durable de la ressource gentiane dans le Massif central</t>
  </si>
  <si>
    <t>Biodiversité-Milieux ouverts Herbacés</t>
  </si>
  <si>
    <t>D144</t>
  </si>
  <si>
    <t>CADAAEMC</t>
  </si>
  <si>
    <t>Le LaBo : innovations touristiques au service du territoire</t>
  </si>
  <si>
    <t>Comité de programmation</t>
  </si>
  <si>
    <t>Reprogrammations</t>
  </si>
  <si>
    <t>avis négatif de la part des services techniques en Région Bourgogne Franche Comté</t>
  </si>
  <si>
    <t>pas de modification suite au premier ajournement, plan de financement pas finalisé. 2ème ajournement = défavorable</t>
  </si>
  <si>
    <t>Avis défavorable FEDER. Projet de gestion alternative intéressant sur le fond  peu concret sur l’aval de la filière et confus sur ses attendus. Peu de régions sont convaincues sur les actions et la capacité des porteurs à atteindre leurs objectifs. Une grande partie des dépenses serait éligible sur FEADER mais pas FEDER</t>
  </si>
  <si>
    <t>le porteur a souhaité retirer son dossier, à la fois dans le contexte de fusion des intercommunalités et du régime "de minimis" imposé</t>
  </si>
  <si>
    <t>le projet est encore très large et flou, l'agrotourisme est inéligible du fait de la stratégie des programmes Massif central centrée exclusivement sur la pleine nature (PPN et itinérance)</t>
  </si>
  <si>
    <t>sur crédits convention MAAF</t>
  </si>
  <si>
    <t>Forêts anciennes</t>
  </si>
  <si>
    <t>MOH</t>
  </si>
  <si>
    <t>Tourbières</t>
  </si>
  <si>
    <t>'Thématique '</t>
  </si>
  <si>
    <t>4-Ajournement</t>
  </si>
  <si>
    <t>D166</t>
  </si>
  <si>
    <t>Préfet coordonnateur de Massif</t>
  </si>
  <si>
    <t>Evaluation et communication</t>
  </si>
  <si>
    <t>D013</t>
  </si>
  <si>
    <t>Mobiliser les citoyens et mettre en lien les acteurs pour accueillir et accompagner les projets sur les territoires du Massif central</t>
  </si>
  <si>
    <t>D044</t>
  </si>
  <si>
    <t>Syndicat Mixte pour l’Aménagement Touristique du Bassin de Sioule</t>
  </si>
  <si>
    <t>Structuration du pôle « émergent » Gorges de la Sioule</t>
  </si>
  <si>
    <t>MC0003885</t>
  </si>
  <si>
    <t>Syndicat Mixte du Beaujolais</t>
  </si>
  <si>
    <t>Politique d’accueil du Pays Beaujolais</t>
  </si>
  <si>
    <t>D062</t>
  </si>
  <si>
    <t>MC0005093</t>
  </si>
  <si>
    <t>Communauté de communes du pays de Murat</t>
  </si>
  <si>
    <t xml:space="preserve">Déploiement et extension du pack accueil télétravail </t>
  </si>
  <si>
    <t>D065b</t>
  </si>
  <si>
    <t>D073</t>
  </si>
  <si>
    <t>Communauté de communes des Portes du Morvan</t>
  </si>
  <si>
    <t>Politique d’accueil de nouvelles populations et construction d’une offre d’accueil qualifiée</t>
  </si>
  <si>
    <t>MC0005490</t>
  </si>
  <si>
    <t>Communauté de communes Sioule Colettes et Bouble</t>
  </si>
  <si>
    <t>Politiques d'accueil de nouvelles populations dans le Massif central. Appel à projets pour l'ingénierie de l'accueil n°1-2015</t>
  </si>
  <si>
    <t>D081b</t>
  </si>
  <si>
    <t>D093</t>
  </si>
  <si>
    <t>Le Mat 07</t>
  </si>
  <si>
    <t>Développement et diffusion des pratiques d’un Compagnonnage Alternatif dans le Massif Central</t>
  </si>
  <si>
    <t>MC0004983</t>
  </si>
  <si>
    <t>Ecole d'ingénieurs de Purpan</t>
  </si>
  <si>
    <t>Plan d’actions pour la préservation des forêts anciennes du Parc national des Cévennes</t>
  </si>
  <si>
    <t>D096b</t>
  </si>
  <si>
    <t>MC0004580</t>
  </si>
  <si>
    <t>Mutualisation de la cartographie des forêts anciennes sur les Parcs naturels du Massif central, une étape indispensable à leur préservation</t>
  </si>
  <si>
    <t>D097</t>
  </si>
  <si>
    <t>D100a</t>
  </si>
  <si>
    <t>Développement des Arts Vivants en Massif Central</t>
  </si>
  <si>
    <t>D100b</t>
  </si>
  <si>
    <t>Développement des Arts Vivants en Massif central</t>
  </si>
  <si>
    <t>D100c</t>
  </si>
  <si>
    <t>AVEC Limousin</t>
  </si>
  <si>
    <t>D100d</t>
  </si>
  <si>
    <t>Derrière le Hublot</t>
  </si>
  <si>
    <t>D100e</t>
  </si>
  <si>
    <t>La Nacre</t>
  </si>
  <si>
    <t>D100f</t>
  </si>
  <si>
    <t>Le Lab</t>
  </si>
  <si>
    <t>D100g</t>
  </si>
  <si>
    <t>D109b</t>
  </si>
  <si>
    <t xml:space="preserve">Acepp Adehl– Ardèche Drome et Haut Lignon  </t>
  </si>
  <si>
    <t>Accueil Parents Enfants en Massif Central 2020</t>
  </si>
  <si>
    <t>D109c</t>
  </si>
  <si>
    <t>ACEPP 46</t>
  </si>
  <si>
    <t>D109d</t>
  </si>
  <si>
    <t>ACEPP Rhône</t>
  </si>
  <si>
    <t>D109e</t>
  </si>
  <si>
    <t>ACEPP 81</t>
  </si>
  <si>
    <t>D109f</t>
  </si>
  <si>
    <t>ACEPP Auvergne</t>
  </si>
  <si>
    <t>Dossier programmé au comité du 06 juillet 2015 avec une dépense éligible de 115 699,60 € TTC. Reprogrammation du dossier, suite au courrier du maître d’ouvrage en date du 29 mars 2016 pour les raisons suivantes : le coût total de l’opération est modifié à la baisse, ramenant la dépense éligible à 112 824,32 € TTC (suite à modification des coûts de certains postes de dépenses). Le cumul des aides Massif (dont FNADT 50 900,00 € et CR Auvergne 20 000,00 €) initialement à 61,28 %, représente 62,84 %. Le reste de l’opération sans changement.</t>
  </si>
  <si>
    <t>Message du maître d’ouvrage en date du 1er déc 2015. demandant d’intégrer à la convention FNADT (1ère programmation 2015) le cofinancement du CR Auvergne pour un montant de 16 000,00 €.</t>
  </si>
  <si>
    <t>Dossier programmé au comité du 06 juillet 2015. Reprogrammation du dossier, suite au courrier du maître d’ouvrage en date du 29 fév 2016 pour solliciter un avenant à la convention FNADT pour les raisons suivantes : modification des coûts par poste de dépenses et inscription d’une nouvelle action (création du site internet), valorisant les objectifs du projet. Pas de modification du coût total de l’opération.</t>
  </si>
  <si>
    <t>Courrier du maître d’ouvrage en date du 04 déc 2015 pour solliciter un avenant à la convention FNADT afin de modifier le plan de financement programmé en juillet 2015 sur 3 ans. Dossier à reprogrammer sur 1 an, représentant un coût total éligible de 28 953,62 €.</t>
  </si>
  <si>
    <t xml:space="preserve">Suite à la demande du maître d’ouvrage en date du 06 nov 2015 concernant les délais de la convention FEDER, dossier reprogrammé pour prorogation de la convention FNADT de 1 an, le programme d’action étant prévu sur 3 ans. </t>
  </si>
  <si>
    <t>Reprogrammation pour prendre en compte une subvention d’un montant de 6289,00 € accordée par le Conseil Départemental de l’Ardèche après la programmation du 26 oct 2015.</t>
  </si>
  <si>
    <t>courrier du maître d’ouvrage en date du 04 déc 2015 pour solliciter une prorogation de la convention FNADT d’un an, afin de couvrir la durée de la thèse qui est prévue sur 3 ans</t>
  </si>
  <si>
    <t>Dossiers programmés au comité du 26 octobre 2015.  Par courrier du 29 mars 2016, Réseau en Scène Languedoc-Roussillon, maître d’ouvrage et chef de file du projet multipartenaire,  sollicite une prorogation de la durée de la convention FNADT de chacun des partenaires (dossiers n° D100a à D100g) : le projet étant prévu sur une durée de 36 mois, la durée de chacune des conventions FNADT est prorogée jusqu’au 31 décembre 2018.</t>
  </si>
  <si>
    <t>Dossier programmé au comité du 26 octobre 2015. Demande d’avenant par courrier du 10 mai 2016 afin de solliciter une prorogation de délai de convention FNADT jusqu’au 30 septembre 2018 ; rectifier le coût total de l’opération qui n’est pas de 96 552,84 € mais de 81 899,27 €. Pas de changement concernant les montants des financements.</t>
  </si>
  <si>
    <t>Dossier programmé au comité du 26 octobre 2015. Demande d’avenant par courrier du 17 mai 2016 afin de solliciter une prorogation de délai de convention FNADT jusqu’au 30 septembre 2018 ; rectifier le coût total de l’opération qui n’est pas de 100 709,78 € mais de 62 612,98 €. Pas de changement concernant les montants des financements.</t>
  </si>
  <si>
    <t>Dossier programmé au comité du 26 octobre 2015. Demande d’avenant par courrier du 19 mai 2016 afin de solliciter une prorogation de délai de convention FNADT jusqu’au 30 septembre 2018 ; rectifier le coût total de l’opération qui n’est pas de 79 078,78 € mais de 42 723,62 €. Pas de changement concernant les montants des financements.</t>
  </si>
  <si>
    <t>Dossier programmé au comité du 26 octobre 2015. Demande d’avenant par courrier du 29 avril 2016 afin de solliciter une prorogation de délai de convention FNADT jusqu’au 30 septembre 2018 ; rectifier le coût total de l’opération qui n’est pas de 134 313,16 € mais de 116 706,45 €. Pas de changement concernant les montants des financements.</t>
  </si>
  <si>
    <t>Dossier programmé au comité du 26 octobre 2015. Demande d’avenant par courrier du 28 avril 2016 afin de solliciter une prorogation de délai de convention FNADT jusqu’au 30 septembre 2018 ; rectifier le coût total de l’opération qui n’est pas de 102 164,25 € mais de 45 044,60 €. Pas de changement concernant les montants des financements.</t>
  </si>
  <si>
    <t>Dossier programmé au comité d’octobre 2015. déprogrammation du cofinancement du CR Languedoc-Roussillon (8 756,00 €) non accordé.</t>
  </si>
  <si>
    <t>Dossier programmé le 06 juillet 2015. Demande du maître d’ouvrage par message du 15 déc 2015 qui demande les modifications suivantes : intégrer au plan de financement les aides perçues dans le cadre du contrat aidé (CUI) représentant un montant de l’ASP de 9 100,00 € avec un coût d’opération revu à la baisse (66 198,70 €) suite à la diminution des dépenses de personnel. Subventions FEDER et FNADT revues au prorata de la nouvelle assiette, soit FEDER 26 478,00 € et FNADT13 239,00 €.</t>
  </si>
  <si>
    <t>D033</t>
  </si>
  <si>
    <t>Communauté de Communes de la Montagne du Haut-Languedoc</t>
  </si>
  <si>
    <t>Pôle de pleine nature émergent « Monts et Lacs en Haut Languedoc »</t>
  </si>
  <si>
    <t>courrier du maître d’ouvrage indiquant l’abandon du projet programmé le 06 juillet 2015</t>
  </si>
  <si>
    <t>Progammation initiale le 26/10/2015.
Reprogrammation pour prise en compte de la fongibilité des dépenses à hauteur de 15 % du CTE.</t>
  </si>
  <si>
    <t>MC0004660</t>
  </si>
  <si>
    <t>SAFER Auvergne</t>
  </si>
  <si>
    <t>Accompagnement des territoires dans leur politique d’accueil par les Safer</t>
  </si>
  <si>
    <t>D118</t>
  </si>
  <si>
    <t>MD</t>
  </si>
  <si>
    <t>VJ</t>
  </si>
  <si>
    <t xml:space="preserve">vj </t>
  </si>
  <si>
    <t>PEM</t>
  </si>
  <si>
    <t>GD</t>
  </si>
  <si>
    <t>CM</t>
  </si>
  <si>
    <t>Modification du PF. Diminution de la subventionrégionale (-  14 369). Augementation du FEDER au taux maximun (50%) + 1 622,60</t>
  </si>
  <si>
    <t>Prev</t>
  </si>
  <si>
    <t>Final</t>
  </si>
  <si>
    <t>final</t>
  </si>
  <si>
    <t>prev</t>
  </si>
  <si>
    <t>Reprogrammation pour prise en compte des dispositions de l'arrêté du 8 mars 2016 en application du décret n°2016-279 du 8 mars 2016 fixant les règles nationales d'éligibilité des dépenses des programmes européens pour la période 2014-2020, dans la justification des frais de personnels dont le travail est consacrée en partie à l'opération au travers de fiches de temps.</t>
  </si>
  <si>
    <t>Dossiers programmés au comité du 26 octobre 2015.  Par courrier du 29 mars 2016, Réseau en Scène Languedoc-Roussillon, maître d’ouvrage et chef de file du projet multipartenaire,  sollicite une prorogation de la durée de la convention FNADT de chacun des partenaires (dossiers n° D100a à D100g) : le projet étant prévu sur une durée de 36 mois, la durée de chacune des conventions FNADT est prorogée jusqu’au 31 décembre 2018.
Avenant FEDER pour prise en compte des dispositions de l'arrêté du 8 mars 2016 en application du décret n°2016-279 du 8 mars 2016 fixant les règles nationales d'éligibilité des dépenses des programmes européens pour la période 2014-2020, dans la justification des frais de personnels dont le travail est consacrée en partie à l'opération au travers de fiches de temps.</t>
  </si>
  <si>
    <t>MC0000893</t>
  </si>
  <si>
    <t>Conservatoire Botanique National du Massif central</t>
  </si>
  <si>
    <t>Contribution à la capitalisation des résultats de l'expérience acquis dans le cadre du programme multipartenaires de "préservation de la biodiversité des milieux ouverts herbacées du Massif central" par expérimentation et diffusion de la méthode d'évaluat</t>
  </si>
  <si>
    <t>D001</t>
  </si>
  <si>
    <t>MC0005090</t>
  </si>
  <si>
    <t>Syndicat Mixte d'Aménagement du Mont Lozère</t>
  </si>
  <si>
    <t>Pôle pleine nature Mont Lozère</t>
  </si>
  <si>
    <t>D040</t>
  </si>
  <si>
    <t>Groupe projet pilote des entreprises du bois construction pour les marchés du bâtiment performant : action de coopération interrégionale</t>
  </si>
  <si>
    <t>D048a</t>
  </si>
  <si>
    <t>SAS Lafargue - Fermes de Figeac</t>
  </si>
  <si>
    <t>D048b</t>
  </si>
  <si>
    <t>MC0005309</t>
  </si>
  <si>
    <t>Communauté de communes des Sources de la Loire</t>
  </si>
  <si>
    <t>Construction d’une politique d’accueil en Montagne ardéchoise</t>
  </si>
  <si>
    <t>D077</t>
  </si>
  <si>
    <t>MC0004501</t>
  </si>
  <si>
    <t>Conseil départemental de l'Allier</t>
  </si>
  <si>
    <t>Actions de prospection dans le domaine de la santé et du tourisme</t>
  </si>
  <si>
    <t>D110</t>
  </si>
  <si>
    <t>CIMAC : Dossier rejeté, en l'absence d'un accusé de réception de complétude</t>
  </si>
  <si>
    <t>Reprogrammation pour engagement de crédits FNADT à hauteur de 19 500 €.</t>
  </si>
  <si>
    <t>MC0005458</t>
  </si>
  <si>
    <t>Impulser des organisations opérationnelles innovantes en valorisant les dynamiques forêt-bois dans les territoires du Massif central pour favoriser leur attractivité</t>
  </si>
  <si>
    <t>D021a</t>
  </si>
  <si>
    <t>URCOFOR Auvergne-Limousin</t>
  </si>
  <si>
    <t>D021b</t>
  </si>
  <si>
    <t>URCOFOR Languedoc-Roussillon</t>
  </si>
  <si>
    <t>D021c</t>
  </si>
  <si>
    <t>URCOFOR Midi-Pyrénées</t>
  </si>
  <si>
    <t>D021d</t>
  </si>
  <si>
    <t>URCOFOR Rhône-Alpes</t>
  </si>
  <si>
    <t>D021e</t>
  </si>
  <si>
    <t>MC0005097</t>
  </si>
  <si>
    <t>Association pour le Développement du Pays d’Aurillac</t>
  </si>
  <si>
    <t>Ingénierie de l’accueil n°1</t>
  </si>
  <si>
    <t>D055</t>
  </si>
  <si>
    <t>MC0005484</t>
  </si>
  <si>
    <t>Communauté de communes Donjon Val Libre</t>
  </si>
  <si>
    <t>D081a</t>
  </si>
  <si>
    <t>D087</t>
  </si>
  <si>
    <t>Association Cévennes écotourisme</t>
  </si>
  <si>
    <t>Cluster écotouristique</t>
  </si>
  <si>
    <t>D088b</t>
  </si>
  <si>
    <t>Centre National de la Propriété Forestière (CNPF)</t>
  </si>
  <si>
    <t>Référentiel national de certification carbone</t>
  </si>
  <si>
    <t>D108</t>
  </si>
  <si>
    <t>Association Sur le chemin de R.L. Stevenson</t>
  </si>
  <si>
    <t>Animation, Promotion et Développement du chemin de Stevenson</t>
  </si>
  <si>
    <t>Dossier programmé le 26/10/2015. Reprogrammation pour prise en compte des dispositions de l'arrêté du 8 mars 2016 en application du décret n°2016-279 du 8 mars 2016 fixant les règles nationales d'éligibilité des dépenses des programmes européens pour la période 2014-2020, dans la justification des frais de personnels dont le travail est consacrée en partie à l'opération au travers de fiches de temps + prise en compte d ela fongibilité des dépenses + qualification en de minimis prévue à l'instruction mais ne figurant pas dans la convention</t>
  </si>
  <si>
    <t>Dossier programmé le 6/07/2015. Avenant pour prorogation de 5 mois de l'opération (recrutement de l'animateur accueil en janvier 2016 au lieu de juillet 2015).</t>
  </si>
  <si>
    <t>Reprogrammation : demande d'avenant pour prolongation de l'opération d'un mois (embauche du chargé de mission décalée d'un mois au démarrage de l'opéraiton).</t>
  </si>
  <si>
    <t>MC0004691</t>
  </si>
  <si>
    <t>Syndicat Mixte du Grand Site des gorges du Tarn, de la Jonte et des Causses</t>
  </si>
  <si>
    <t>Pôle de pleine nature émergent des gorges du Tarn</t>
  </si>
  <si>
    <t>D030</t>
  </si>
  <si>
    <t>attente aide côté Rhône-Alpes. Attente annonce AURA pour programmation d'octobre. Augmentation FNADT à 50 %</t>
  </si>
  <si>
    <t xml:space="preserve">des cofinancements supplémentaires pourraient être mobilisés. Ils seront éventuellement introduits lors du prochain comité de programmation. </t>
  </si>
  <si>
    <t>dérogation au taux d'aide MAssif central &gt;70% validée</t>
  </si>
  <si>
    <t>Changement de nom du projet pour éviter toute confusion avce le projet de 2015</t>
  </si>
  <si>
    <t>Reprogrammation</t>
  </si>
  <si>
    <t>N°</t>
  </si>
  <si>
    <t>Prog</t>
  </si>
  <si>
    <t>n°Présage ou n° Démac</t>
  </si>
  <si>
    <t>Maître d'ouvrage</t>
  </si>
  <si>
    <t>Intitulé</t>
  </si>
  <si>
    <t>Dépense subventionnable</t>
  </si>
  <si>
    <t>FEDER à reprogrammer</t>
  </si>
  <si>
    <t>FEDER à déprogrammer</t>
  </si>
  <si>
    <t>Etat (FNADT)</t>
  </si>
  <si>
    <t>FNADT à déprogrammer</t>
  </si>
  <si>
    <t>FNADT à reprogrammer</t>
  </si>
  <si>
    <t>Conseils régionaux</t>
  </si>
  <si>
    <t>Auv</t>
  </si>
  <si>
    <t>Bourg</t>
  </si>
  <si>
    <t>L-R</t>
  </si>
  <si>
    <t>Lim</t>
  </si>
  <si>
    <t>M-P</t>
  </si>
  <si>
    <t>RA</t>
  </si>
  <si>
    <t>Reprogrammation pour modification du plan de financement et/ou modification des postes de dépenses et/ou prorogation de délai</t>
  </si>
  <si>
    <t>2007-2013</t>
  </si>
  <si>
    <t>Syndicat mixte de la Montagne Ardéchoise, 07660 LANARCE</t>
  </si>
  <si>
    <t>Développement toutes saisons du pôle neige</t>
  </si>
  <si>
    <t>347 428,58</t>
  </si>
  <si>
    <t>36 526,00</t>
  </si>
  <si>
    <t>53 021,00</t>
  </si>
  <si>
    <t>Courrier du maître d’ouvrage en date 20 nov 2015 pour solliciter un avenant n°3 à la convention FNADT afin de redistribuer les postes de dépenses et modifier le plan de financement (ajout d’un cofinancement Rhône-Alpes en dehors d ela subvention Massif, soit 40 963,00 € au titre de la convention de stations durables de moyenne montagne). Coût total de l’opération sans changement. Par ailleurs la durée de l’action est prorogée jusqu’au 30 juin 2016 (demande complémentaire par courrier daté du 20 novembre 2015).</t>
  </si>
  <si>
    <t>Ecole Nationale Supérieure d’Architecture de Saint-Etienne</t>
  </si>
  <si>
    <t>Développement d’un réseau d’enseignement et de recherche : espace rural et projet spatial</t>
  </si>
  <si>
    <t>115 000,00</t>
  </si>
  <si>
    <t>50 000,00</t>
  </si>
  <si>
    <t>30 000,00</t>
  </si>
  <si>
    <t>Demande du bénéficiaire en date du 11 février 2016 pour prorogation de la convention FNADT jusqu’au 31 déc 2016 (avenant n°2). Le maître d’ouvrage demande également par courrier du 18 avril 2016 un avenant n°3 pour valider une nouvelle répartition des dépenses par poste pour un coût total d’opération HT constant (115 000,00 €).</t>
  </si>
  <si>
    <t>Communauté de Communes d’Amplepuis-Thizy</t>
  </si>
  <si>
    <t>politique d’accueil en Beaujolais vert</t>
  </si>
  <si>
    <t>226 468,00</t>
  </si>
  <si>
    <t>111 834,00</t>
  </si>
  <si>
    <t>20 750,81</t>
  </si>
  <si>
    <t>25 165,00</t>
  </si>
  <si>
    <t>Avenant n°2 à la convention FNADT suite au message du maître d’ouvrage en date du 22 déc 2015 pour informer du changement de nom et de périmètre de la Communauté de Communes du Pays d’Amplepuis-Thizy. A compter du 1er janvier 2014, la nouvelle dénomination est « Communauté de Communes de l’Ouest Rhodanien ».</t>
  </si>
  <si>
    <t>le rapprochement des interprofessions bois, liée à la fusion des Régions suppose de reporter le dossier une fois le rapprochement opéré et que le porteur aura une meilleure lisibilité du positionnement régional et Massif central des nouvelles entités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</si>
</sst>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C]d\ mmmm\ yyyy;@"/>
    <numFmt numFmtId="165" formatCode="[$-40C]d\-mmm\-yyyy;@"/>
  </numFmts>
  <fonts count="18" x14ac:knownFonts="1">
    <font>
      <sz val="11"/>
      <color theme="1"/>
      <name val="Calibri"/>
      <family val="2"/>
      <scheme val="minor"/>
    </font>
    <font>
      <b/>
      <sz val="11"/>
      <color theme="1"/>
      <name val="Calibri"/>
      <family val="2"/>
      <scheme val="minor"/>
    </font>
    <font>
      <sz val="11"/>
      <color theme="1"/>
      <name val="Calibri"/>
      <family val="2"/>
      <scheme val="minor"/>
    </font>
    <font>
      <i/>
      <sz val="9"/>
      <color theme="1"/>
      <name val="Calibri"/>
      <family val="2"/>
      <scheme val="minor"/>
    </font>
    <font>
      <b/>
      <sz val="12"/>
      <color theme="1"/>
      <name val="Calibri"/>
      <family val="2"/>
      <scheme val="minor"/>
    </font>
    <font>
      <b/>
      <sz val="14"/>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sz val="11"/>
      <color theme="1"/>
      <name val="Calibri"/>
      <family val="2"/>
      <scheme val="minor"/>
    </font>
    <font>
      <b/>
      <sz val="11"/>
      <color theme="1"/>
      <name val="Arial"/>
      <family val="2"/>
    </font>
    <font>
      <sz val="11"/>
      <color theme="1"/>
      <name val="Arial"/>
      <family val="2"/>
    </font>
    <font>
      <i/>
      <sz val="11"/>
      <color theme="1"/>
      <name val="Arial"/>
      <family val="2"/>
    </font>
    <font>
      <b/>
      <i/>
      <sz val="11"/>
      <color theme="1"/>
      <name val="Arial"/>
      <family val="2"/>
    </font>
    <font>
      <b/>
      <i/>
      <sz val="11"/>
      <color rgb="FF0000FF"/>
      <name val="Arial"/>
      <family val="2"/>
    </font>
    <font>
      <i/>
      <sz val="11"/>
      <color rgb="FF0000FF"/>
      <name val="Arial"/>
      <family val="2"/>
    </font>
  </fonts>
  <fills count="10">
    <fill>
      <patternFill patternType="none"/>
    </fill>
    <fill>
      <patternFill patternType="gray125"/>
    </fill>
    <fill>
      <patternFill patternType="solid">
        <fgColor theme="8" tint="0.79998168889431442"/>
        <bgColor theme="8" tint="0.79998168889431442"/>
      </patternFill>
    </fill>
    <fill>
      <patternFill patternType="solid">
        <fgColor theme="8"/>
        <bgColor theme="8"/>
      </patternFill>
    </fill>
    <fill>
      <patternFill patternType="solid">
        <fgColor theme="4" tint="0.79998168889431442"/>
        <bgColor theme="4" tint="0.79998168889431442"/>
      </patternFill>
    </fill>
    <fill>
      <patternFill patternType="solid">
        <fgColor theme="4"/>
        <bgColor theme="4"/>
      </patternFill>
    </fill>
    <fill>
      <patternFill patternType="solid">
        <fgColor theme="8" tint="0.79998168889431442"/>
        <bgColor indexed="64"/>
      </patternFill>
    </fill>
    <fill>
      <patternFill patternType="solid">
        <fgColor rgb="FFFFCC00"/>
        <bgColor indexed="64"/>
      </patternFill>
    </fill>
    <fill>
      <patternFill patternType="solid">
        <fgColor rgb="FFE6E6E6"/>
        <bgColor indexed="64"/>
      </patternFill>
    </fill>
    <fill>
      <patternFill patternType="solid">
        <fgColor rgb="FFCCCCCC"/>
        <bgColor indexed="64"/>
      </patternFill>
    </fill>
  </fills>
  <borders count="15">
    <border>
      <left/>
      <right/>
      <top/>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top style="double">
        <color theme="8"/>
      </top>
      <bottom style="thin">
        <color theme="8" tint="0.39997558519241921"/>
      </bottom>
      <diagonal/>
    </border>
    <border>
      <left/>
      <right style="thin">
        <color theme="8" tint="0.39997558519241921"/>
      </right>
      <top style="double">
        <color theme="8"/>
      </top>
      <bottom style="thin">
        <color theme="8" tint="0.39997558519241921"/>
      </bottom>
      <diagonal/>
    </border>
    <border>
      <left/>
      <right/>
      <top style="double">
        <color theme="8" tint="0.39994506668294322"/>
      </top>
      <bottom/>
      <diagonal/>
    </border>
    <border>
      <left/>
      <right style="thin">
        <color theme="8" tint="0.39997558519241921"/>
      </right>
      <top style="thin">
        <color theme="8" tint="0.39997558519241921"/>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Alignment="1">
      <alignment wrapText="1"/>
    </xf>
    <xf numFmtId="0" fontId="0" fillId="0" borderId="0" xfId="0" applyFont="1"/>
    <xf numFmtId="0" fontId="0" fillId="0" borderId="0" xfId="0" applyFont="1" applyAlignment="1">
      <alignment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4" fontId="0" fillId="0" borderId="0" xfId="0" applyNumberFormat="1" applyFont="1" applyAlignment="1">
      <alignment vertical="center"/>
    </xf>
    <xf numFmtId="10" fontId="0" fillId="0" borderId="0" xfId="0" applyNumberFormat="1" applyFont="1" applyAlignment="1">
      <alignment horizontal="center" vertical="center"/>
    </xf>
    <xf numFmtId="0" fontId="0"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4" fontId="0" fillId="0" borderId="0" xfId="0" applyNumberFormat="1"/>
    <xf numFmtId="4" fontId="2" fillId="0" borderId="0" xfId="0" applyNumberFormat="1" applyFont="1" applyAlignment="1">
      <alignment vertical="center"/>
    </xf>
    <xf numFmtId="10"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0" xfId="0" applyFont="1"/>
    <xf numFmtId="4" fontId="3" fillId="0" borderId="0" xfId="0" applyNumberFormat="1" applyFont="1"/>
    <xf numFmtId="0" fontId="4" fillId="0" borderId="0" xfId="0" applyFont="1" applyAlignment="1">
      <alignment wrapText="1"/>
    </xf>
    <xf numFmtId="0" fontId="5" fillId="0" borderId="0" xfId="0" applyFont="1" applyAlignment="1">
      <alignment horizontal="left" wrapText="1"/>
    </xf>
    <xf numFmtId="164" fontId="5" fillId="0" borderId="0" xfId="0" applyNumberFormat="1" applyFont="1" applyAlignment="1">
      <alignment horizontal="left" vertical="center" wrapText="1"/>
    </xf>
    <xf numFmtId="165" fontId="1" fillId="0" borderId="0" xfId="0" applyNumberFormat="1" applyFont="1"/>
    <xf numFmtId="0" fontId="0" fillId="2" borderId="1" xfId="0" applyFont="1" applyFill="1" applyBorder="1" applyAlignment="1">
      <alignment vertical="center" wrapText="1"/>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alignment wrapText="1"/>
    </xf>
    <xf numFmtId="0" fontId="0" fillId="2" borderId="1" xfId="0" applyFont="1" applyFill="1" applyBorder="1" applyAlignment="1">
      <alignment wrapText="1"/>
    </xf>
    <xf numFmtId="0" fontId="1" fillId="0" borderId="3" xfId="0" applyFont="1" applyBorder="1" applyAlignment="1">
      <alignment vertical="center"/>
    </xf>
    <xf numFmtId="0" fontId="1" fillId="0" borderId="4" xfId="0" applyFont="1" applyBorder="1"/>
    <xf numFmtId="0" fontId="6" fillId="3" borderId="1" xfId="0" applyFont="1" applyFill="1" applyBorder="1" applyAlignment="1">
      <alignment horizontal="center" vertical="center" wrapText="1"/>
    </xf>
    <xf numFmtId="4" fontId="2" fillId="2" borderId="2" xfId="0" applyNumberFormat="1" applyFont="1" applyFill="1" applyBorder="1" applyAlignment="1">
      <alignment vertical="center"/>
    </xf>
    <xf numFmtId="4" fontId="2" fillId="0" borderId="2" xfId="0" applyNumberFormat="1" applyFont="1" applyBorder="1" applyAlignment="1">
      <alignment vertical="center"/>
    </xf>
    <xf numFmtId="0" fontId="7" fillId="3" borderId="2" xfId="0" applyFont="1" applyFill="1" applyBorder="1" applyAlignment="1">
      <alignment horizontal="center" vertical="center" wrapText="1"/>
    </xf>
    <xf numFmtId="4" fontId="2" fillId="0" borderId="6" xfId="0" applyNumberFormat="1" applyFont="1" applyBorder="1" applyAlignment="1">
      <alignment vertical="center"/>
    </xf>
    <xf numFmtId="0" fontId="6" fillId="5" borderId="7" xfId="0" applyFont="1" applyFill="1" applyBorder="1" applyAlignment="1">
      <alignment horizontal="center" vertical="center" wrapText="1"/>
    </xf>
    <xf numFmtId="0" fontId="0" fillId="0" borderId="0" xfId="0" applyAlignment="1" applyProtection="1">
      <alignment vertical="center"/>
      <protection locked="0"/>
    </xf>
    <xf numFmtId="0" fontId="5" fillId="0" borderId="0" xfId="0" applyFont="1" applyAlignment="1" applyProtection="1">
      <alignment horizontal="left" wrapText="1"/>
      <protection locked="0"/>
    </xf>
    <xf numFmtId="164" fontId="5" fillId="0" borderId="0" xfId="0" applyNumberFormat="1" applyFont="1" applyAlignment="1" applyProtection="1">
      <alignment horizontal="left" vertical="center" wrapText="1"/>
      <protection locked="0"/>
    </xf>
    <xf numFmtId="0" fontId="0" fillId="0" borderId="0" xfId="0" applyProtection="1">
      <protection locked="0"/>
    </xf>
    <xf numFmtId="4" fontId="0" fillId="0" borderId="0" xfId="0" applyNumberFormat="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4" fontId="0" fillId="0" borderId="0" xfId="0" applyNumberFormat="1" applyAlignment="1" applyProtection="1">
      <alignment horizontal="center" vertical="center" wrapText="1"/>
      <protection locked="0"/>
    </xf>
    <xf numFmtId="0" fontId="0" fillId="0" borderId="0" xfId="0" applyAlignment="1" applyProtection="1">
      <alignment vertical="center" wrapText="1"/>
      <protection locked="0"/>
    </xf>
    <xf numFmtId="4" fontId="0" fillId="0" borderId="0" xfId="0" applyNumberFormat="1" applyAlignment="1" applyProtection="1">
      <alignment vertical="center" wrapText="1"/>
      <protection locked="0"/>
    </xf>
    <xf numFmtId="10" fontId="0" fillId="0" borderId="0" xfId="0" applyNumberFormat="1" applyAlignment="1" applyProtection="1">
      <alignment vertical="center" wrapText="1"/>
      <protection locked="0"/>
    </xf>
    <xf numFmtId="4" fontId="0" fillId="0" borderId="0" xfId="0" applyNumberFormat="1" applyFill="1" applyAlignment="1" applyProtection="1">
      <alignment vertical="center" wrapText="1"/>
      <protection locked="0"/>
    </xf>
    <xf numFmtId="0" fontId="2" fillId="0" borderId="0" xfId="0" applyFont="1" applyAlignment="1" applyProtection="1">
      <alignment vertical="center"/>
      <protection locked="0"/>
    </xf>
    <xf numFmtId="0" fontId="0" fillId="0" borderId="0" xfId="0" applyFill="1" applyAlignment="1" applyProtection="1">
      <alignment vertical="center" wrapText="1"/>
      <protection locked="0"/>
    </xf>
    <xf numFmtId="0" fontId="0" fillId="0" borderId="0" xfId="0" applyFont="1" applyProtection="1">
      <protection locked="0"/>
    </xf>
    <xf numFmtId="0" fontId="8" fillId="0" borderId="0" xfId="0" applyFont="1" applyAlignment="1">
      <alignment vertical="center"/>
    </xf>
    <xf numFmtId="0" fontId="8" fillId="0" borderId="0" xfId="0" applyFont="1" applyAlignment="1">
      <alignment vertical="center" wrapText="1"/>
    </xf>
    <xf numFmtId="4" fontId="0" fillId="0" borderId="8" xfId="0" applyNumberFormat="1" applyFont="1" applyBorder="1" applyAlignment="1">
      <alignment vertical="center" wrapText="1"/>
    </xf>
    <xf numFmtId="0" fontId="0" fillId="4" borderId="8" xfId="0" applyFont="1" applyFill="1" applyBorder="1" applyAlignment="1">
      <alignment vertical="center" wrapText="1"/>
    </xf>
    <xf numFmtId="0" fontId="0" fillId="0" borderId="8" xfId="0" applyFont="1" applyBorder="1" applyAlignment="1">
      <alignment vertical="center" wrapText="1"/>
    </xf>
    <xf numFmtId="0" fontId="0" fillId="2" borderId="2" xfId="0" applyFont="1" applyFill="1" applyBorder="1" applyAlignment="1">
      <alignment vertical="center"/>
    </xf>
    <xf numFmtId="0" fontId="0" fillId="0" borderId="2" xfId="0" applyFont="1" applyBorder="1" applyAlignment="1">
      <alignment vertical="center"/>
    </xf>
    <xf numFmtId="4" fontId="0" fillId="0" borderId="0" xfId="0" applyNumberFormat="1" applyFont="1" applyFill="1" applyAlignment="1">
      <alignment vertical="center"/>
    </xf>
    <xf numFmtId="0" fontId="8" fillId="0" borderId="0" xfId="0" applyFont="1" applyAlignment="1">
      <alignment horizontal="center" vertical="center"/>
    </xf>
    <xf numFmtId="4" fontId="8" fillId="0" borderId="0" xfId="0" applyNumberFormat="1" applyFont="1" applyAlignment="1">
      <alignment vertical="center"/>
    </xf>
    <xf numFmtId="10" fontId="8" fillId="0" borderId="0" xfId="0" applyNumberFormat="1" applyFont="1" applyAlignment="1">
      <alignment horizontal="center" vertical="center"/>
    </xf>
    <xf numFmtId="4" fontId="0" fillId="4" borderId="8" xfId="0" applyNumberFormat="1" applyFont="1" applyFill="1" applyBorder="1" applyAlignment="1">
      <alignment vertical="center" wrapText="1"/>
    </xf>
    <xf numFmtId="4" fontId="2" fillId="0" borderId="0" xfId="0" applyNumberFormat="1" applyFont="1" applyFill="1" applyAlignment="1">
      <alignment vertical="center"/>
    </xf>
    <xf numFmtId="10" fontId="2" fillId="0" borderId="0" xfId="0" applyNumberFormat="1" applyFont="1" applyFill="1" applyAlignment="1">
      <alignment horizontal="center" vertical="center"/>
    </xf>
    <xf numFmtId="0" fontId="2" fillId="0" borderId="0" xfId="0" applyFont="1" applyFill="1" applyAlignment="1">
      <alignment vertical="center"/>
    </xf>
    <xf numFmtId="0" fontId="2" fillId="0" borderId="0" xfId="0" applyFont="1" applyAlignment="1">
      <alignment horizontal="left" vertical="center" wrapText="1"/>
    </xf>
    <xf numFmtId="0" fontId="0"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4" fontId="9" fillId="0" borderId="0" xfId="0" applyNumberFormat="1" applyFont="1"/>
    <xf numFmtId="4" fontId="9" fillId="0" borderId="0" xfId="0" applyNumberFormat="1" applyFont="1" applyAlignment="1">
      <alignment horizontal="center" vertical="center"/>
    </xf>
    <xf numFmtId="0" fontId="9" fillId="0" borderId="0" xfId="0" applyFont="1"/>
    <xf numFmtId="0" fontId="9" fillId="0" borderId="5" xfId="0" applyFont="1" applyBorder="1" applyAlignment="1">
      <alignment vertical="center"/>
    </xf>
    <xf numFmtId="4" fontId="10" fillId="6" borderId="0" xfId="0" applyNumberFormat="1" applyFont="1" applyFill="1" applyAlignment="1">
      <alignment vertical="center"/>
    </xf>
    <xf numFmtId="10" fontId="10" fillId="6" borderId="0" xfId="0" applyNumberFormat="1" applyFont="1" applyFill="1" applyAlignment="1">
      <alignment horizontal="center" vertical="center"/>
    </xf>
    <xf numFmtId="0" fontId="10" fillId="6" borderId="0" xfId="0" applyFont="1" applyFill="1" applyAlignment="1">
      <alignment vertical="center"/>
    </xf>
    <xf numFmtId="0" fontId="2" fillId="6" borderId="0" xfId="0" applyFont="1" applyFill="1" applyAlignment="1">
      <alignment vertical="center" wrapText="1"/>
    </xf>
    <xf numFmtId="4" fontId="2" fillId="6" borderId="0" xfId="0" applyNumberFormat="1" applyFont="1" applyFill="1" applyAlignment="1">
      <alignment vertical="center"/>
    </xf>
    <xf numFmtId="10" fontId="2" fillId="6" borderId="0" xfId="0" applyNumberFormat="1" applyFont="1" applyFill="1" applyAlignment="1">
      <alignment horizontal="center" vertical="center"/>
    </xf>
    <xf numFmtId="0" fontId="2" fillId="6" borderId="0" xfId="0" applyFont="1" applyFill="1" applyAlignment="1">
      <alignment vertical="center"/>
    </xf>
    <xf numFmtId="0" fontId="11" fillId="0" borderId="0" xfId="0" applyFont="1" applyAlignment="1">
      <alignment vertical="center"/>
    </xf>
    <xf numFmtId="0" fontId="11" fillId="0" borderId="0" xfId="0" applyFont="1" applyAlignment="1">
      <alignment vertical="center" wrapText="1"/>
    </xf>
    <xf numFmtId="4" fontId="11" fillId="0" borderId="0" xfId="0" applyNumberFormat="1" applyFont="1"/>
    <xf numFmtId="4" fontId="11" fillId="0" borderId="0" xfId="0" applyNumberFormat="1" applyFont="1" applyAlignment="1">
      <alignment horizontal="center" vertical="center"/>
    </xf>
    <xf numFmtId="0" fontId="11" fillId="0" borderId="0" xfId="0" applyFont="1"/>
    <xf numFmtId="0" fontId="12" fillId="0" borderId="0" xfId="0" applyFont="1" applyAlignment="1">
      <alignment vertical="center" wrapText="1"/>
    </xf>
    <xf numFmtId="0" fontId="12" fillId="0" borderId="0" xfId="0" applyFont="1" applyAlignment="1">
      <alignment horizontal="center" vertical="center" wrapText="1"/>
    </xf>
    <xf numFmtId="0" fontId="14" fillId="0" borderId="9" xfId="0" applyFont="1"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left" vertical="center" wrapText="1"/>
    </xf>
    <xf numFmtId="0" fontId="12" fillId="8" borderId="9" xfId="0" applyFont="1" applyFill="1" applyBorder="1" applyAlignment="1">
      <alignment horizontal="center" vertical="center" wrapText="1"/>
    </xf>
    <xf numFmtId="0" fontId="13" fillId="8" borderId="0" xfId="0" applyFont="1" applyFill="1" applyAlignment="1">
      <alignment horizontal="left" vertical="center" wrapText="1"/>
    </xf>
    <xf numFmtId="0" fontId="12"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9" xfId="0" applyFont="1" applyBorder="1" applyAlignment="1">
      <alignment horizontal="left" vertical="center" wrapText="1"/>
    </xf>
    <xf numFmtId="0" fontId="13" fillId="9" borderId="9" xfId="0" applyFont="1" applyFill="1" applyBorder="1" applyAlignment="1">
      <alignment horizontal="center" vertical="center" wrapText="1"/>
    </xf>
    <xf numFmtId="0" fontId="12" fillId="0" borderId="9" xfId="0" applyFont="1" applyBorder="1" applyAlignment="1">
      <alignment vertical="center" wrapText="1"/>
    </xf>
    <xf numFmtId="0" fontId="16"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2" fillId="0" borderId="0" xfId="0" applyFont="1" applyFill="1" applyAlignment="1">
      <alignment vertical="center" wrapText="1"/>
    </xf>
    <xf numFmtId="0" fontId="5" fillId="0" borderId="0" xfId="0" applyFont="1" applyAlignment="1">
      <alignment horizontal="center" wrapText="1"/>
    </xf>
    <xf numFmtId="0" fontId="1" fillId="0" borderId="0" xfId="0" applyFont="1" applyAlignment="1">
      <alignment horizont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cellXfs>
  <cellStyles count="1">
    <cellStyle name="Normal" xfId="0" builtinId="0"/>
  </cellStyles>
  <dxfs count="851">
    <dxf>
      <alignment horizontal="general" vertical="center" textRotation="0" wrapText="0" indent="0" justifyLastLine="0" shrinkToFit="0" readingOrder="0"/>
      <protection locked="0" hidden="0"/>
    </dxf>
    <dxf>
      <numFmt numFmtId="0" formatCode="General"/>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0"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protection locked="0" hidden="0"/>
    </dxf>
    <dxf>
      <alignment horizontal="general" vertical="center" textRotation="0" wrapText="0"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4" formatCode="#,##0.00"/>
      <alignment horizontal="general" vertical="center" textRotation="0" wrapText="0"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fill>
        <patternFill patternType="none">
          <fgColor indexed="64"/>
          <bgColor indexed="65"/>
        </patternFill>
      </fill>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1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1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numFmt numFmtId="4" formatCode="#,##0.00"/>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4" formatCode="#,##0.00"/>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4" formatCode="#,##0.00"/>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vertical="center" textRotation="0" wrapText="1"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i val="0"/>
        <color rgb="FFFF0000"/>
      </font>
    </dxf>
    <dxf>
      <font>
        <b/>
        <i val="0"/>
        <color rgb="FF00B050"/>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rgb="FF000000"/>
        <name val="Calibri"/>
        <scheme val="none"/>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border diagonalUp="0" diagonalDown="0" outline="0">
        <left/>
        <right/>
        <top style="double">
          <color theme="8" tint="0.39994506668294322"/>
        </top>
        <bottom/>
      </border>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border diagonalUp="0" diagonalDown="0">
        <left/>
        <right style="thin">
          <color theme="8" tint="0.39997558519241921"/>
        </right>
        <top style="thin">
          <color theme="8" tint="0.39997558519241921"/>
        </top>
        <bottom style="thin">
          <color theme="8" tint="0.39997558519241921"/>
        </bottom>
        <vertical/>
        <horizontal/>
      </border>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general"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Programmation - 2 juin 2016 - Programmés</a:t>
            </a:r>
          </a:p>
        </c:rich>
      </c:tx>
      <c:overlay val="0"/>
    </c:title>
    <c:autoTitleDeleted val="0"/>
    <c:plotArea>
      <c:layout>
        <c:manualLayout>
          <c:layoutTarget val="inner"/>
          <c:xMode val="edge"/>
          <c:yMode val="edge"/>
          <c:x val="0.18495029319157247"/>
          <c:y val="0.21612700902554671"/>
          <c:w val="0.4886723733036093"/>
          <c:h val="0.77484442306774326"/>
        </c:manualLayout>
      </c:layout>
      <c:pieChart>
        <c:varyColors val="1"/>
        <c:ser>
          <c:idx val="0"/>
          <c:order val="0"/>
          <c:explosion val="25"/>
          <c:dLbls>
            <c:dLbl>
              <c:idx val="0"/>
              <c:layout>
                <c:manualLayout>
                  <c:x val="4.6343175853018372E-2"/>
                  <c:y val="-4.4887722368037328E-2"/>
                </c:manualLayout>
              </c:layout>
              <c:showLegendKey val="0"/>
              <c:showVal val="0"/>
              <c:showCatName val="0"/>
              <c:showSerName val="0"/>
              <c:showPercent val="1"/>
              <c:showBubbleSize val="0"/>
            </c:dLbl>
            <c:dLbl>
              <c:idx val="1"/>
              <c:layout>
                <c:manualLayout>
                  <c:x val="-7.8656701487631653E-2"/>
                  <c:y val="3.6505215505547232E-3"/>
                </c:manualLayout>
              </c:layout>
              <c:showLegendKey val="0"/>
              <c:showVal val="0"/>
              <c:showCatName val="0"/>
              <c:showSerName val="0"/>
              <c:showPercent val="1"/>
              <c:showBubbleSize val="0"/>
            </c:dLbl>
            <c:dLbl>
              <c:idx val="2"/>
              <c:layout>
                <c:manualLayout>
                  <c:x val="-0.11583396449309535"/>
                  <c:y val="4.077357340228125E-2"/>
                </c:manualLayout>
              </c:layout>
              <c:showLegendKey val="0"/>
              <c:showVal val="0"/>
              <c:showCatName val="0"/>
              <c:showSerName val="0"/>
              <c:showPercent val="1"/>
              <c:showBubbleSize val="0"/>
            </c:dLbl>
            <c:dLbl>
              <c:idx val="3"/>
              <c:layout>
                <c:manualLayout>
                  <c:x val="8.2222878390201232E-2"/>
                  <c:y val="-7.0884368620589095E-3"/>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('Recap Financier'!$K$7,'Recap Financier'!$K$8,'Recap Financier'!$K$9,'Recap Financier'!$K$14)</c:f>
              <c:strCache>
                <c:ptCount val="4"/>
                <c:pt idx="0">
                  <c:v>FEDER</c:v>
                </c:pt>
                <c:pt idx="1">
                  <c:v>Etat</c:v>
                </c:pt>
                <c:pt idx="2">
                  <c:v>Régions</c:v>
                </c:pt>
                <c:pt idx="3">
                  <c:v>Départements</c:v>
                </c:pt>
              </c:strCache>
            </c:strRef>
          </c:cat>
          <c:val>
            <c:numRef>
              <c:f>('Recap Financier'!$L$7,'Recap Financier'!$L$8,'Recap Financier'!$L$9,'Recap Financier'!$L$14)</c:f>
              <c:numCache>
                <c:formatCode>#,##0.00</c:formatCode>
                <c:ptCount val="4"/>
                <c:pt idx="0">
                  <c:v>2747836.58</c:v>
                </c:pt>
                <c:pt idx="1">
                  <c:v>2176099.42</c:v>
                </c:pt>
                <c:pt idx="2">
                  <c:v>470038.73</c:v>
                </c:pt>
                <c:pt idx="3">
                  <c:v>50039.25</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wmf"/><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2044700</xdr:colOff>
      <xdr:row>0</xdr:row>
      <xdr:rowOff>114300</xdr:rowOff>
    </xdr:from>
    <xdr:to>
      <xdr:col>8</xdr:col>
      <xdr:colOff>825500</xdr:colOff>
      <xdr:row>3</xdr:row>
      <xdr:rowOff>120650</xdr:rowOff>
    </xdr:to>
    <xdr:grpSp>
      <xdr:nvGrpSpPr>
        <xdr:cNvPr id="2" name="Groupe 1"/>
        <xdr:cNvGrpSpPr/>
      </xdr:nvGrpSpPr>
      <xdr:grpSpPr>
        <a:xfrm>
          <a:off x="5299075" y="114300"/>
          <a:ext cx="7416800"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2032000</xdr:colOff>
      <xdr:row>0</xdr:row>
      <xdr:rowOff>190500</xdr:rowOff>
    </xdr:from>
    <xdr:to>
      <xdr:col>8</xdr:col>
      <xdr:colOff>819150</xdr:colOff>
      <xdr:row>4</xdr:row>
      <xdr:rowOff>6350</xdr:rowOff>
    </xdr:to>
    <xdr:grpSp>
      <xdr:nvGrpSpPr>
        <xdr:cNvPr id="2" name="Groupe 1"/>
        <xdr:cNvGrpSpPr/>
      </xdr:nvGrpSpPr>
      <xdr:grpSpPr>
        <a:xfrm>
          <a:off x="5294313" y="190500"/>
          <a:ext cx="7276306"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2044700</xdr:colOff>
      <xdr:row>0</xdr:row>
      <xdr:rowOff>152400</xdr:rowOff>
    </xdr:from>
    <xdr:to>
      <xdr:col>8</xdr:col>
      <xdr:colOff>825500</xdr:colOff>
      <xdr:row>3</xdr:row>
      <xdr:rowOff>158750</xdr:rowOff>
    </xdr:to>
    <xdr:grpSp>
      <xdr:nvGrpSpPr>
        <xdr:cNvPr id="2" name="Groupe 1"/>
        <xdr:cNvGrpSpPr/>
      </xdr:nvGrpSpPr>
      <xdr:grpSpPr>
        <a:xfrm>
          <a:off x="5307013" y="152400"/>
          <a:ext cx="6662737"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2889250</xdr:colOff>
      <xdr:row>0</xdr:row>
      <xdr:rowOff>174625</xdr:rowOff>
    </xdr:from>
    <xdr:to>
      <xdr:col>6</xdr:col>
      <xdr:colOff>257175</xdr:colOff>
      <xdr:row>3</xdr:row>
      <xdr:rowOff>180975</xdr:rowOff>
    </xdr:to>
    <xdr:grpSp>
      <xdr:nvGrpSpPr>
        <xdr:cNvPr id="6" name="Groupe 5"/>
        <xdr:cNvGrpSpPr/>
      </xdr:nvGrpSpPr>
      <xdr:grpSpPr>
        <a:xfrm>
          <a:off x="5080000" y="174625"/>
          <a:ext cx="7416800" cy="625475"/>
          <a:chOff x="0" y="0"/>
          <a:chExt cx="6496050" cy="628650"/>
        </a:xfrm>
      </xdr:grpSpPr>
      <xdr:pic>
        <xdr:nvPicPr>
          <xdr:cNvPr id="7" name="Imag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8" name="Image 7"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9" name="Image 8"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2044700</xdr:colOff>
      <xdr:row>0</xdr:row>
      <xdr:rowOff>190500</xdr:rowOff>
    </xdr:from>
    <xdr:to>
      <xdr:col>8</xdr:col>
      <xdr:colOff>825500</xdr:colOff>
      <xdr:row>4</xdr:row>
      <xdr:rowOff>6350</xdr:rowOff>
    </xdr:to>
    <xdr:grpSp>
      <xdr:nvGrpSpPr>
        <xdr:cNvPr id="2" name="Groupe 1"/>
        <xdr:cNvGrpSpPr/>
      </xdr:nvGrpSpPr>
      <xdr:grpSpPr>
        <a:xfrm>
          <a:off x="5307013" y="190500"/>
          <a:ext cx="6496050"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2044700</xdr:colOff>
      <xdr:row>0</xdr:row>
      <xdr:rowOff>177800</xdr:rowOff>
    </xdr:from>
    <xdr:to>
      <xdr:col>8</xdr:col>
      <xdr:colOff>825500</xdr:colOff>
      <xdr:row>3</xdr:row>
      <xdr:rowOff>184150</xdr:rowOff>
    </xdr:to>
    <xdr:grpSp>
      <xdr:nvGrpSpPr>
        <xdr:cNvPr id="2" name="Groupe 1"/>
        <xdr:cNvGrpSpPr/>
      </xdr:nvGrpSpPr>
      <xdr:grpSpPr>
        <a:xfrm>
          <a:off x="5307013" y="177800"/>
          <a:ext cx="6519862"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2044700</xdr:colOff>
      <xdr:row>0</xdr:row>
      <xdr:rowOff>190500</xdr:rowOff>
    </xdr:from>
    <xdr:to>
      <xdr:col>8</xdr:col>
      <xdr:colOff>825500</xdr:colOff>
      <xdr:row>4</xdr:row>
      <xdr:rowOff>6350</xdr:rowOff>
    </xdr:to>
    <xdr:grpSp>
      <xdr:nvGrpSpPr>
        <xdr:cNvPr id="2" name="Groupe 1"/>
        <xdr:cNvGrpSpPr/>
      </xdr:nvGrpSpPr>
      <xdr:grpSpPr>
        <a:xfrm>
          <a:off x="5307013" y="190500"/>
          <a:ext cx="6746081" cy="625475"/>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0</xdr:row>
      <xdr:rowOff>179915</xdr:rowOff>
    </xdr:from>
    <xdr:to>
      <xdr:col>43</xdr:col>
      <xdr:colOff>738719</xdr:colOff>
      <xdr:row>3</xdr:row>
      <xdr:rowOff>184148</xdr:rowOff>
    </xdr:to>
    <xdr:grpSp>
      <xdr:nvGrpSpPr>
        <xdr:cNvPr id="2" name="Groupe 1"/>
        <xdr:cNvGrpSpPr/>
      </xdr:nvGrpSpPr>
      <xdr:grpSpPr>
        <a:xfrm>
          <a:off x="8858250" y="179915"/>
          <a:ext cx="5024969" cy="623358"/>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209550</xdr:colOff>
      <xdr:row>0</xdr:row>
      <xdr:rowOff>76200</xdr:rowOff>
    </xdr:from>
    <xdr:to>
      <xdr:col>8</xdr:col>
      <xdr:colOff>457200</xdr:colOff>
      <xdr:row>3</xdr:row>
      <xdr:rowOff>133350</xdr:rowOff>
    </xdr:to>
    <xdr:grpSp>
      <xdr:nvGrpSpPr>
        <xdr:cNvPr id="2" name="Groupe 1"/>
        <xdr:cNvGrpSpPr/>
      </xdr:nvGrpSpPr>
      <xdr:grpSpPr>
        <a:xfrm>
          <a:off x="209550" y="76200"/>
          <a:ext cx="6543675" cy="628650"/>
          <a:chOff x="0" y="0"/>
          <a:chExt cx="6496050" cy="628650"/>
        </a:xfrm>
      </xdr:grpSpPr>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257300" cy="619125"/>
          </a:xfrm>
          <a:prstGeom prst="rect">
            <a:avLst/>
          </a:prstGeom>
          <a:noFill/>
          <a:ln>
            <a:noFill/>
          </a:ln>
        </xdr:spPr>
      </xdr:pic>
      <xdr:pic>
        <xdr:nvPicPr>
          <xdr:cNvPr id="4" name="Image 3" descr="Marianne"/>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7350" y="0"/>
            <a:ext cx="1028700" cy="628650"/>
          </a:xfrm>
          <a:prstGeom prst="rect">
            <a:avLst/>
          </a:prstGeom>
          <a:noFill/>
          <a:ln>
            <a:noFill/>
          </a:ln>
        </xdr:spPr>
      </xdr:pic>
      <xdr:pic>
        <xdr:nvPicPr>
          <xdr:cNvPr id="5" name="Image 4" descr="Drapeau_couleur U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914400" cy="619125"/>
          </a:xfrm>
          <a:prstGeom prst="rect">
            <a:avLst/>
          </a:prstGeom>
          <a:noFill/>
          <a:ln>
            <a:noFill/>
          </a:ln>
        </xdr:spPr>
      </xdr:pic>
    </xdr:grpSp>
    <xdr:clientData/>
  </xdr:twoCellAnchor>
  <xdr:twoCellAnchor>
    <xdr:from>
      <xdr:col>1</xdr:col>
      <xdr:colOff>266701</xdr:colOff>
      <xdr:row>5</xdr:row>
      <xdr:rowOff>142875</xdr:rowOff>
    </xdr:from>
    <xdr:to>
      <xdr:col>7</xdr:col>
      <xdr:colOff>333376</xdr:colOff>
      <xdr:row>49</xdr:row>
      <xdr:rowOff>23813</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name="Lancer la requête à partir de Excel Files_8" adjustColumnWidth="0" connectionId="5" autoFormatId="16" applyNumberFormats="0" applyBorderFormats="0" applyFontFormats="0" applyPatternFormats="0" applyAlignmentFormats="0" applyWidthHeightFormats="0">
  <queryTableRefresh nextId="105" unboundColumnsRight="1">
    <queryTableFields count="42">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2" name="'FNADT '" tableColumnId="10"/>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104" dataBound="0" tableColumnId="4"/>
    </queryTableFields>
    <queryTableDeletedFields count="1">
      <deletedField name="Avis Cofimac"/>
    </queryTableDeletedFields>
  </queryTableRefresh>
</queryTable>
</file>

<file path=xl/queryTables/queryTable2.xml><?xml version="1.0" encoding="utf-8"?>
<queryTable xmlns="http://schemas.openxmlformats.org/spreadsheetml/2006/main" name="Lancer la requête à partir de Excel Files_8" adjustColumnWidth="0" connectionId="6" autoFormatId="16" applyNumberFormats="0" applyBorderFormats="0" applyFontFormats="0" applyPatternFormats="0" applyAlignmentFormats="0" applyWidthHeightFormats="0">
  <queryTableRefresh nextId="108" unboundColumnsRight="1">
    <queryTableFields count="42">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95" dataBound="0" tableColumnId="4"/>
    </queryTableFields>
    <queryTableDeletedFields count="1">
      <deletedField name="Avis Cofimac"/>
    </queryTableDeletedFields>
  </queryTableRefresh>
</queryTable>
</file>

<file path=xl/queryTables/queryTable3.xml><?xml version="1.0" encoding="utf-8"?>
<queryTable xmlns="http://schemas.openxmlformats.org/spreadsheetml/2006/main" name="Lancer la requête à partir de Excel Files_8" adjustColumnWidth="0" connectionId="3" autoFormatId="16" applyNumberFormats="0" applyBorderFormats="0" applyFontFormats="0" applyPatternFormats="0" applyAlignmentFormats="0" applyWidthHeightFormats="0">
  <queryTableRefresh nextId="107" unboundColumnsRight="1">
    <queryTableFields count="42">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95" dataBound="0" tableColumnId="4"/>
    </queryTableFields>
    <queryTableDeletedFields count="1">
      <deletedField name="Avis Cofimac"/>
    </queryTableDeletedFields>
  </queryTableRefresh>
</queryTable>
</file>

<file path=xl/queryTables/queryTable4.xml><?xml version="1.0" encoding="utf-8"?>
<queryTable xmlns="http://schemas.openxmlformats.org/spreadsheetml/2006/main" name="Lancer la requête à partir de Excel Files_8" adjustColumnWidth="0" connectionId="4" autoFormatId="16" applyNumberFormats="0" applyBorderFormats="0" applyFontFormats="0" applyPatternFormats="0" applyAlignmentFormats="0" applyWidthHeightFormats="0">
  <queryTableRefresh nextId="112" unboundColumnsRight="1">
    <queryTableFields count="43">
      <queryTableField id="109" name="'Thématique '" tableColumnId="6"/>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95" dataBound="0" tableColumnId="4"/>
    </queryTableFields>
    <queryTableDeletedFields count="1">
      <deletedField name="Avis Cofimac"/>
    </queryTableDeletedFields>
  </queryTableRefresh>
</queryTable>
</file>

<file path=xl/queryTables/queryTable5.xml><?xml version="1.0" encoding="utf-8"?>
<queryTable xmlns="http://schemas.openxmlformats.org/spreadsheetml/2006/main" name="Lancer la requête à partir de Excel Files_8" adjustColumnWidth="0" connectionId="1" autoFormatId="16" applyNumberFormats="0" applyBorderFormats="0" applyFontFormats="0" applyPatternFormats="0" applyAlignmentFormats="0" applyWidthHeightFormats="0">
  <queryTableRefresh nextId="107" unboundColumnsRight="1">
    <queryTableFields count="42">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95" dataBound="0" tableColumnId="4"/>
    </queryTableFields>
    <queryTableDeletedFields count="1">
      <deletedField name="Avis Cofimac"/>
    </queryTableDeletedFields>
  </queryTableRefresh>
</queryTable>
</file>

<file path=xl/queryTables/queryTable6.xml><?xml version="1.0" encoding="utf-8"?>
<queryTable xmlns="http://schemas.openxmlformats.org/spreadsheetml/2006/main" name="Lancer la requête à partir de Excel Files_8" adjustColumnWidth="0" connectionId="8" autoFormatId="16" applyNumberFormats="0" applyBorderFormats="0" applyFontFormats="0" applyPatternFormats="0" applyAlignmentFormats="0" applyWidthHeightFormats="0">
  <queryTableRefresh nextId="107" unboundColumnsRight="1">
    <queryTableFields count="42">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95" dataBound="0" tableColumnId="4"/>
    </queryTableFields>
    <queryTableDeletedFields count="1">
      <deletedField name="Avis Cofimac"/>
    </queryTableDeletedFields>
  </queryTableRefresh>
</queryTable>
</file>

<file path=xl/queryTables/queryTable7.xml><?xml version="1.0" encoding="utf-8"?>
<queryTable xmlns="http://schemas.openxmlformats.org/spreadsheetml/2006/main" name="Lancer la requête à partir de Excel Files_8" adjustColumnWidth="0" connectionId="2" autoFormatId="16" applyNumberFormats="0" applyBorderFormats="0" applyFontFormats="0" applyPatternFormats="0" applyAlignmentFormats="0" applyWidthHeightFormats="0">
  <queryTableRefresh nextId="107" unboundColumnsRight="1">
    <queryTableFields count="42">
      <queryTableField id="1" name="ID_Synergie" tableColumnId="1"/>
      <queryTableField id="2" name="Nom_MO" tableColumnId="2"/>
      <queryTableField id="3" name="Intitule_Operation" tableColumnId="3"/>
      <queryTableField id="46" name="'Coût total éligible'" tableColumnId="43"/>
      <queryTableField id="42" dataBound="0" tableColumnId="39"/>
      <queryTableField id="92" dataBound="0" tableColumnId="81"/>
      <queryTableField id="43" dataBound="0" tableColumnId="40"/>
      <queryTableField id="93" dataBound="0" tableColumnId="82"/>
      <queryTableField id="78" name="'FEDER'" tableColumnId="75"/>
      <queryTableField id="99" dataBound="0" tableColumnId="7"/>
      <queryTableField id="104" name="'FNADT '" tableColumnId="11"/>
      <queryTableField id="49" name="'Agriculture'" tableColumnId="46"/>
      <queryTableField id="100" dataBound="0" tableColumnId="8"/>
      <queryTableField id="51" name="'ALPC'" tableColumnId="48"/>
      <queryTableField id="52" name="'AURA'" tableColumnId="49"/>
      <queryTableField id="81" name="'BFC'" tableColumnId="78"/>
      <queryTableField id="82" name="'LRMP'" tableColumnId="79"/>
      <queryTableField id="101" dataBound="0" tableColumnId="9"/>
      <queryTableField id="56" name="'03'" tableColumnId="53"/>
      <queryTableField id="57" name="'07'" tableColumnId="54"/>
      <queryTableField id="58" name="'11'" tableColumnId="55"/>
      <queryTableField id="59" name="'12'" tableColumnId="56"/>
      <queryTableField id="60" name="'15'" tableColumnId="57"/>
      <queryTableField id="61" name="'19'" tableColumnId="58"/>
      <queryTableField id="62" name="'21'" tableColumnId="59"/>
      <queryTableField id="85" name="'23'" tableColumnId="80"/>
      <queryTableField id="63" name="'30'" tableColumnId="60"/>
      <queryTableField id="64" name="'34'" tableColumnId="61"/>
      <queryTableField id="65" name="'42'" tableColumnId="62"/>
      <queryTableField id="66" name="'43'" tableColumnId="63"/>
      <queryTableField id="67" name="'46'" tableColumnId="64"/>
      <queryTableField id="68" name="'48'" tableColumnId="65"/>
      <queryTableField id="69" name="'58'" tableColumnId="66"/>
      <queryTableField id="70" name="'63'" tableColumnId="67"/>
      <queryTableField id="71" name="'69'" tableColumnId="68"/>
      <queryTableField id="72" name="'71'" tableColumnId="69"/>
      <queryTableField id="73" name="'81'" tableColumnId="70"/>
      <queryTableField id="74" name="'82'" tableColumnId="71"/>
      <queryTableField id="75" name="'87'" tableColumnId="72"/>
      <queryTableField id="76" name="'89'" tableColumnId="73"/>
      <queryTableField id="79" name="'Autre Public'" tableColumnId="76"/>
      <queryTableField id="95" dataBound="0" tableColumnId="4"/>
    </queryTableFields>
    <queryTableDeletedFields count="1">
      <deletedField name="Avis Cofimac"/>
    </queryTableDeletedFields>
  </queryTableRefresh>
</queryTable>
</file>

<file path=xl/queryTables/queryTable8.xml><?xml version="1.0" encoding="utf-8"?>
<queryTable xmlns="http://schemas.openxmlformats.org/spreadsheetml/2006/main" name="Lancer la requête à partir de Excel Files" adjustColumnWidth="0" connectionId="7" autoFormatId="16" applyNumberFormats="0" applyBorderFormats="0" applyFontFormats="0" applyPatternFormats="0" applyAlignmentFormats="0" applyWidthHeightFormats="0">
  <queryTableRefresh nextId="171" unboundColumnsRight="1">
    <queryTableFields count="46">
      <queryTableField id="1" name="Programme" tableColumnId="1"/>
      <queryTableField id="84" name="ID_dossier GIP" tableColumnId="50"/>
      <queryTableField id="48" name="ID_Synergie" tableColumnId="43"/>
      <queryTableField id="2" name="Nom_MO" tableColumnId="2"/>
      <queryTableField id="3" name="Intitule_Operation" tableColumnId="3"/>
      <queryTableField id="4" name="Coût total déposé" tableColumnId="4"/>
      <queryTableField id="128" name="Coût total Eligible FEDER" tableColumnId="12"/>
      <queryTableField id="131" dataBound="0" tableColumnId="13"/>
      <queryTableField id="92" dataBound="0" tableColumnId="6"/>
      <queryTableField id="44" dataBound="0" tableColumnId="44"/>
      <queryTableField id="40" dataBound="0" tableColumnId="40"/>
      <queryTableField id="42" dataBound="0" tableColumnId="42"/>
      <queryTableField id="89" dataBound="0" tableColumnId="52"/>
      <queryTableField id="133" name="'FNADT'" tableColumnId="15"/>
      <queryTableField id="134" name="'Agriculture'" tableColumnId="16"/>
      <queryTableField id="90" dataBound="0" tableColumnId="54"/>
      <queryTableField id="138" name="'ALPC'" tableColumnId="20"/>
      <queryTableField id="136" name="'AURA'" tableColumnId="18"/>
      <queryTableField id="137" name="'BFC'" tableColumnId="19"/>
      <queryTableField id="139" name="'LRMP'" tableColumnId="21"/>
      <queryTableField id="91" dataBound="0" tableColumnId="55"/>
      <queryTableField id="141" name="'03'" tableColumnId="23"/>
      <queryTableField id="142" name="'07'" tableColumnId="24"/>
      <queryTableField id="143" name="'11'" tableColumnId="25"/>
      <queryTableField id="144" name="'12'" tableColumnId="26"/>
      <queryTableField id="145" name="'15'" tableColumnId="27"/>
      <queryTableField id="146" name="'19'" tableColumnId="28"/>
      <queryTableField id="147" name="'21'" tableColumnId="29"/>
      <queryTableField id="148" name="'23'" tableColumnId="30"/>
      <queryTableField id="149" name="'30'" tableColumnId="31"/>
      <queryTableField id="150" name="'34'" tableColumnId="32"/>
      <queryTableField id="151" name="'42'" tableColumnId="33"/>
      <queryTableField id="152" name="'43'" tableColumnId="34"/>
      <queryTableField id="153" name="'46'" tableColumnId="35"/>
      <queryTableField id="154" name="'48'" tableColumnId="36"/>
      <queryTableField id="155" name="'58'" tableColumnId="37"/>
      <queryTableField id="156" name="'63'" tableColumnId="38"/>
      <queryTableField id="157" name="'69'" tableColumnId="39"/>
      <queryTableField id="158" name="'71'" tableColumnId="41"/>
      <queryTableField id="159" name="'81'" tableColumnId="45"/>
      <queryTableField id="160" name="'82'" tableColumnId="47"/>
      <queryTableField id="161" name="'87'" tableColumnId="48"/>
      <queryTableField id="162" name="'89'" tableColumnId="51"/>
      <queryTableField id="163" name="'FEDER'" tableColumnId="53"/>
      <queryTableField id="164" name="'Autre Public'" tableColumnId="56"/>
      <queryTableField id="169" dataBound="0" tableColumnId="5"/>
    </queryTableFields>
    <queryTableDeletedFields count="8">
      <deletedField name="Total_Etat_FN2"/>
      <deletedField name="Total_Regions_FN2"/>
      <deletedField name="Total_Dpts_FN2"/>
      <deletedField name="Aide Publique demandée"/>
      <deletedField name="'Régions'"/>
      <deletedField name="'Etat'"/>
      <deletedField name="'Dpts'"/>
      <deletedField name="Remarqu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table1.xml><?xml version="1.0" encoding="utf-8"?>
<table xmlns="http://schemas.openxmlformats.org/spreadsheetml/2006/main" id="1" name="Tableau_Lancer_la_requête_à_partir_de_Excel_Files102" displayName="Tableau_Lancer_la_requête_à_partir_de_Excel_Files102" ref="A6:AP19" tableType="queryTable" totalsRowCount="1" headerRowDxfId="838" dataDxfId="837" totalsRowDxfId="836">
  <autoFilter ref="A6:AP18"/>
  <sortState ref="A7:AQ18">
    <sortCondition ref="A6:A18"/>
  </sortState>
  <tableColumns count="42">
    <tableColumn id="1" uniqueName="1" name="ID_Synergie" totalsRowLabel="Total" queryTableFieldId="1" dataDxfId="835" totalsRowDxfId="834"/>
    <tableColumn id="2" uniqueName="2" name="Nom_MO" totalsRowFunction="count" queryTableFieldId="2" dataDxfId="833" totalsRowDxfId="832"/>
    <tableColumn id="3" uniqueName="3" name="Intitule_Operation" queryTableFieldId="3" dataDxfId="831" totalsRowDxfId="830"/>
    <tableColumn id="43" uniqueName="43" name="'Coût total éligible'" totalsRowFunction="sum" queryTableFieldId="46" dataDxfId="829" totalsRowDxfId="828"/>
    <tableColumn id="39" uniqueName="39" name="Aide _x000a_publique" totalsRowFunction="sum" queryTableFieldId="42" dataDxfId="827" totalsRowDxfId="826">
      <calculatedColumnFormula>Tableau_Lancer_la_requête_à_partir_de_Excel_Files102[[#This Row],[Aide Massif]]+Tableau_Lancer_la_requête_à_partir_de_Excel_Files102[[#This Row],[''Autre Public'']]</calculatedColumnFormula>
    </tableColumn>
    <tableColumn id="81" uniqueName="81" name="Tx Aide publique" queryTableFieldId="92" dataDxfId="825" totalsRowDxfId="824">
      <calculatedColumnFormula>Tableau_Lancer_la_requête_à_partir_de_Excel_Files102[[#This Row],[Aide 
publique]]/Tableau_Lancer_la_requête_à_partir_de_Excel_Files102[[#This Row],[''Coût total éligible'']]</calculatedColumnFormula>
    </tableColumn>
    <tableColumn id="40" uniqueName="40" name="Aide Massif" totalsRowFunction="sum" queryTableFieldId="43" dataDxfId="823" totalsRowDxfId="822">
      <calculatedColumnFormula>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calculatedColumnFormula>
    </tableColumn>
    <tableColumn id="82" uniqueName="82" name="Tx_x000a_Aide Massif" queryTableFieldId="93" dataDxfId="821" totalsRowDxfId="820">
      <calculatedColumnFormula>Tableau_Lancer_la_requête_à_partir_de_Excel_Files102[[#This Row],[Aide Massif]]/Tableau_Lancer_la_requête_à_partir_de_Excel_Files102[[#This Row],[''Coût total éligible'']]</calculatedColumnFormula>
    </tableColumn>
    <tableColumn id="75" uniqueName="75" name="'FEDER'" totalsRowFunction="sum" queryTableFieldId="78" dataDxfId="819" totalsRowDxfId="818"/>
    <tableColumn id="7" uniqueName="7" name="Total Etat" totalsRowFunction="sum" queryTableFieldId="99" dataDxfId="817" totalsRowDxfId="816">
      <calculatedColumnFormula>Tableau_Lancer_la_requête_à_partir_de_Excel_Files102[[#This Row],[''FNADT '']]+Tableau_Lancer_la_requête_à_partir_de_Excel_Files102[[#This Row],[''Agriculture'']]</calculatedColumnFormula>
    </tableColumn>
    <tableColumn id="10" uniqueName="10" name="'FNADT '" queryTableFieldId="102" dataDxfId="815" totalsRowDxfId="814"/>
    <tableColumn id="46" uniqueName="46" name="'Agriculture'" totalsRowFunction="sum" queryTableFieldId="49" dataDxfId="813" totalsRowDxfId="812"/>
    <tableColumn id="8" uniqueName="8" name="Total Régions" totalsRowFunction="sum" queryTableFieldId="100" dataDxfId="811" totalsRowDxfId="810">
      <calculatedColumnFormula>Tableau_Lancer_la_requête_à_partir_de_Excel_Files102[[#This Row],[''ALPC'']]+Tableau_Lancer_la_requête_à_partir_de_Excel_Files102[[#This Row],[''AURA'']]+Tableau_Lancer_la_requête_à_partir_de_Excel_Files102[[#This Row],[''BFC'']]+Tableau_Lancer_la_requête_à_partir_de_Excel_Files102[[#This Row],[''LRMP'']]</calculatedColumnFormula>
    </tableColumn>
    <tableColumn id="48" uniqueName="48" name="'ALPC'" totalsRowFunction="sum" queryTableFieldId="51" dataDxfId="809" totalsRowDxfId="808"/>
    <tableColumn id="49" uniqueName="49" name="'AURA'" totalsRowFunction="sum" queryTableFieldId="52" dataDxfId="807" totalsRowDxfId="806"/>
    <tableColumn id="78" uniqueName="78" name="'BFC'" totalsRowFunction="sum" queryTableFieldId="81" dataDxfId="805" totalsRowDxfId="804"/>
    <tableColumn id="79" uniqueName="79" name="'LRMP'" totalsRowFunction="sum" queryTableFieldId="82" dataDxfId="803" totalsRowDxfId="802"/>
    <tableColumn id="9" uniqueName="9" name="Total Dpts" totalsRowFunction="sum" queryTableFieldId="101" dataDxfId="801" totalsRowDxfId="800">
      <calculatedColumnFormula>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calculatedColumnFormula>
    </tableColumn>
    <tableColumn id="53" uniqueName="53" name="'03'" totalsRowFunction="sum" queryTableFieldId="56" dataDxfId="799" totalsRowDxfId="798"/>
    <tableColumn id="54" uniqueName="54" name="'07'" totalsRowFunction="sum" queryTableFieldId="57" dataDxfId="797" totalsRowDxfId="796"/>
    <tableColumn id="55" uniqueName="55" name="'11'" totalsRowFunction="sum" queryTableFieldId="58" dataDxfId="795" totalsRowDxfId="794"/>
    <tableColumn id="56" uniqueName="56" name="'12'" totalsRowFunction="sum" queryTableFieldId="59" dataDxfId="793" totalsRowDxfId="792"/>
    <tableColumn id="57" uniqueName="57" name="'15'" totalsRowFunction="sum" queryTableFieldId="60" dataDxfId="791" totalsRowDxfId="790"/>
    <tableColumn id="58" uniqueName="58" name="'19'" totalsRowFunction="sum" queryTableFieldId="61" dataDxfId="789" totalsRowDxfId="788"/>
    <tableColumn id="59" uniqueName="59" name="'21'" totalsRowFunction="sum" queryTableFieldId="62" dataDxfId="787" totalsRowDxfId="786"/>
    <tableColumn id="80" uniqueName="80" name="'23'" totalsRowFunction="sum" queryTableFieldId="85" dataDxfId="785" totalsRowDxfId="784"/>
    <tableColumn id="60" uniqueName="60" name="'30'" totalsRowFunction="sum" queryTableFieldId="63" dataDxfId="783" totalsRowDxfId="782"/>
    <tableColumn id="61" uniqueName="61" name="'34'" totalsRowFunction="sum" queryTableFieldId="64" dataDxfId="781" totalsRowDxfId="780"/>
    <tableColumn id="62" uniqueName="62" name="'42'" totalsRowFunction="sum" queryTableFieldId="65" dataDxfId="779" totalsRowDxfId="778"/>
    <tableColumn id="63" uniqueName="63" name="'43'" totalsRowFunction="sum" queryTableFieldId="66" dataDxfId="777" totalsRowDxfId="776"/>
    <tableColumn id="64" uniqueName="64" name="'46'" totalsRowFunction="sum" queryTableFieldId="67" dataDxfId="775" totalsRowDxfId="774"/>
    <tableColumn id="65" uniqueName="65" name="'48'" totalsRowFunction="sum" queryTableFieldId="68" dataDxfId="773" totalsRowDxfId="772"/>
    <tableColumn id="66" uniqueName="66" name="'58'" totalsRowFunction="sum" queryTableFieldId="69" dataDxfId="771" totalsRowDxfId="770"/>
    <tableColumn id="67" uniqueName="67" name="'63'" totalsRowFunction="sum" queryTableFieldId="70" dataDxfId="769" totalsRowDxfId="768"/>
    <tableColumn id="68" uniqueName="68" name="'69'" totalsRowFunction="sum" queryTableFieldId="71" dataDxfId="767" totalsRowDxfId="766"/>
    <tableColumn id="69" uniqueName="69" name="'71'" totalsRowFunction="sum" queryTableFieldId="72" dataDxfId="765" totalsRowDxfId="764"/>
    <tableColumn id="70" uniqueName="70" name="'81'" totalsRowFunction="sum" queryTableFieldId="73" dataDxfId="763" totalsRowDxfId="762"/>
    <tableColumn id="71" uniqueName="71" name="'82'" totalsRowFunction="sum" queryTableFieldId="74" dataDxfId="761" totalsRowDxfId="760"/>
    <tableColumn id="72" uniqueName="72" name="'87'" totalsRowFunction="sum" queryTableFieldId="75" dataDxfId="759" totalsRowDxfId="758"/>
    <tableColumn id="73" uniqueName="73" name="'89'" totalsRowFunction="sum" queryTableFieldId="76" dataDxfId="757" totalsRowDxfId="756"/>
    <tableColumn id="76" uniqueName="76" name="'Autre Public'" totalsRowFunction="sum" queryTableFieldId="79" dataDxfId="755" totalsRowDxfId="754"/>
    <tableColumn id="4" uniqueName="4" name="Avis Prog" queryTableFieldId="104" dataDxfId="753" totalsRowDxfId="752"/>
  </tableColumns>
  <tableStyleInfo name="TableStyleMedium6" showFirstColumn="0" showLastColumn="0" showRowStripes="1" showColumnStripes="0"/>
</table>
</file>

<file path=xl/tables/table2.xml><?xml version="1.0" encoding="utf-8"?>
<table xmlns="http://schemas.openxmlformats.org/spreadsheetml/2006/main" id="4" name="Tableau_Lancer_la_requête_à_partir_de_Excel_Files1025" displayName="Tableau_Lancer_la_requête_à_partir_de_Excel_Files1025" ref="A6:AP18" tableType="queryTable" totalsRowCount="1" headerRowDxfId="739" dataDxfId="738" totalsRowDxfId="737">
  <autoFilter ref="A6:AP17"/>
  <sortState ref="A7:AQ17">
    <sortCondition ref="A6:A18"/>
  </sortState>
  <tableColumns count="42">
    <tableColumn id="1" uniqueName="1" name="ID_Synergie" totalsRowLabel="Total" queryTableFieldId="1" dataDxfId="736" totalsRowDxfId="735"/>
    <tableColumn id="2" uniqueName="2" name="Nom_MO" totalsRowFunction="count" queryTableFieldId="2" dataDxfId="734" totalsRowDxfId="733"/>
    <tableColumn id="3" uniqueName="3" name="Intitule_Operation" queryTableFieldId="3" dataDxfId="732" totalsRowDxfId="731"/>
    <tableColumn id="43" uniqueName="43" name="'Coût total éligible'" totalsRowFunction="sum" queryTableFieldId="46" dataDxfId="730" totalsRowDxfId="729"/>
    <tableColumn id="39" uniqueName="39" name="Aide _x000a_publique" totalsRowFunction="sum" queryTableFieldId="42" dataDxfId="728" totalsRowDxfId="727">
      <calculatedColumnFormula>Tableau_Lancer_la_requête_à_partir_de_Excel_Files1025[[#This Row],[Aide Massif]]+Tableau_Lancer_la_requête_à_partir_de_Excel_Files1025[[#This Row],[''Autre Public'']]</calculatedColumnFormula>
    </tableColumn>
    <tableColumn id="81" uniqueName="81" name="Tx Aide publique" queryTableFieldId="92" dataDxfId="726" totalsRowDxfId="725">
      <calculatedColumnFormula>Tableau_Lancer_la_requête_à_partir_de_Excel_Files1025[[#This Row],[Aide 
publique]]/Tableau_Lancer_la_requête_à_partir_de_Excel_Files1025[[#This Row],[''Coût total éligible'']]</calculatedColumnFormula>
    </tableColumn>
    <tableColumn id="40" uniqueName="40" name="Aide Massif" totalsRowFunction="sum" queryTableFieldId="43" dataDxfId="724" totalsRowDxfId="723">
      <calculatedColumnFormula>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calculatedColumnFormula>
    </tableColumn>
    <tableColumn id="82" uniqueName="82" name="Tx_x000a_Aide Massif" queryTableFieldId="93" dataDxfId="722" totalsRowDxfId="721">
      <calculatedColumnFormula>Tableau_Lancer_la_requête_à_partir_de_Excel_Files1025[[#This Row],[Aide Massif]]/Tableau_Lancer_la_requête_à_partir_de_Excel_Files1025[[#This Row],[''Coût total éligible'']]</calculatedColumnFormula>
    </tableColumn>
    <tableColumn id="75" uniqueName="75" name="'FEDER'" totalsRowFunction="sum" queryTableFieldId="78" dataDxfId="720" totalsRowDxfId="719"/>
    <tableColumn id="7" uniqueName="7" name="Total Etat" totalsRowFunction="sum" queryTableFieldId="99" dataDxfId="718" totalsRowDxfId="717">
      <calculatedColumnFormula>Tableau_Lancer_la_requête_à_partir_de_Excel_Files1025[[#This Row],[''FNADT '']]+Tableau_Lancer_la_requête_à_partir_de_Excel_Files1025[[#This Row],[''Agriculture'']]</calculatedColumnFormula>
    </tableColumn>
    <tableColumn id="11" uniqueName="11" name="'FNADT '" queryTableFieldId="104" dataDxfId="716" totalsRowDxfId="715"/>
    <tableColumn id="46" uniqueName="46" name="'Agriculture'" totalsRowFunction="sum" queryTableFieldId="49" dataDxfId="714" totalsRowDxfId="713"/>
    <tableColumn id="8" uniqueName="8" name="Total Régions" totalsRowFunction="sum" queryTableFieldId="100" dataDxfId="712" totalsRowDxfId="711">
      <calculatedColumnFormula>Tableau_Lancer_la_requête_à_partir_de_Excel_Files1025[[#This Row],[''ALPC'']]+Tableau_Lancer_la_requête_à_partir_de_Excel_Files1025[[#This Row],[''AURA'']]+Tableau_Lancer_la_requête_à_partir_de_Excel_Files1025[[#This Row],[''BFC'']]+Tableau_Lancer_la_requête_à_partir_de_Excel_Files1025[[#This Row],[''LRMP'']]</calculatedColumnFormula>
    </tableColumn>
    <tableColumn id="48" uniqueName="48" name="'ALPC'" totalsRowFunction="sum" queryTableFieldId="51" dataDxfId="710" totalsRowDxfId="709"/>
    <tableColumn id="49" uniqueName="49" name="'AURA'" totalsRowFunction="sum" queryTableFieldId="52" dataDxfId="708" totalsRowDxfId="707"/>
    <tableColumn id="78" uniqueName="78" name="'BFC'" totalsRowFunction="sum" queryTableFieldId="81" dataDxfId="706" totalsRowDxfId="705"/>
    <tableColumn id="79" uniqueName="79" name="'LRMP'" totalsRowFunction="sum" queryTableFieldId="82" dataDxfId="704" totalsRowDxfId="703"/>
    <tableColumn id="9" uniqueName="9" name="Total Dpts" totalsRowFunction="sum" queryTableFieldId="101" dataDxfId="702" totalsRowDxfId="701">
      <calculatedColumnFormula>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calculatedColumnFormula>
    </tableColumn>
    <tableColumn id="53" uniqueName="53" name="'03'" totalsRowFunction="sum" queryTableFieldId="56" dataDxfId="700" totalsRowDxfId="699"/>
    <tableColumn id="54" uniqueName="54" name="'07'" totalsRowFunction="sum" queryTableFieldId="57" dataDxfId="698" totalsRowDxfId="697"/>
    <tableColumn id="55" uniqueName="55" name="'11'" totalsRowFunction="sum" queryTableFieldId="58" dataDxfId="696" totalsRowDxfId="695"/>
    <tableColumn id="56" uniqueName="56" name="'12'" totalsRowFunction="sum" queryTableFieldId="59" dataDxfId="694" totalsRowDxfId="693"/>
    <tableColumn id="57" uniqueName="57" name="'15'" totalsRowFunction="sum" queryTableFieldId="60" dataDxfId="692" totalsRowDxfId="691"/>
    <tableColumn id="58" uniqueName="58" name="'19'" totalsRowFunction="sum" queryTableFieldId="61" dataDxfId="690" totalsRowDxfId="689"/>
    <tableColumn id="59" uniqueName="59" name="'21'" totalsRowFunction="sum" queryTableFieldId="62" dataDxfId="688" totalsRowDxfId="687"/>
    <tableColumn id="80" uniqueName="80" name="'23'" totalsRowFunction="sum" queryTableFieldId="85" dataDxfId="686" totalsRowDxfId="685"/>
    <tableColumn id="60" uniqueName="60" name="'30'" totalsRowFunction="sum" queryTableFieldId="63" dataDxfId="684" totalsRowDxfId="683"/>
    <tableColumn id="61" uniqueName="61" name="'34'" totalsRowFunction="sum" queryTableFieldId="64" dataDxfId="682" totalsRowDxfId="681"/>
    <tableColumn id="62" uniqueName="62" name="'42'" totalsRowFunction="sum" queryTableFieldId="65" dataDxfId="680" totalsRowDxfId="679"/>
    <tableColumn id="63" uniqueName="63" name="'43'" totalsRowFunction="sum" queryTableFieldId="66" dataDxfId="678" totalsRowDxfId="677"/>
    <tableColumn id="64" uniqueName="64" name="'46'" totalsRowFunction="sum" queryTableFieldId="67" dataDxfId="676" totalsRowDxfId="675"/>
    <tableColumn id="65" uniqueName="65" name="'48'" totalsRowFunction="sum" queryTableFieldId="68" dataDxfId="674" totalsRowDxfId="673"/>
    <tableColumn id="66" uniqueName="66" name="'58'" totalsRowFunction="sum" queryTableFieldId="69" dataDxfId="672" totalsRowDxfId="671"/>
    <tableColumn id="67" uniqueName="67" name="'63'" totalsRowFunction="sum" queryTableFieldId="70" dataDxfId="670" totalsRowDxfId="669"/>
    <tableColumn id="68" uniqueName="68" name="'69'" totalsRowFunction="sum" queryTableFieldId="71" dataDxfId="668" totalsRowDxfId="667"/>
    <tableColumn id="69" uniqueName="69" name="'71'" totalsRowFunction="sum" queryTableFieldId="72" dataDxfId="666" totalsRowDxfId="665"/>
    <tableColumn id="70" uniqueName="70" name="'81'" totalsRowFunction="sum" queryTableFieldId="73" dataDxfId="664" totalsRowDxfId="663"/>
    <tableColumn id="71" uniqueName="71" name="'82'" totalsRowFunction="sum" queryTableFieldId="74" dataDxfId="662" totalsRowDxfId="661"/>
    <tableColumn id="72" uniqueName="72" name="'87'" totalsRowFunction="sum" queryTableFieldId="75" dataDxfId="660" totalsRowDxfId="659"/>
    <tableColumn id="73" uniqueName="73" name="'89'" totalsRowFunction="sum" queryTableFieldId="76" dataDxfId="658" totalsRowDxfId="657"/>
    <tableColumn id="76" uniqueName="76" name="'Autre Public'" totalsRowFunction="sum" queryTableFieldId="79" dataDxfId="656" totalsRowDxfId="655"/>
    <tableColumn id="4" uniqueName="4" name="Avis Prog" queryTableFieldId="95" dataDxfId="654" totalsRowDxfId="653"/>
  </tableColumns>
  <tableStyleInfo name="TableStyleMedium6" showFirstColumn="0" showLastColumn="0" showRowStripes="1" showColumnStripes="0"/>
</table>
</file>

<file path=xl/tables/table3.xml><?xml version="1.0" encoding="utf-8"?>
<table xmlns="http://schemas.openxmlformats.org/spreadsheetml/2006/main" id="5" name="Tableau_Lancer_la_requête_à_partir_de_Excel_Files10256" displayName="Tableau_Lancer_la_requête_à_partir_de_Excel_Files10256" ref="A6:AP18" tableType="queryTable" totalsRowCount="1" headerRowDxfId="644" dataDxfId="643" totalsRowDxfId="642">
  <autoFilter ref="A6:AP17"/>
  <sortState ref="A7:AP17">
    <sortCondition ref="A6:A18"/>
  </sortState>
  <tableColumns count="42">
    <tableColumn id="1" uniqueName="1" name="ID_Synergie" totalsRowLabel="Total" queryTableFieldId="1" dataDxfId="641" totalsRowDxfId="640"/>
    <tableColumn id="2" uniqueName="2" name="Nom_MO" totalsRowFunction="count" queryTableFieldId="2" dataDxfId="639" totalsRowDxfId="638"/>
    <tableColumn id="3" uniqueName="3" name="Intitule_Operation" queryTableFieldId="3" dataDxfId="637" totalsRowDxfId="636"/>
    <tableColumn id="43" uniqueName="43" name="'Coût total éligible'" totalsRowFunction="sum" queryTableFieldId="46" dataDxfId="635" totalsRowDxfId="634"/>
    <tableColumn id="39" uniqueName="39" name="Aide _x000a_publique" totalsRowFunction="sum" queryTableFieldId="42" dataDxfId="633" totalsRowDxfId="632">
      <calculatedColumnFormula>Tableau_Lancer_la_requête_à_partir_de_Excel_Files10256[[#This Row],[Aide Massif]]+Tableau_Lancer_la_requête_à_partir_de_Excel_Files10256[[#This Row],[''Autre Public'']]</calculatedColumnFormula>
    </tableColumn>
    <tableColumn id="81" uniqueName="81" name="Tx Aide publique" queryTableFieldId="92" dataDxfId="631" totalsRowDxfId="630">
      <calculatedColumnFormula>Tableau_Lancer_la_requête_à_partir_de_Excel_Files10256[[#This Row],[Aide 
publique]]/Tableau_Lancer_la_requête_à_partir_de_Excel_Files10256[[#This Row],[''Coût total éligible'']]</calculatedColumnFormula>
    </tableColumn>
    <tableColumn id="40" uniqueName="40" name="Aide Massif" totalsRowFunction="sum" queryTableFieldId="43" dataDxfId="629" totalsRowDxfId="628">
      <calculatedColumnFormula>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calculatedColumnFormula>
    </tableColumn>
    <tableColumn id="82" uniqueName="82" name="Tx_x000a_Aide Massif" queryTableFieldId="93" dataDxfId="627" totalsRowDxfId="626">
      <calculatedColumnFormula>Tableau_Lancer_la_requête_à_partir_de_Excel_Files10256[[#This Row],[Aide Massif]]/Tableau_Lancer_la_requête_à_partir_de_Excel_Files10256[[#This Row],[''Coût total éligible'']]</calculatedColumnFormula>
    </tableColumn>
    <tableColumn id="75" uniqueName="75" name="'FEDER'" totalsRowFunction="sum" queryTableFieldId="78" dataDxfId="625" totalsRowDxfId="624"/>
    <tableColumn id="7" uniqueName="7" name="Total Etat" totalsRowFunction="sum" queryTableFieldId="99" dataDxfId="623" totalsRowDxfId="622">
      <calculatedColumnFormula>Tableau_Lancer_la_requête_à_partir_de_Excel_Files10256[[#This Row],[''FNADT '']]+Tableau_Lancer_la_requête_à_partir_de_Excel_Files10256[[#This Row],[''Agriculture'']]</calculatedColumnFormula>
    </tableColumn>
    <tableColumn id="11" uniqueName="11" name="'FNADT '" queryTableFieldId="104" dataDxfId="621" totalsRowDxfId="620"/>
    <tableColumn id="46" uniqueName="46" name="'Agriculture'" totalsRowFunction="sum" queryTableFieldId="49" dataDxfId="619" totalsRowDxfId="618"/>
    <tableColumn id="8" uniqueName="8" name="Total Régions" totalsRowFunction="sum" queryTableFieldId="100" dataDxfId="617" totalsRowDxfId="616">
      <calculatedColumnFormula>Tableau_Lancer_la_requête_à_partir_de_Excel_Files10256[[#This Row],[''ALPC'']]+Tableau_Lancer_la_requête_à_partir_de_Excel_Files10256[[#This Row],[''AURA'']]+Tableau_Lancer_la_requête_à_partir_de_Excel_Files10256[[#This Row],[''BFC'']]+Tableau_Lancer_la_requête_à_partir_de_Excel_Files10256[[#This Row],[''LRMP'']]</calculatedColumnFormula>
    </tableColumn>
    <tableColumn id="48" uniqueName="48" name="'ALPC'" totalsRowFunction="sum" queryTableFieldId="51" dataDxfId="615" totalsRowDxfId="614"/>
    <tableColumn id="49" uniqueName="49" name="'AURA'" totalsRowFunction="sum" queryTableFieldId="52" dataDxfId="613" totalsRowDxfId="612"/>
    <tableColumn id="78" uniqueName="78" name="'BFC'" totalsRowFunction="sum" queryTableFieldId="81" dataDxfId="611" totalsRowDxfId="610"/>
    <tableColumn id="79" uniqueName="79" name="'LRMP'" totalsRowFunction="sum" queryTableFieldId="82" dataDxfId="609" totalsRowDxfId="608"/>
    <tableColumn id="9" uniqueName="9" name="Total Dpts" totalsRowFunction="sum" queryTableFieldId="101" dataDxfId="607" totalsRowDxfId="606">
      <calculatedColumnFormula>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calculatedColumnFormula>
    </tableColumn>
    <tableColumn id="53" uniqueName="53" name="'03'" totalsRowFunction="sum" queryTableFieldId="56" dataDxfId="605" totalsRowDxfId="604"/>
    <tableColumn id="54" uniqueName="54" name="'07'" totalsRowFunction="sum" queryTableFieldId="57" dataDxfId="603" totalsRowDxfId="602"/>
    <tableColumn id="55" uniqueName="55" name="'11'" totalsRowFunction="sum" queryTableFieldId="58" dataDxfId="601" totalsRowDxfId="600"/>
    <tableColumn id="56" uniqueName="56" name="'12'" totalsRowFunction="sum" queryTableFieldId="59" dataDxfId="599" totalsRowDxfId="598"/>
    <tableColumn id="57" uniqueName="57" name="'15'" totalsRowFunction="sum" queryTableFieldId="60" dataDxfId="597" totalsRowDxfId="596"/>
    <tableColumn id="58" uniqueName="58" name="'19'" totalsRowFunction="sum" queryTableFieldId="61" dataDxfId="595" totalsRowDxfId="594"/>
    <tableColumn id="59" uniqueName="59" name="'21'" totalsRowFunction="sum" queryTableFieldId="62" dataDxfId="593" totalsRowDxfId="592"/>
    <tableColumn id="80" uniqueName="80" name="'23'" totalsRowFunction="sum" queryTableFieldId="85" dataDxfId="591" totalsRowDxfId="590"/>
    <tableColumn id="60" uniqueName="60" name="'30'" totalsRowFunction="sum" queryTableFieldId="63" dataDxfId="589" totalsRowDxfId="588"/>
    <tableColumn id="61" uniqueName="61" name="'34'" totalsRowFunction="sum" queryTableFieldId="64" dataDxfId="587" totalsRowDxfId="586"/>
    <tableColumn id="62" uniqueName="62" name="'42'" totalsRowFunction="sum" queryTableFieldId="65" dataDxfId="585" totalsRowDxfId="584"/>
    <tableColumn id="63" uniqueName="63" name="'43'" totalsRowFunction="sum" queryTableFieldId="66" dataDxfId="583" totalsRowDxfId="582"/>
    <tableColumn id="64" uniqueName="64" name="'46'" totalsRowFunction="sum" queryTableFieldId="67" dataDxfId="581" totalsRowDxfId="580"/>
    <tableColumn id="65" uniqueName="65" name="'48'" totalsRowFunction="sum" queryTableFieldId="68" dataDxfId="579" totalsRowDxfId="578"/>
    <tableColumn id="66" uniqueName="66" name="'58'" totalsRowFunction="sum" queryTableFieldId="69" dataDxfId="577" totalsRowDxfId="576"/>
    <tableColumn id="67" uniqueName="67" name="'63'" totalsRowFunction="sum" queryTableFieldId="70" dataDxfId="575" totalsRowDxfId="574"/>
    <tableColumn id="68" uniqueName="68" name="'69'" totalsRowFunction="sum" queryTableFieldId="71" dataDxfId="573" totalsRowDxfId="572"/>
    <tableColumn id="69" uniqueName="69" name="'71'" totalsRowFunction="sum" queryTableFieldId="72" dataDxfId="571" totalsRowDxfId="570"/>
    <tableColumn id="70" uniqueName="70" name="'81'" totalsRowFunction="sum" queryTableFieldId="73" dataDxfId="569" totalsRowDxfId="568"/>
    <tableColumn id="71" uniqueName="71" name="'82'" totalsRowFunction="sum" queryTableFieldId="74" dataDxfId="567" totalsRowDxfId="566"/>
    <tableColumn id="72" uniqueName="72" name="'87'" totalsRowFunction="sum" queryTableFieldId="75" dataDxfId="565" totalsRowDxfId="564"/>
    <tableColumn id="73" uniqueName="73" name="'89'" totalsRowFunction="sum" queryTableFieldId="76" dataDxfId="563" totalsRowDxfId="562"/>
    <tableColumn id="76" uniqueName="76" name="'Autre Public'" totalsRowFunction="sum" queryTableFieldId="79" dataDxfId="561" totalsRowDxfId="560"/>
    <tableColumn id="4" uniqueName="4" name="Avis Prog" queryTableFieldId="95" dataDxfId="559" totalsRowDxfId="558"/>
  </tableColumns>
  <tableStyleInfo name="TableStyleMedium6" showFirstColumn="0" showLastColumn="0" showRowStripes="1" showColumnStripes="0"/>
</table>
</file>

<file path=xl/tables/table4.xml><?xml version="1.0" encoding="utf-8"?>
<table xmlns="http://schemas.openxmlformats.org/spreadsheetml/2006/main" id="6" name="Tableau_Lancer_la_requête_à_partir_de_Excel_Files102567" displayName="Tableau_Lancer_la_requête_à_partir_de_Excel_Files102567" ref="A6:AQ22" tableType="queryTable" totalsRowCount="1" headerRowDxfId="549" dataDxfId="548" totalsRowDxfId="547">
  <autoFilter ref="A6:AQ21"/>
  <sortState ref="A7:AR21">
    <sortCondition ref="A7:A21"/>
    <sortCondition ref="B7:B21"/>
  </sortState>
  <tableColumns count="43">
    <tableColumn id="6" uniqueName="6" name="'Thématique '" queryTableFieldId="109" dataDxfId="546" totalsRowDxfId="545"/>
    <tableColumn id="1" uniqueName="1" name="ID_Synergie" totalsRowLabel="Total" queryTableFieldId="1" dataDxfId="544" totalsRowDxfId="543"/>
    <tableColumn id="2" uniqueName="2" name="Nom_MO" totalsRowFunction="count" queryTableFieldId="2" dataDxfId="542" totalsRowDxfId="541"/>
    <tableColumn id="3" uniqueName="3" name="Intitule_Operation" queryTableFieldId="3" dataDxfId="540" totalsRowDxfId="539"/>
    <tableColumn id="43" uniqueName="43" name="'Coût total éligible'" totalsRowFunction="sum" queryTableFieldId="46" dataDxfId="538" totalsRowDxfId="537"/>
    <tableColumn id="39" uniqueName="39" name="Aide _x000a_publique" totalsRowFunction="sum" queryTableFieldId="42" dataDxfId="536" totalsRowDxfId="535">
      <calculatedColumnFormula>Tableau_Lancer_la_requête_à_partir_de_Excel_Files102567[[#This Row],[Aide Massif]]+Tableau_Lancer_la_requête_à_partir_de_Excel_Files102567[[#This Row],[''Autre Public'']]</calculatedColumnFormula>
    </tableColumn>
    <tableColumn id="81" uniqueName="81" name="Tx Aide publique" queryTableFieldId="92" dataDxfId="534" totalsRowDxfId="533">
      <calculatedColumnFormula>Tableau_Lancer_la_requête_à_partir_de_Excel_Files102567[[#This Row],[Aide 
publique]]/Tableau_Lancer_la_requête_à_partir_de_Excel_Files102567[[#This Row],[''Coût total éligible'']]</calculatedColumnFormula>
    </tableColumn>
    <tableColumn id="40" uniqueName="40" name="Aide Massif" totalsRowFunction="sum" queryTableFieldId="43" dataDxfId="532" totalsRowDxfId="531">
      <calculatedColumnFormula>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calculatedColumnFormula>
    </tableColumn>
    <tableColumn id="82" uniqueName="82" name="Tx_x000a_Aide Massif" queryTableFieldId="93" dataDxfId="530" totalsRowDxfId="529">
      <calculatedColumnFormula>Tableau_Lancer_la_requête_à_partir_de_Excel_Files102567[[#This Row],[Aide Massif]]/Tableau_Lancer_la_requête_à_partir_de_Excel_Files102567[[#This Row],[''Coût total éligible'']]</calculatedColumnFormula>
    </tableColumn>
    <tableColumn id="75" uniqueName="75" name="'FEDER'" totalsRowFunction="sum" queryTableFieldId="78" dataDxfId="528" totalsRowDxfId="527"/>
    <tableColumn id="7" uniqueName="7" name="Total Etat" totalsRowFunction="sum" queryTableFieldId="99" dataDxfId="526" totalsRowDxfId="525">
      <calculatedColumnFormula>Tableau_Lancer_la_requête_à_partir_de_Excel_Files102567[[#This Row],[''FNADT '']]+Tableau_Lancer_la_requête_à_partir_de_Excel_Files102567[[#This Row],[''Agriculture'']]</calculatedColumnFormula>
    </tableColumn>
    <tableColumn id="11" uniqueName="11" name="'FNADT '" queryTableFieldId="104" dataDxfId="524" totalsRowDxfId="523"/>
    <tableColumn id="46" uniqueName="46" name="'Agriculture'" totalsRowFunction="sum" queryTableFieldId="49" dataDxfId="522" totalsRowDxfId="521"/>
    <tableColumn id="8" uniqueName="8" name="Total Régions" totalsRowFunction="sum" queryTableFieldId="100" dataDxfId="520" totalsRowDxfId="519">
      <calculatedColumnFormula>Tableau_Lancer_la_requête_à_partir_de_Excel_Files102567[[#This Row],[''ALPC'']]+Tableau_Lancer_la_requête_à_partir_de_Excel_Files102567[[#This Row],[''AURA'']]+Tableau_Lancer_la_requête_à_partir_de_Excel_Files102567[[#This Row],[''BFC'']]+Tableau_Lancer_la_requête_à_partir_de_Excel_Files102567[[#This Row],[''LRMP'']]</calculatedColumnFormula>
    </tableColumn>
    <tableColumn id="48" uniqueName="48" name="'ALPC'" totalsRowFunction="sum" queryTableFieldId="51" dataDxfId="518" totalsRowDxfId="517"/>
    <tableColumn id="49" uniqueName="49" name="'AURA'" totalsRowFunction="sum" queryTableFieldId="52" dataDxfId="516" totalsRowDxfId="515"/>
    <tableColumn id="78" uniqueName="78" name="'BFC'" totalsRowFunction="sum" queryTableFieldId="81" dataDxfId="514" totalsRowDxfId="513"/>
    <tableColumn id="79" uniqueName="79" name="'LRMP'" totalsRowFunction="sum" queryTableFieldId="82" dataDxfId="512" totalsRowDxfId="511"/>
    <tableColumn id="9" uniqueName="9" name="Total Dpts" totalsRowFunction="sum" queryTableFieldId="101" dataDxfId="510" totalsRowDxfId="509">
      <calculatedColumnFormula>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calculatedColumnFormula>
    </tableColumn>
    <tableColumn id="53" uniqueName="53" name="'03'" totalsRowFunction="sum" queryTableFieldId="56" dataDxfId="508" totalsRowDxfId="507"/>
    <tableColumn id="54" uniqueName="54" name="'07'" totalsRowFunction="sum" queryTableFieldId="57" dataDxfId="506" totalsRowDxfId="505"/>
    <tableColumn id="55" uniqueName="55" name="'11'" totalsRowFunction="sum" queryTableFieldId="58" dataDxfId="504" totalsRowDxfId="503"/>
    <tableColumn id="56" uniqueName="56" name="'12'" totalsRowFunction="sum" queryTableFieldId="59" dataDxfId="502" totalsRowDxfId="501"/>
    <tableColumn id="57" uniqueName="57" name="'15'" totalsRowFunction="sum" queryTableFieldId="60" dataDxfId="500" totalsRowDxfId="499"/>
    <tableColumn id="58" uniqueName="58" name="'19'" totalsRowFunction="sum" queryTableFieldId="61" dataDxfId="498" totalsRowDxfId="497"/>
    <tableColumn id="59" uniqueName="59" name="'21'" totalsRowFunction="sum" queryTableFieldId="62" dataDxfId="496" totalsRowDxfId="495"/>
    <tableColumn id="80" uniqueName="80" name="'23'" totalsRowFunction="sum" queryTableFieldId="85" dataDxfId="494" totalsRowDxfId="493"/>
    <tableColumn id="60" uniqueName="60" name="'30'" totalsRowFunction="sum" queryTableFieldId="63" dataDxfId="492" totalsRowDxfId="491"/>
    <tableColumn id="61" uniqueName="61" name="'34'" totalsRowFunction="sum" queryTableFieldId="64" dataDxfId="490" totalsRowDxfId="489"/>
    <tableColumn id="62" uniqueName="62" name="'42'" totalsRowFunction="sum" queryTableFieldId="65" dataDxfId="488" totalsRowDxfId="487"/>
    <tableColumn id="63" uniqueName="63" name="'43'" totalsRowFunction="sum" queryTableFieldId="66" dataDxfId="486" totalsRowDxfId="485"/>
    <tableColumn id="64" uniqueName="64" name="'46'" totalsRowFunction="sum" queryTableFieldId="67" dataDxfId="484" totalsRowDxfId="483"/>
    <tableColumn id="65" uniqueName="65" name="'48'" totalsRowFunction="sum" queryTableFieldId="68" dataDxfId="482" totalsRowDxfId="481"/>
    <tableColumn id="66" uniqueName="66" name="'58'" totalsRowFunction="sum" queryTableFieldId="69" dataDxfId="480" totalsRowDxfId="479"/>
    <tableColumn id="67" uniqueName="67" name="'63'" totalsRowFunction="sum" queryTableFieldId="70" dataDxfId="478" totalsRowDxfId="477"/>
    <tableColumn id="68" uniqueName="68" name="'69'" totalsRowFunction="sum" queryTableFieldId="71" dataDxfId="476" totalsRowDxfId="475"/>
    <tableColumn id="69" uniqueName="69" name="'71'" totalsRowFunction="sum" queryTableFieldId="72" dataDxfId="474" totalsRowDxfId="473"/>
    <tableColumn id="70" uniqueName="70" name="'81'" totalsRowFunction="sum" queryTableFieldId="73" dataDxfId="472" totalsRowDxfId="471"/>
    <tableColumn id="71" uniqueName="71" name="'82'" totalsRowFunction="sum" queryTableFieldId="74" dataDxfId="470" totalsRowDxfId="469"/>
    <tableColumn id="72" uniqueName="72" name="'87'" totalsRowFunction="sum" queryTableFieldId="75" dataDxfId="468" totalsRowDxfId="467"/>
    <tableColumn id="73" uniqueName="73" name="'89'" totalsRowFunction="sum" queryTableFieldId="76" dataDxfId="466" totalsRowDxfId="465"/>
    <tableColumn id="76" uniqueName="76" name="'Autre Public'" totalsRowFunction="sum" queryTableFieldId="79" dataDxfId="464" totalsRowDxfId="463"/>
    <tableColumn id="4" uniqueName="4" name="Avis Prog" queryTableFieldId="95" dataDxfId="462" totalsRowDxfId="461"/>
  </tableColumns>
  <tableStyleInfo name="TableStyleMedium6" showFirstColumn="0" showLastColumn="0" showRowStripes="1" showColumnStripes="0"/>
</table>
</file>

<file path=xl/tables/table5.xml><?xml version="1.0" encoding="utf-8"?>
<table xmlns="http://schemas.openxmlformats.org/spreadsheetml/2006/main" id="7" name="Tableau_Lancer_la_requête_à_partir_de_Excel_Files1025678" displayName="Tableau_Lancer_la_requête_à_partir_de_Excel_Files1025678" ref="A6:AP8" tableType="queryTable" totalsRowCount="1" headerRowDxfId="452" dataDxfId="451" totalsRowDxfId="450">
  <autoFilter ref="A6:AP7"/>
  <sortState ref="A7:AQ7">
    <sortCondition ref="A6:A18"/>
  </sortState>
  <tableColumns count="42">
    <tableColumn id="1" uniqueName="1" name="ID_Synergie" totalsRowLabel="Total" queryTableFieldId="1" dataDxfId="449" totalsRowDxfId="448"/>
    <tableColumn id="2" uniqueName="2" name="Nom_MO" totalsRowFunction="count" queryTableFieldId="2" dataDxfId="447" totalsRowDxfId="446"/>
    <tableColumn id="3" uniqueName="3" name="Intitule_Operation" queryTableFieldId="3" dataDxfId="445" totalsRowDxfId="444"/>
    <tableColumn id="43" uniqueName="43" name="'Coût total éligible'" totalsRowFunction="sum" queryTableFieldId="46" dataDxfId="443" totalsRowDxfId="442"/>
    <tableColumn id="39" uniqueName="39" name="Aide _x000a_publique" totalsRowFunction="sum" queryTableFieldId="42" dataDxfId="441" totalsRowDxfId="440">
      <calculatedColumnFormula>Tableau_Lancer_la_requête_à_partir_de_Excel_Files1025678[[#This Row],[Aide Massif]]+Tableau_Lancer_la_requête_à_partir_de_Excel_Files1025678[[#This Row],[''Autre Public'']]</calculatedColumnFormula>
    </tableColumn>
    <tableColumn id="81" uniqueName="81" name="Tx Aide publique" queryTableFieldId="92" dataDxfId="439" totalsRowDxfId="438">
      <calculatedColumnFormula>Tableau_Lancer_la_requête_à_partir_de_Excel_Files1025678[[#This Row],[Aide 
publique]]/Tableau_Lancer_la_requête_à_partir_de_Excel_Files1025678[[#This Row],[''Coût total éligible'']]</calculatedColumnFormula>
    </tableColumn>
    <tableColumn id="40" uniqueName="40" name="Aide Massif" totalsRowFunction="sum" queryTableFieldId="43" dataDxfId="437" totalsRowDxfId="436">
      <calculatedColumnFormula>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calculatedColumnFormula>
    </tableColumn>
    <tableColumn id="82" uniqueName="82" name="Tx_x000a_Aide Massif" queryTableFieldId="93" dataDxfId="435" totalsRowDxfId="434">
      <calculatedColumnFormula>Tableau_Lancer_la_requête_à_partir_de_Excel_Files1025678[[#This Row],[Aide Massif]]/Tableau_Lancer_la_requête_à_partir_de_Excel_Files1025678[[#This Row],[''Coût total éligible'']]</calculatedColumnFormula>
    </tableColumn>
    <tableColumn id="75" uniqueName="75" name="'FEDER'" totalsRowFunction="sum" queryTableFieldId="78" dataDxfId="433" totalsRowDxfId="432"/>
    <tableColumn id="7" uniqueName="7" name="Total Etat" totalsRowFunction="sum" queryTableFieldId="99" dataDxfId="431" totalsRowDxfId="430">
      <calculatedColumnFormula>Tableau_Lancer_la_requête_à_partir_de_Excel_Files1025678[[#This Row],[''FNADT '']]+Tableau_Lancer_la_requête_à_partir_de_Excel_Files1025678[[#This Row],[''Agriculture'']]</calculatedColumnFormula>
    </tableColumn>
    <tableColumn id="11" uniqueName="11" name="'FNADT '" queryTableFieldId="104" dataDxfId="429" totalsRowDxfId="428"/>
    <tableColumn id="46" uniqueName="46" name="'Agriculture'" totalsRowFunction="sum" queryTableFieldId="49" dataDxfId="427" totalsRowDxfId="426"/>
    <tableColumn id="8" uniqueName="8" name="Total Régions" totalsRowFunction="sum" queryTableFieldId="100" dataDxfId="425" totalsRowDxfId="424">
      <calculatedColumnFormula>Tableau_Lancer_la_requête_à_partir_de_Excel_Files1025678[[#This Row],[''ALPC'']]+Tableau_Lancer_la_requête_à_partir_de_Excel_Files1025678[[#This Row],[''AURA'']]+Tableau_Lancer_la_requête_à_partir_de_Excel_Files1025678[[#This Row],[''BFC'']]+Tableau_Lancer_la_requête_à_partir_de_Excel_Files1025678[[#This Row],[''LRMP'']]</calculatedColumnFormula>
    </tableColumn>
    <tableColumn id="48" uniqueName="48" name="'ALPC'" totalsRowFunction="sum" queryTableFieldId="51" dataDxfId="423" totalsRowDxfId="422"/>
    <tableColumn id="49" uniqueName="49" name="'AURA'" totalsRowFunction="sum" queryTableFieldId="52" dataDxfId="421" totalsRowDxfId="420"/>
    <tableColumn id="78" uniqueName="78" name="'BFC'" totalsRowFunction="sum" queryTableFieldId="81" dataDxfId="419" totalsRowDxfId="418"/>
    <tableColumn id="79" uniqueName="79" name="'LRMP'" totalsRowFunction="sum" queryTableFieldId="82" dataDxfId="417" totalsRowDxfId="416"/>
    <tableColumn id="9" uniqueName="9" name="Total Dpts" totalsRowFunction="sum" queryTableFieldId="101" dataDxfId="415" totalsRowDxfId="414">
      <calculatedColumnFormula>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calculatedColumnFormula>
    </tableColumn>
    <tableColumn id="53" uniqueName="53" name="'03'" totalsRowFunction="sum" queryTableFieldId="56" dataDxfId="413" totalsRowDxfId="412"/>
    <tableColumn id="54" uniqueName="54" name="'07'" totalsRowFunction="sum" queryTableFieldId="57" dataDxfId="411" totalsRowDxfId="410"/>
    <tableColumn id="55" uniqueName="55" name="'11'" totalsRowFunction="sum" queryTableFieldId="58" dataDxfId="409" totalsRowDxfId="408"/>
    <tableColumn id="56" uniqueName="56" name="'12'" totalsRowFunction="sum" queryTableFieldId="59" dataDxfId="407" totalsRowDxfId="406"/>
    <tableColumn id="57" uniqueName="57" name="'15'" totalsRowFunction="sum" queryTableFieldId="60" dataDxfId="405" totalsRowDxfId="404"/>
    <tableColumn id="58" uniqueName="58" name="'19'" totalsRowFunction="sum" queryTableFieldId="61" dataDxfId="403" totalsRowDxfId="402"/>
    <tableColumn id="59" uniqueName="59" name="'21'" totalsRowFunction="sum" queryTableFieldId="62" dataDxfId="401" totalsRowDxfId="400"/>
    <tableColumn id="80" uniqueName="80" name="'23'" totalsRowFunction="sum" queryTableFieldId="85" dataDxfId="399" totalsRowDxfId="398"/>
    <tableColumn id="60" uniqueName="60" name="'30'" totalsRowFunction="sum" queryTableFieldId="63" dataDxfId="397" totalsRowDxfId="396"/>
    <tableColumn id="61" uniqueName="61" name="'34'" totalsRowFunction="sum" queryTableFieldId="64" dataDxfId="395" totalsRowDxfId="394"/>
    <tableColumn id="62" uniqueName="62" name="'42'" totalsRowFunction="sum" queryTableFieldId="65" dataDxfId="393" totalsRowDxfId="392"/>
    <tableColumn id="63" uniqueName="63" name="'43'" totalsRowFunction="sum" queryTableFieldId="66" dataDxfId="391" totalsRowDxfId="390"/>
    <tableColumn id="64" uniqueName="64" name="'46'" totalsRowFunction="sum" queryTableFieldId="67" dataDxfId="389" totalsRowDxfId="388"/>
    <tableColumn id="65" uniqueName="65" name="'48'" totalsRowFunction="sum" queryTableFieldId="68" dataDxfId="387" totalsRowDxfId="386"/>
    <tableColumn id="66" uniqueName="66" name="'58'" totalsRowFunction="sum" queryTableFieldId="69" dataDxfId="385" totalsRowDxfId="384"/>
    <tableColumn id="67" uniqueName="67" name="'63'" totalsRowFunction="sum" queryTableFieldId="70" dataDxfId="383" totalsRowDxfId="382"/>
    <tableColumn id="68" uniqueName="68" name="'69'" totalsRowFunction="sum" queryTableFieldId="71" dataDxfId="381" totalsRowDxfId="380"/>
    <tableColumn id="69" uniqueName="69" name="'71'" totalsRowFunction="sum" queryTableFieldId="72" dataDxfId="379" totalsRowDxfId="378"/>
    <tableColumn id="70" uniqueName="70" name="'81'" totalsRowFunction="sum" queryTableFieldId="73" dataDxfId="377" totalsRowDxfId="376"/>
    <tableColumn id="71" uniqueName="71" name="'82'" totalsRowFunction="sum" queryTableFieldId="74" dataDxfId="375" totalsRowDxfId="374"/>
    <tableColumn id="72" uniqueName="72" name="'87'" totalsRowFunction="sum" queryTableFieldId="75" dataDxfId="373" totalsRowDxfId="372"/>
    <tableColumn id="73" uniqueName="73" name="'89'" totalsRowFunction="sum" queryTableFieldId="76" dataDxfId="371" totalsRowDxfId="370"/>
    <tableColumn id="76" uniqueName="76" name="'Autre Public'" totalsRowFunction="sum" queryTableFieldId="79" dataDxfId="369" totalsRowDxfId="368"/>
    <tableColumn id="4" uniqueName="4" name="Avis Prog" queryTableFieldId="95" dataDxfId="367" totalsRowDxfId="366"/>
  </tableColumns>
  <tableStyleInfo name="TableStyleMedium6" showFirstColumn="0" showLastColumn="0" showRowStripes="1" showColumnStripes="0"/>
</table>
</file>

<file path=xl/tables/table6.xml><?xml version="1.0" encoding="utf-8"?>
<table xmlns="http://schemas.openxmlformats.org/spreadsheetml/2006/main" id="8" name="Tableau_Lancer_la_requête_à_partir_de_Excel_Files10256789" displayName="Tableau_Lancer_la_requête_à_partir_de_Excel_Files10256789" ref="A6:AP11" tableType="queryTable" totalsRowCount="1" headerRowDxfId="357" dataDxfId="356" totalsRowDxfId="355">
  <autoFilter ref="A6:AP10"/>
  <sortState ref="A7:AQ10">
    <sortCondition ref="A6:A18"/>
  </sortState>
  <tableColumns count="42">
    <tableColumn id="1" uniqueName="1" name="ID_Synergie" totalsRowLabel="Total" queryTableFieldId="1" dataDxfId="354" totalsRowDxfId="353"/>
    <tableColumn id="2" uniqueName="2" name="Nom_MO" totalsRowFunction="count" queryTableFieldId="2" dataDxfId="352" totalsRowDxfId="351"/>
    <tableColumn id="3" uniqueName="3" name="Intitule_Operation" queryTableFieldId="3" dataDxfId="350" totalsRowDxfId="349"/>
    <tableColumn id="43" uniqueName="43" name="'Coût total éligible'" totalsRowFunction="sum" queryTableFieldId="46" dataDxfId="348" totalsRowDxfId="347"/>
    <tableColumn id="39" uniqueName="39" name="Aide _x000a_publique" totalsRowFunction="sum" queryTableFieldId="42" dataDxfId="346" totalsRowDxfId="345">
      <calculatedColumnFormula>Tableau_Lancer_la_requête_à_partir_de_Excel_Files10256789[[#This Row],[Aide Massif]]+Tableau_Lancer_la_requête_à_partir_de_Excel_Files10256789[[#This Row],[''Autre Public'']]</calculatedColumnFormula>
    </tableColumn>
    <tableColumn id="81" uniqueName="81" name="Tx Aide publique" queryTableFieldId="92" dataDxfId="344" totalsRowDxfId="343">
      <calculatedColumnFormula>Tableau_Lancer_la_requête_à_partir_de_Excel_Files10256789[[#This Row],[Aide 
publique]]/Tableau_Lancer_la_requête_à_partir_de_Excel_Files10256789[[#This Row],[''Coût total éligible'']]</calculatedColumnFormula>
    </tableColumn>
    <tableColumn id="40" uniqueName="40" name="Aide Massif" totalsRowFunction="sum" queryTableFieldId="43" dataDxfId="342" totalsRowDxfId="341">
      <calculatedColumnFormula>Tableau_Lancer_la_requête_à_partir_de_Excel_Files10256789[[#This Row],[''FEDER'']]+Tableau_Lancer_la_requête_à_partir_de_Excel_Files10256789[[#This Row],[Total Etat]]+Tableau_Lancer_la_requête_à_partir_de_Excel_Files10256789[[#This Row],[Total Régions]]+Tableau_Lancer_la_requête_à_partir_de_Excel_Files10256789[[#This Row],[Total Dpts]]</calculatedColumnFormula>
    </tableColumn>
    <tableColumn id="82" uniqueName="82" name="Tx_x000a_Aide Massif" queryTableFieldId="93" dataDxfId="340" totalsRowDxfId="339">
      <calculatedColumnFormula>Tableau_Lancer_la_requête_à_partir_de_Excel_Files10256789[[#This Row],[Aide Massif]]/Tableau_Lancer_la_requête_à_partir_de_Excel_Files10256789[[#This Row],[''Coût total éligible'']]</calculatedColumnFormula>
    </tableColumn>
    <tableColumn id="75" uniqueName="75" name="'FEDER'" totalsRowFunction="sum" queryTableFieldId="78" dataDxfId="338" totalsRowDxfId="337"/>
    <tableColumn id="7" uniqueName="7" name="Total Etat" totalsRowFunction="sum" queryTableFieldId="99" dataDxfId="336" totalsRowDxfId="335">
      <calculatedColumnFormula>Tableau_Lancer_la_requête_à_partir_de_Excel_Files10256789[[#This Row],[''FNADT '']]+Tableau_Lancer_la_requête_à_partir_de_Excel_Files10256789[[#This Row],[''Agriculture'']]</calculatedColumnFormula>
    </tableColumn>
    <tableColumn id="11" uniqueName="11" name="'FNADT '" queryTableFieldId="104" dataDxfId="334" totalsRowDxfId="333"/>
    <tableColumn id="46" uniqueName="46" name="'Agriculture'" totalsRowFunction="sum" queryTableFieldId="49" dataDxfId="332" totalsRowDxfId="331"/>
    <tableColumn id="8" uniqueName="8" name="Total Régions" totalsRowFunction="sum" queryTableFieldId="100" dataDxfId="330" totalsRowDxfId="329">
      <calculatedColumnFormula>Tableau_Lancer_la_requête_à_partir_de_Excel_Files10256789[[#This Row],[''ALPC'']]+Tableau_Lancer_la_requête_à_partir_de_Excel_Files10256789[[#This Row],[''AURA'']]+Tableau_Lancer_la_requête_à_partir_de_Excel_Files10256789[[#This Row],[''BFC'']]+Tableau_Lancer_la_requête_à_partir_de_Excel_Files10256789[[#This Row],[''LRMP'']]</calculatedColumnFormula>
    </tableColumn>
    <tableColumn id="48" uniqueName="48" name="'ALPC'" totalsRowFunction="sum" queryTableFieldId="51" dataDxfId="328" totalsRowDxfId="327"/>
    <tableColumn id="49" uniqueName="49" name="'AURA'" totalsRowFunction="sum" queryTableFieldId="52" dataDxfId="326" totalsRowDxfId="325"/>
    <tableColumn id="78" uniqueName="78" name="'BFC'" totalsRowFunction="sum" queryTableFieldId="81" dataDxfId="324" totalsRowDxfId="323"/>
    <tableColumn id="79" uniqueName="79" name="'LRMP'" totalsRowFunction="sum" queryTableFieldId="82" dataDxfId="322" totalsRowDxfId="321"/>
    <tableColumn id="9" uniqueName="9" name="Total Dpts" totalsRowFunction="sum" queryTableFieldId="101" dataDxfId="320" totalsRowDxfId="319">
      <calculatedColumnFormula>Tableau_Lancer_la_requête_à_partir_de_Excel_Files10256789[[#This Row],[''03'']]+Tableau_Lancer_la_requête_à_partir_de_Excel_Files10256789[[#This Row],[''07'']]+Tableau_Lancer_la_requête_à_partir_de_Excel_Files10256789[[#This Row],[''11'']]+Tableau_Lancer_la_requête_à_partir_de_Excel_Files10256789[[#This Row],[''12'']]+Tableau_Lancer_la_requête_à_partir_de_Excel_Files10256789[[#This Row],[''15'']]+Tableau_Lancer_la_requête_à_partir_de_Excel_Files10256789[[#This Row],[''19'']]+Tableau_Lancer_la_requête_à_partir_de_Excel_Files10256789[[#This Row],[''21'']]+Tableau_Lancer_la_requête_à_partir_de_Excel_Files10256789[[#This Row],[''23'']]+Tableau_Lancer_la_requête_à_partir_de_Excel_Files10256789[[#This Row],[''30'']]+Tableau_Lancer_la_requête_à_partir_de_Excel_Files10256789[[#This Row],[''34'']]+Tableau_Lancer_la_requête_à_partir_de_Excel_Files10256789[[#This Row],[''42'']]+Tableau_Lancer_la_requête_à_partir_de_Excel_Files10256789[[#This Row],[''43'']]+Tableau_Lancer_la_requête_à_partir_de_Excel_Files10256789[[#This Row],[''46'']]+Tableau_Lancer_la_requête_à_partir_de_Excel_Files10256789[[#This Row],[''48'']]+Tableau_Lancer_la_requête_à_partir_de_Excel_Files10256789[[#This Row],[''58'']]+Tableau_Lancer_la_requête_à_partir_de_Excel_Files10256789[[#This Row],[''63'']]+Tableau_Lancer_la_requête_à_partir_de_Excel_Files10256789[[#This Row],[''69'']]+Tableau_Lancer_la_requête_à_partir_de_Excel_Files10256789[[#This Row],[''71'']]+Tableau_Lancer_la_requête_à_partir_de_Excel_Files10256789[[#This Row],[''81'']]+Tableau_Lancer_la_requête_à_partir_de_Excel_Files10256789[[#This Row],[''82'']]+Tableau_Lancer_la_requête_à_partir_de_Excel_Files10256789[[#This Row],[''87'']]+Tableau_Lancer_la_requête_à_partir_de_Excel_Files10256789[[#This Row],[''89'']]</calculatedColumnFormula>
    </tableColumn>
    <tableColumn id="53" uniqueName="53" name="'03'" totalsRowFunction="sum" queryTableFieldId="56" dataDxfId="318" totalsRowDxfId="317"/>
    <tableColumn id="54" uniqueName="54" name="'07'" totalsRowFunction="sum" queryTableFieldId="57" dataDxfId="316" totalsRowDxfId="315"/>
    <tableColumn id="55" uniqueName="55" name="'11'" totalsRowFunction="sum" queryTableFieldId="58" dataDxfId="314" totalsRowDxfId="313"/>
    <tableColumn id="56" uniqueName="56" name="'12'" totalsRowFunction="sum" queryTableFieldId="59" dataDxfId="312" totalsRowDxfId="311"/>
    <tableColumn id="57" uniqueName="57" name="'15'" totalsRowFunction="sum" queryTableFieldId="60" dataDxfId="310" totalsRowDxfId="309"/>
    <tableColumn id="58" uniqueName="58" name="'19'" totalsRowFunction="sum" queryTableFieldId="61" dataDxfId="308" totalsRowDxfId="307"/>
    <tableColumn id="59" uniqueName="59" name="'21'" totalsRowFunction="sum" queryTableFieldId="62" dataDxfId="306" totalsRowDxfId="305"/>
    <tableColumn id="80" uniqueName="80" name="'23'" totalsRowFunction="sum" queryTableFieldId="85" dataDxfId="304" totalsRowDxfId="303"/>
    <tableColumn id="60" uniqueName="60" name="'30'" totalsRowFunction="sum" queryTableFieldId="63" dataDxfId="302" totalsRowDxfId="301"/>
    <tableColumn id="61" uniqueName="61" name="'34'" totalsRowFunction="sum" queryTableFieldId="64" dataDxfId="300" totalsRowDxfId="299"/>
    <tableColumn id="62" uniqueName="62" name="'42'" totalsRowFunction="sum" queryTableFieldId="65" dataDxfId="298" totalsRowDxfId="297"/>
    <tableColumn id="63" uniqueName="63" name="'43'" totalsRowFunction="sum" queryTableFieldId="66" dataDxfId="296" totalsRowDxfId="295"/>
    <tableColumn id="64" uniqueName="64" name="'46'" totalsRowFunction="sum" queryTableFieldId="67" dataDxfId="294" totalsRowDxfId="293"/>
    <tableColumn id="65" uniqueName="65" name="'48'" totalsRowFunction="sum" queryTableFieldId="68" dataDxfId="292" totalsRowDxfId="291"/>
    <tableColumn id="66" uniqueName="66" name="'58'" totalsRowFunction="sum" queryTableFieldId="69" dataDxfId="290" totalsRowDxfId="289"/>
    <tableColumn id="67" uniqueName="67" name="'63'" totalsRowFunction="sum" queryTableFieldId="70" dataDxfId="288" totalsRowDxfId="287"/>
    <tableColumn id="68" uniqueName="68" name="'69'" totalsRowFunction="sum" queryTableFieldId="71" dataDxfId="286" totalsRowDxfId="285"/>
    <tableColumn id="69" uniqueName="69" name="'71'" totalsRowFunction="sum" queryTableFieldId="72" dataDxfId="284" totalsRowDxfId="283"/>
    <tableColumn id="70" uniqueName="70" name="'81'" totalsRowFunction="sum" queryTableFieldId="73" dataDxfId="282" totalsRowDxfId="281"/>
    <tableColumn id="71" uniqueName="71" name="'82'" totalsRowFunction="sum" queryTableFieldId="74" dataDxfId="280" totalsRowDxfId="279"/>
    <tableColumn id="72" uniqueName="72" name="'87'" totalsRowFunction="sum" queryTableFieldId="75" dataDxfId="278" totalsRowDxfId="277"/>
    <tableColumn id="73" uniqueName="73" name="'89'" totalsRowFunction="sum" queryTableFieldId="76" dataDxfId="276" totalsRowDxfId="275"/>
    <tableColumn id="76" uniqueName="76" name="'Autre Public'" totalsRowFunction="sum" queryTableFieldId="79" dataDxfId="274" totalsRowDxfId="273"/>
    <tableColumn id="4" uniqueName="4" name="Avis Prog" queryTableFieldId="95" dataDxfId="272" totalsRowDxfId="271"/>
  </tableColumns>
  <tableStyleInfo name="TableStyleMedium6" showFirstColumn="0" showLastColumn="0" showRowStripes="1" showColumnStripes="0"/>
</table>
</file>

<file path=xl/tables/table7.xml><?xml version="1.0" encoding="utf-8"?>
<table xmlns="http://schemas.openxmlformats.org/spreadsheetml/2006/main" id="9" name="Tableau_Lancer_la_requête_à_partir_de_Excel_Files1025678910" displayName="Tableau_Lancer_la_requête_à_partir_de_Excel_Files1025678910" ref="A6:AP10" tableType="queryTable" totalsRowCount="1" headerRowDxfId="258" dataDxfId="257" totalsRowDxfId="256">
  <autoFilter ref="A6:AP9"/>
  <sortState ref="A7:AQ9">
    <sortCondition ref="A6:A18"/>
  </sortState>
  <tableColumns count="42">
    <tableColumn id="1" uniqueName="1" name="ID_Synergie" totalsRowLabel="Total" queryTableFieldId="1" dataDxfId="255" totalsRowDxfId="254"/>
    <tableColumn id="2" uniqueName="2" name="Nom_MO" totalsRowFunction="count" queryTableFieldId="2" dataDxfId="253" totalsRowDxfId="252"/>
    <tableColumn id="3" uniqueName="3" name="Intitule_Operation" queryTableFieldId="3" dataDxfId="251" totalsRowDxfId="250"/>
    <tableColumn id="43" uniqueName="43" name="'Coût total éligible'" totalsRowFunction="sum" queryTableFieldId="46" dataDxfId="249" totalsRowDxfId="248"/>
    <tableColumn id="39" uniqueName="39" name="Aide _x000a_publique" totalsRowFunction="sum" queryTableFieldId="42" dataDxfId="247" totalsRowDxfId="246">
      <calculatedColumnFormula>Tableau_Lancer_la_requête_à_partir_de_Excel_Files1025678910[[#This Row],[Aide Massif]]+Tableau_Lancer_la_requête_à_partir_de_Excel_Files1025678910[[#This Row],[''Autre Public'']]</calculatedColumnFormula>
    </tableColumn>
    <tableColumn id="81" uniqueName="81" name="Tx Aide publique" queryTableFieldId="92" dataDxfId="245" totalsRowDxfId="244">
      <calculatedColumnFormula>Tableau_Lancer_la_requête_à_partir_de_Excel_Files1025678910[[#This Row],[Aide 
publique]]/Tableau_Lancer_la_requête_à_partir_de_Excel_Files1025678910[[#This Row],[''Coût total éligible'']]</calculatedColumnFormula>
    </tableColumn>
    <tableColumn id="40" uniqueName="40" name="Aide Massif" totalsRowFunction="sum" queryTableFieldId="43" dataDxfId="243" totalsRowDxfId="242">
      <calculatedColumnFormula>Tableau_Lancer_la_requête_à_partir_de_Excel_Files1025678910[[#This Row],[''FEDER'']]+Tableau_Lancer_la_requête_à_partir_de_Excel_Files1025678910[[#This Row],[Total Etat]]+Tableau_Lancer_la_requête_à_partir_de_Excel_Files1025678910[[#This Row],[Total Régions]]+Tableau_Lancer_la_requête_à_partir_de_Excel_Files1025678910[[#This Row],[Total Dpts]]</calculatedColumnFormula>
    </tableColumn>
    <tableColumn id="82" uniqueName="82" name="Tx_x000a_Aide Massif" queryTableFieldId="93" dataDxfId="241" totalsRowDxfId="240">
      <calculatedColumnFormula>Tableau_Lancer_la_requête_à_partir_de_Excel_Files1025678910[[#This Row],[Aide Massif]]/Tableau_Lancer_la_requête_à_partir_de_Excel_Files1025678910[[#This Row],[''Coût total éligible'']]</calculatedColumnFormula>
    </tableColumn>
    <tableColumn id="75" uniqueName="75" name="'FEDER'" totalsRowFunction="sum" queryTableFieldId="78" dataDxfId="239" totalsRowDxfId="238"/>
    <tableColumn id="7" uniqueName="7" name="Total Etat" totalsRowFunction="sum" queryTableFieldId="99" dataDxfId="237" totalsRowDxfId="236">
      <calculatedColumnFormula>Tableau_Lancer_la_requête_à_partir_de_Excel_Files1025678910[[#This Row],[''FNADT '']]+Tableau_Lancer_la_requête_à_partir_de_Excel_Files1025678910[[#This Row],[''Agriculture'']]</calculatedColumnFormula>
    </tableColumn>
    <tableColumn id="11" uniqueName="11" name="'FNADT '" queryTableFieldId="104" dataDxfId="235" totalsRowDxfId="234"/>
    <tableColumn id="46" uniqueName="46" name="'Agriculture'" totalsRowFunction="sum" queryTableFieldId="49" dataDxfId="233" totalsRowDxfId="232"/>
    <tableColumn id="8" uniqueName="8" name="Total Régions" totalsRowFunction="sum" queryTableFieldId="100" dataDxfId="231" totalsRowDxfId="230">
      <calculatedColumnFormula>Tableau_Lancer_la_requête_à_partir_de_Excel_Files1025678910[[#This Row],[''ALPC'']]+Tableau_Lancer_la_requête_à_partir_de_Excel_Files1025678910[[#This Row],[''AURA'']]+Tableau_Lancer_la_requête_à_partir_de_Excel_Files1025678910[[#This Row],[''BFC'']]+Tableau_Lancer_la_requête_à_partir_de_Excel_Files1025678910[[#This Row],[''LRMP'']]</calculatedColumnFormula>
    </tableColumn>
    <tableColumn id="48" uniqueName="48" name="'ALPC'" totalsRowFunction="sum" queryTableFieldId="51" dataDxfId="229" totalsRowDxfId="228"/>
    <tableColumn id="49" uniqueName="49" name="'AURA'" totalsRowFunction="sum" queryTableFieldId="52" dataDxfId="227" totalsRowDxfId="226"/>
    <tableColumn id="78" uniqueName="78" name="'BFC'" totalsRowFunction="sum" queryTableFieldId="81" dataDxfId="225" totalsRowDxfId="224"/>
    <tableColumn id="79" uniqueName="79" name="'LRMP'" totalsRowFunction="sum" queryTableFieldId="82" dataDxfId="223" totalsRowDxfId="222"/>
    <tableColumn id="9" uniqueName="9" name="Total Dpts" totalsRowFunction="sum" queryTableFieldId="101" dataDxfId="221" totalsRowDxfId="220">
      <calculatedColumnFormula>Tableau_Lancer_la_requête_à_partir_de_Excel_Files1025678910[[#This Row],[''03'']]+Tableau_Lancer_la_requête_à_partir_de_Excel_Files1025678910[[#This Row],[''07'']]+Tableau_Lancer_la_requête_à_partir_de_Excel_Files1025678910[[#This Row],[''11'']]+Tableau_Lancer_la_requête_à_partir_de_Excel_Files1025678910[[#This Row],[''12'']]+Tableau_Lancer_la_requête_à_partir_de_Excel_Files1025678910[[#This Row],[''15'']]+Tableau_Lancer_la_requête_à_partir_de_Excel_Files1025678910[[#This Row],[''19'']]+Tableau_Lancer_la_requête_à_partir_de_Excel_Files1025678910[[#This Row],[''21'']]+Tableau_Lancer_la_requête_à_partir_de_Excel_Files1025678910[[#This Row],[''23'']]+Tableau_Lancer_la_requête_à_partir_de_Excel_Files1025678910[[#This Row],[''30'']]+Tableau_Lancer_la_requête_à_partir_de_Excel_Files1025678910[[#This Row],[''34'']]+Tableau_Lancer_la_requête_à_partir_de_Excel_Files1025678910[[#This Row],[''42'']]+Tableau_Lancer_la_requête_à_partir_de_Excel_Files1025678910[[#This Row],[''43'']]+Tableau_Lancer_la_requête_à_partir_de_Excel_Files1025678910[[#This Row],[''46'']]+Tableau_Lancer_la_requête_à_partir_de_Excel_Files1025678910[[#This Row],[''48'']]+Tableau_Lancer_la_requête_à_partir_de_Excel_Files1025678910[[#This Row],[''58'']]+Tableau_Lancer_la_requête_à_partir_de_Excel_Files1025678910[[#This Row],[''63'']]+Tableau_Lancer_la_requête_à_partir_de_Excel_Files1025678910[[#This Row],[''69'']]+Tableau_Lancer_la_requête_à_partir_de_Excel_Files1025678910[[#This Row],[''71'']]+Tableau_Lancer_la_requête_à_partir_de_Excel_Files1025678910[[#This Row],[''81'']]+Tableau_Lancer_la_requête_à_partir_de_Excel_Files1025678910[[#This Row],[''82'']]+Tableau_Lancer_la_requête_à_partir_de_Excel_Files1025678910[[#This Row],[''87'']]+Tableau_Lancer_la_requête_à_partir_de_Excel_Files1025678910[[#This Row],[''89'']]</calculatedColumnFormula>
    </tableColumn>
    <tableColumn id="53" uniqueName="53" name="'03'" totalsRowFunction="sum" queryTableFieldId="56" dataDxfId="219" totalsRowDxfId="218"/>
    <tableColumn id="54" uniqueName="54" name="'07'" totalsRowFunction="sum" queryTableFieldId="57" dataDxfId="217" totalsRowDxfId="216"/>
    <tableColumn id="55" uniqueName="55" name="'11'" totalsRowFunction="sum" queryTableFieldId="58" dataDxfId="215" totalsRowDxfId="214"/>
    <tableColumn id="56" uniqueName="56" name="'12'" totalsRowFunction="sum" queryTableFieldId="59" dataDxfId="213" totalsRowDxfId="212"/>
    <tableColumn id="57" uniqueName="57" name="'15'" totalsRowFunction="sum" queryTableFieldId="60" dataDxfId="211" totalsRowDxfId="210"/>
    <tableColumn id="58" uniqueName="58" name="'19'" totalsRowFunction="sum" queryTableFieldId="61" dataDxfId="209" totalsRowDxfId="208"/>
    <tableColumn id="59" uniqueName="59" name="'21'" totalsRowFunction="sum" queryTableFieldId="62" dataDxfId="207" totalsRowDxfId="206"/>
    <tableColumn id="80" uniqueName="80" name="'23'" totalsRowFunction="sum" queryTableFieldId="85" dataDxfId="205" totalsRowDxfId="204"/>
    <tableColumn id="60" uniqueName="60" name="'30'" totalsRowFunction="sum" queryTableFieldId="63" dataDxfId="203" totalsRowDxfId="202"/>
    <tableColumn id="61" uniqueName="61" name="'34'" totalsRowFunction="sum" queryTableFieldId="64" dataDxfId="201" totalsRowDxfId="200"/>
    <tableColumn id="62" uniqueName="62" name="'42'" totalsRowFunction="sum" queryTableFieldId="65" dataDxfId="199" totalsRowDxfId="198"/>
    <tableColumn id="63" uniqueName="63" name="'43'" totalsRowFunction="sum" queryTableFieldId="66" dataDxfId="197" totalsRowDxfId="196"/>
    <tableColumn id="64" uniqueName="64" name="'46'" totalsRowFunction="sum" queryTableFieldId="67" dataDxfId="195" totalsRowDxfId="194"/>
    <tableColumn id="65" uniqueName="65" name="'48'" totalsRowFunction="sum" queryTableFieldId="68" dataDxfId="193" totalsRowDxfId="192"/>
    <tableColumn id="66" uniqueName="66" name="'58'" totalsRowFunction="sum" queryTableFieldId="69" dataDxfId="191" totalsRowDxfId="190"/>
    <tableColumn id="67" uniqueName="67" name="'63'" totalsRowFunction="sum" queryTableFieldId="70" dataDxfId="189" totalsRowDxfId="188"/>
    <tableColumn id="68" uniqueName="68" name="'69'" totalsRowFunction="sum" queryTableFieldId="71" dataDxfId="187" totalsRowDxfId="186"/>
    <tableColumn id="69" uniqueName="69" name="'71'" totalsRowFunction="sum" queryTableFieldId="72" dataDxfId="185" totalsRowDxfId="184"/>
    <tableColumn id="70" uniqueName="70" name="'81'" totalsRowFunction="sum" queryTableFieldId="73" dataDxfId="183" totalsRowDxfId="182"/>
    <tableColumn id="71" uniqueName="71" name="'82'" totalsRowFunction="sum" queryTableFieldId="74" dataDxfId="181" totalsRowDxfId="180"/>
    <tableColumn id="72" uniqueName="72" name="'87'" totalsRowFunction="sum" queryTableFieldId="75" dataDxfId="179" totalsRowDxfId="178"/>
    <tableColumn id="73" uniqueName="73" name="'89'" totalsRowFunction="sum" queryTableFieldId="76" dataDxfId="177" totalsRowDxfId="176"/>
    <tableColumn id="76" uniqueName="76" name="'Autre Public'" totalsRowFunction="sum" queryTableFieldId="79" dataDxfId="175" totalsRowDxfId="174"/>
    <tableColumn id="4" uniqueName="4" name="Avis Prog" queryTableFieldId="95" dataDxfId="173" totalsRowDxfId="172"/>
  </tableColumns>
  <tableStyleInfo name="TableStyleMedium6" showFirstColumn="0" showLastColumn="0" showRowStripes="1" showColumnStripes="0"/>
</table>
</file>

<file path=xl/tables/table8.xml><?xml version="1.0" encoding="utf-8"?>
<table xmlns="http://schemas.openxmlformats.org/spreadsheetml/2006/main" id="2" name="Tableau_Lancer_la_requête_à_partir_de_Excel_Files3" displayName="Tableau_Lancer_la_requête_à_partir_de_Excel_Files3" ref="A6:AT55" tableType="queryTable" totalsRowCount="1" headerRowDxfId="165" dataDxfId="164" totalsRowDxfId="163">
  <autoFilter ref="A6:AT54"/>
  <sortState ref="A7:AT54">
    <sortCondition ref="C6:C18"/>
  </sortState>
  <tableColumns count="46">
    <tableColumn id="1" uniqueName="1" name="Programme" totalsRowLabel="Total" queryTableFieldId="1" dataDxfId="162" totalsRowDxfId="161"/>
    <tableColumn id="50" uniqueName="50" name="ID_dossier GIP" queryTableFieldId="84" dataDxfId="160" totalsRowDxfId="159"/>
    <tableColumn id="43" uniqueName="43" name="ID_Synergie" totalsRowFunction="count" queryTableFieldId="48" dataDxfId="158" totalsRowDxfId="157"/>
    <tableColumn id="2" uniqueName="2" name="Nom_MO" queryTableFieldId="2" dataDxfId="156" totalsRowDxfId="155"/>
    <tableColumn id="3" uniqueName="3" name="Intitule_Operation" queryTableFieldId="3" dataDxfId="154" totalsRowDxfId="153"/>
    <tableColumn id="4" uniqueName="4" name="Coût total déposé" totalsRowFunction="sum" queryTableFieldId="4" dataDxfId="152" totalsRowDxfId="151"/>
    <tableColumn id="12" uniqueName="12" name="Coût total Eligible FEDER" queryTableFieldId="128" dataDxfId="150" totalsRowDxfId="149"/>
    <tableColumn id="13" uniqueName="13" name="Coût total" totalsRowFunction="sum" queryTableFieldId="131" dataDxfId="148" totalsRowDxfId="147">
      <calculatedColumnFormula>IF(Tableau_Lancer_la_requête_à_partir_de_Excel_Files3[[#This Row],[Coût total Eligible FEDER]]="",Tableau_Lancer_la_requête_à_partir_de_Excel_Files3[[#This Row],[Coût total déposé]],Tableau_Lancer_la_requête_à_partir_de_Excel_Files3[[#This Row],[Coût total Eligible FEDER]])</calculatedColumnFormula>
    </tableColumn>
    <tableColumn id="6" uniqueName="6" name="Aide Publique Obtenue" totalsRowFunction="sum" queryTableFieldId="92" dataDxfId="146" totalsRowDxfId="145">
      <calculatedColumnFormula>Tableau_Lancer_la_requête_à_partir_de_Excel_Files3[[#This Row],[Aide Massif Obtenu]]+Tableau_Lancer_la_requête_à_partir_de_Excel_Files3[[#This Row],[''Autre Public'']]</calculatedColumnFormula>
    </tableColumn>
    <tableColumn id="44" uniqueName="44" name="Taux Aide Publique" queryTableFieldId="44" dataDxfId="144" totalsRowDxfId="143">
      <calculatedColumnFormula>Tableau_Lancer_la_requête_à_partir_de_Excel_Files3[[#This Row],[Aide Publique Obtenue]]/Tableau_Lancer_la_requête_à_partir_de_Excel_Files3[[#This Row],[Coût total]]</calculatedColumnFormula>
    </tableColumn>
    <tableColumn id="40" uniqueName="40" name="Aide Massif Obtenu" totalsRowFunction="sum" queryTableFieldId="40" dataDxfId="142" totalsRowDxfId="141">
      <calculatedColumnFormula>Tableau_Lancer_la_requête_à_partir_de_Excel_Files3[[#This Row],[Etat]]+Tableau_Lancer_la_requête_à_partir_de_Excel_Files3[[#This Row],[Régions]]+Tableau_Lancer_la_requête_à_partir_de_Excel_Files3[[#This Row],[Départements]]+Tableau_Lancer_la_requête_à_partir_de_Excel_Files3[[#This Row],[''FEDER'']]</calculatedColumnFormula>
    </tableColumn>
    <tableColumn id="42" uniqueName="42" name="Taux Aide Massif" queryTableFieldId="42" dataDxfId="140" totalsRowDxfId="139">
      <calculatedColumnFormula>Tableau_Lancer_la_requête_à_partir_de_Excel_Files3[[#This Row],[Aide Massif Obtenu]]/Tableau_Lancer_la_requête_à_partir_de_Excel_Files3[[#This Row],[Coût total]]</calculatedColumnFormula>
    </tableColumn>
    <tableColumn id="52" uniqueName="52" name="Etat" totalsRowFunction="sum" queryTableFieldId="89" dataDxfId="138" totalsRowDxfId="137">
      <calculatedColumnFormula>Tableau_Lancer_la_requête_à_partir_de_Excel_Files3[[#This Row],[''FNADT'']]+Tableau_Lancer_la_requête_à_partir_de_Excel_Files3[[#This Row],[''Agriculture'']]</calculatedColumnFormula>
    </tableColumn>
    <tableColumn id="15" uniqueName="15" name="'FNADT'" queryTableFieldId="133" dataDxfId="136" totalsRowDxfId="135"/>
    <tableColumn id="16" uniqueName="16" name="'Agriculture'" queryTableFieldId="134" dataDxfId="134" totalsRowDxfId="133"/>
    <tableColumn id="54" uniqueName="54" name="Régions" totalsRowFunction="sum" queryTableFieldId="90" dataDxfId="132" totalsRowDxfId="131">
      <calculatedColumnFormula>Tableau_Lancer_la_requête_à_partir_de_Excel_Files3[[#This Row],[''ALPC'']]+Tableau_Lancer_la_requête_à_partir_de_Excel_Files3[[#This Row],[''AURA'']]+Tableau_Lancer_la_requête_à_partir_de_Excel_Files3[[#This Row],[''BFC'']]+Tableau_Lancer_la_requête_à_partir_de_Excel_Files3[[#This Row],[''LRMP'']]</calculatedColumnFormula>
    </tableColumn>
    <tableColumn id="20" uniqueName="20" name="'ALPC'" queryTableFieldId="138" dataDxfId="130" totalsRowDxfId="129"/>
    <tableColumn id="18" uniqueName="18" name="'AURA'" queryTableFieldId="136" dataDxfId="128" totalsRowDxfId="127"/>
    <tableColumn id="19" uniqueName="19" name="'BFC'" queryTableFieldId="137" dataDxfId="126" totalsRowDxfId="125"/>
    <tableColumn id="21" uniqueName="21" name="'LRMP'" queryTableFieldId="139" dataDxfId="124" totalsRowDxfId="123"/>
    <tableColumn id="55" uniqueName="55" name="Départements" totalsRowFunction="sum" queryTableFieldId="91" dataDxfId="122" totalsRowDxfId="121">
      <calculatedColumnFormula>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calculatedColumnFormula>
    </tableColumn>
    <tableColumn id="23" uniqueName="23" name="'03'" queryTableFieldId="141" dataDxfId="120" totalsRowDxfId="119"/>
    <tableColumn id="24" uniqueName="24" name="'07'" queryTableFieldId="142" dataDxfId="118" totalsRowDxfId="117"/>
    <tableColumn id="25" uniqueName="25" name="'11'" queryTableFieldId="143" dataDxfId="116" totalsRowDxfId="115"/>
    <tableColumn id="26" uniqueName="26" name="'12'" queryTableFieldId="144" dataDxfId="114" totalsRowDxfId="113"/>
    <tableColumn id="27" uniqueName="27" name="'15'" queryTableFieldId="145" dataDxfId="112" totalsRowDxfId="111"/>
    <tableColumn id="28" uniqueName="28" name="'19'" queryTableFieldId="146" dataDxfId="110" totalsRowDxfId="109"/>
    <tableColumn id="29" uniqueName="29" name="'21'" queryTableFieldId="147" dataDxfId="108" totalsRowDxfId="107"/>
    <tableColumn id="30" uniqueName="30" name="'23'" queryTableFieldId="148" dataDxfId="106" totalsRowDxfId="105"/>
    <tableColumn id="31" uniqueName="31" name="'30'" queryTableFieldId="149" dataDxfId="104" totalsRowDxfId="103"/>
    <tableColumn id="32" uniqueName="32" name="'34'" queryTableFieldId="150" dataDxfId="102" totalsRowDxfId="101"/>
    <tableColumn id="33" uniqueName="33" name="'42'" queryTableFieldId="151" dataDxfId="100" totalsRowDxfId="99"/>
    <tableColumn id="34" uniqueName="34" name="'43'" queryTableFieldId="152" dataDxfId="98" totalsRowDxfId="97"/>
    <tableColumn id="35" uniqueName="35" name="'46'" queryTableFieldId="153" dataDxfId="96" totalsRowDxfId="95"/>
    <tableColumn id="36" uniqueName="36" name="'48'" queryTableFieldId="154" dataDxfId="94" totalsRowDxfId="93"/>
    <tableColumn id="37" uniqueName="37" name="'58'" queryTableFieldId="155" dataDxfId="92" totalsRowDxfId="91"/>
    <tableColumn id="38" uniqueName="38" name="'63'" queryTableFieldId="156" dataDxfId="90" totalsRowDxfId="89"/>
    <tableColumn id="39" uniqueName="39" name="'69'" queryTableFieldId="157" dataDxfId="88" totalsRowDxfId="87"/>
    <tableColumn id="41" uniqueName="41" name="'71'" queryTableFieldId="158" dataDxfId="86" totalsRowDxfId="85"/>
    <tableColumn id="45" uniqueName="45" name="'81'" queryTableFieldId="159" dataDxfId="84" totalsRowDxfId="83"/>
    <tableColumn id="47" uniqueName="47" name="'82'" queryTableFieldId="160" dataDxfId="82" totalsRowDxfId="81"/>
    <tableColumn id="48" uniqueName="48" name="'87'" queryTableFieldId="161" dataDxfId="80" totalsRowDxfId="79"/>
    <tableColumn id="51" uniqueName="51" name="'89'" queryTableFieldId="162" dataDxfId="78" totalsRowDxfId="77"/>
    <tableColumn id="53" uniqueName="53" name="'FEDER'" totalsRowFunction="sum" queryTableFieldId="163" dataDxfId="76" totalsRowDxfId="75"/>
    <tableColumn id="56" uniqueName="56" name="'Autre Public'" queryTableFieldId="164" dataDxfId="74" totalsRowDxfId="73"/>
    <tableColumn id="5" uniqueName="5" name="Avis Prog" queryTableFieldId="169" dataDxfId="72" totalsRowDxfId="71"/>
  </tableColumns>
  <tableStyleInfo name="TableStyleMedium2" showFirstColumn="0" showLastColumn="0" showRowStripes="1" showColumnStripes="0"/>
</table>
</file>

<file path=xl/tables/table9.xml><?xml version="1.0" encoding="utf-8"?>
<table xmlns="http://schemas.openxmlformats.org/spreadsheetml/2006/main" id="3" name="Tableau3" displayName="Tableau3" ref="AX6:CE24" totalsRowCount="1" headerRowDxfId="70" dataDxfId="69" totalsRowDxfId="68">
  <autoFilter ref="AX6:CE23"/>
  <tableColumns count="34">
    <tableColumn id="1" name="NumSym" totalsRowLabel="Total" dataDxfId="67" totalsRowDxfId="66"/>
    <tableColumn id="2" name="Etat" totalsRowFunction="sum" dataDxfId="65" totalsRowDxfId="64">
      <calculatedColumnFormula>SUM(AZ7:BA7)</calculatedColumnFormula>
    </tableColumn>
    <tableColumn id="3" name="'FNADT'" totalsRowFunction="sum" dataDxfId="63" totalsRowDxfId="62"/>
    <tableColumn id="4" name="'Agriculture'" totalsRowFunction="sum" dataDxfId="61" totalsRowDxfId="60">
      <calculatedColumnFormula>SUM(BB7:BE7)</calculatedColumnFormula>
    </tableColumn>
    <tableColumn id="5" name="Régions" totalsRowFunction="sum" dataDxfId="59" totalsRowDxfId="58">
      <calculatedColumnFormula>SUM(BC7:BF7)</calculatedColumnFormula>
    </tableColumn>
    <tableColumn id="6" name="'ALPC'" totalsRowFunction="sum" dataDxfId="57" totalsRowDxfId="56"/>
    <tableColumn id="7" name="'AURA'" totalsRowFunction="sum" dataDxfId="55" totalsRowDxfId="54"/>
    <tableColumn id="8" name="'BFC'" totalsRowFunction="sum" dataDxfId="53" totalsRowDxfId="52"/>
    <tableColumn id="9" name="'LRMP'" totalsRowFunction="sum" dataDxfId="51" totalsRowDxfId="50">
      <calculatedColumnFormula>SUM(BG7:CB7)</calculatedColumnFormula>
    </tableColumn>
    <tableColumn id="10" name="Départements" totalsRowFunction="sum" dataDxfId="49" totalsRowDxfId="48">
      <calculatedColumnFormula>SUM(BH7:CC7)</calculatedColumnFormula>
    </tableColumn>
    <tableColumn id="11" name="'03'" totalsRowFunction="sum" dataDxfId="47" totalsRowDxfId="46"/>
    <tableColumn id="12" name="'07'" totalsRowFunction="sum" dataDxfId="45" totalsRowDxfId="44"/>
    <tableColumn id="13" name="'11'" totalsRowFunction="sum" dataDxfId="43" totalsRowDxfId="42"/>
    <tableColumn id="14" name="'12'" totalsRowFunction="sum" dataDxfId="41" totalsRowDxfId="40"/>
    <tableColumn id="15" name="'15'" totalsRowFunction="sum" dataDxfId="39" totalsRowDxfId="38"/>
    <tableColumn id="16" name="'19'" totalsRowFunction="sum" dataDxfId="37" totalsRowDxfId="36"/>
    <tableColumn id="17" name="'21'" totalsRowFunction="sum" dataDxfId="35" totalsRowDxfId="34"/>
    <tableColumn id="18" name="'23'" totalsRowFunction="sum" dataDxfId="33" totalsRowDxfId="32"/>
    <tableColumn id="19" name="'30'" totalsRowFunction="sum" dataDxfId="31" totalsRowDxfId="30"/>
    <tableColumn id="20" name="'34'" totalsRowFunction="sum" dataDxfId="29" totalsRowDxfId="28"/>
    <tableColumn id="21" name="'42'" totalsRowFunction="sum" dataDxfId="27" totalsRowDxfId="26"/>
    <tableColumn id="22" name="'43'" totalsRowFunction="sum" dataDxfId="25" totalsRowDxfId="24"/>
    <tableColumn id="23" name="'46'" totalsRowFunction="sum" dataDxfId="23" totalsRowDxfId="22"/>
    <tableColumn id="24" name="'48'" totalsRowFunction="sum" dataDxfId="21" totalsRowDxfId="20"/>
    <tableColumn id="25" name="'58'" totalsRowFunction="sum" dataDxfId="19" totalsRowDxfId="18"/>
    <tableColumn id="26" name="'63'" totalsRowFunction="sum" dataDxfId="17" totalsRowDxfId="16"/>
    <tableColumn id="27" name="'69'" totalsRowFunction="sum" dataDxfId="15" totalsRowDxfId="14"/>
    <tableColumn id="28" name="'71'" totalsRowFunction="sum" dataDxfId="13" totalsRowDxfId="12"/>
    <tableColumn id="29" name="'81'" totalsRowFunction="sum" dataDxfId="11" totalsRowDxfId="10"/>
    <tableColumn id="30" name="'82'" totalsRowFunction="sum" dataDxfId="9" totalsRowDxfId="8"/>
    <tableColumn id="31" name="'87'" totalsRowFunction="sum" dataDxfId="7" totalsRowDxfId="6"/>
    <tableColumn id="32" name="'89'" totalsRowFunction="sum" dataDxfId="5" totalsRowDxfId="4"/>
    <tableColumn id="33" name="'FEDER'" totalsRowFunction="sum" dataDxfId="3" totalsRowDxfId="2"/>
    <tableColumn id="34" name="Avis" totalsRowFunction="count" dataDxfId="1" totalsRowDxfId="0">
      <calculatedColumnFormula>VLOOKUP(Tableau3[[#This Row],[NumSym]],Tableau_Lancer_la_requête_à_partir_de_Excel_Files3[[ID_Synergie]:[Avis Prog]],44)</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9"/>
  <sheetViews>
    <sheetView tabSelected="1" view="pageBreakPreview" topLeftCell="A10" zoomScale="60" zoomScaleNormal="60" workbookViewId="0">
      <selection activeCell="AP27" sqref="AP27"/>
    </sheetView>
  </sheetViews>
  <sheetFormatPr baseColWidth="10" defaultRowHeight="15" outlineLevelCol="1" x14ac:dyDescent="0.25"/>
  <cols>
    <col min="1" max="1" width="13.85546875" style="3" customWidth="1"/>
    <col min="2" max="2" width="35" style="4" customWidth="1"/>
    <col min="3" max="3" width="48" style="5" customWidth="1"/>
    <col min="4" max="4" width="22.7109375" style="3" bestFit="1" customWidth="1"/>
    <col min="5" max="5" width="19.7109375" style="3" bestFit="1" customWidth="1"/>
    <col min="6" max="6" width="12" style="6" customWidth="1"/>
    <col min="7" max="7" width="16" style="3" bestFit="1" customWidth="1"/>
    <col min="8" max="8" width="11.28515625" style="6" customWidth="1"/>
    <col min="9" max="9" width="18.42578125" style="3"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8.28515625" style="3" hidden="1" customWidth="1" outlineLevel="1"/>
    <col min="15" max="15" width="18.42578125" style="3" hidden="1" customWidth="1" outlineLevel="1"/>
    <col min="16" max="16" width="16.5703125" style="3" hidden="1" customWidth="1" outlineLevel="1"/>
    <col min="17" max="17" width="18.7109375" style="3" hidden="1" customWidth="1" outlineLevel="1"/>
    <col min="18" max="18" width="19.42578125" style="3" bestFit="1" customWidth="1" collapsed="1"/>
    <col min="19" max="40" width="8.7109375" style="3" hidden="1" customWidth="1" outlineLevel="1"/>
    <col min="41" max="41" width="11.5703125" style="3" bestFit="1" customWidth="1" collapsed="1"/>
    <col min="42" max="42" width="17.7109375" style="3" customWidth="1"/>
    <col min="43" max="43" width="76.5703125" style="3" customWidth="1"/>
    <col min="44" max="44" width="15.42578125" style="3" bestFit="1" customWidth="1"/>
    <col min="45" max="45" width="91" style="3" customWidth="1"/>
    <col min="46" max="46" width="9.42578125" style="3" customWidth="1"/>
    <col min="47" max="61" width="9.7109375" style="3" customWidth="1"/>
    <col min="62" max="62" width="15.140625" style="3" customWidth="1"/>
    <col min="63" max="63" width="14.5703125" style="3" customWidth="1"/>
    <col min="64" max="64" width="18.5703125" style="3" customWidth="1"/>
    <col min="65" max="65" width="12.5703125" style="3" customWidth="1"/>
    <col min="66" max="66" width="20.42578125" style="3" customWidth="1"/>
    <col min="67" max="67" width="12.7109375" style="3" customWidth="1"/>
    <col min="68" max="68" width="9.28515625" style="3" customWidth="1"/>
    <col min="69" max="69" width="14.28515625" style="3" customWidth="1"/>
    <col min="70" max="70" width="11.42578125" style="3" customWidth="1"/>
    <col min="71" max="71" width="9" style="3" customWidth="1"/>
    <col min="72" max="72" width="9.5703125" style="3" customWidth="1"/>
    <col min="73" max="73" width="11" style="3" customWidth="1"/>
    <col min="74" max="74" width="12.7109375" style="3" customWidth="1"/>
    <col min="75" max="77" width="9.7109375" style="3" customWidth="1"/>
    <col min="78" max="78" width="15.140625" style="3" customWidth="1"/>
    <col min="79" max="79" width="17.28515625" style="3" customWidth="1"/>
    <col min="80" max="80" width="49.28515625" style="4" customWidth="1"/>
    <col min="81" max="81" width="17.28515625" style="3" customWidth="1"/>
    <col min="82" max="16384" width="11.42578125" style="3"/>
  </cols>
  <sheetData>
    <row r="1" spans="1:80" ht="18.75" x14ac:dyDescent="0.3">
      <c r="B1" s="21" t="s">
        <v>250</v>
      </c>
      <c r="C1" s="22">
        <v>42523</v>
      </c>
    </row>
    <row r="5" spans="1:80" ht="15.75" x14ac:dyDescent="0.25">
      <c r="A5" s="1" t="s">
        <v>71</v>
      </c>
      <c r="B5" s="20"/>
    </row>
    <row r="6" spans="1:80" s="7" customFormat="1" ht="30" x14ac:dyDescent="0.25">
      <c r="A6" s="7" t="s">
        <v>10</v>
      </c>
      <c r="B6" s="7" t="s">
        <v>1</v>
      </c>
      <c r="C6" s="7" t="s">
        <v>2</v>
      </c>
      <c r="D6" s="7" t="s">
        <v>72</v>
      </c>
      <c r="E6" s="7" t="s">
        <v>108</v>
      </c>
      <c r="F6" s="7" t="s">
        <v>73</v>
      </c>
      <c r="G6" s="7" t="s">
        <v>70</v>
      </c>
      <c r="H6" s="7" t="s">
        <v>109</v>
      </c>
      <c r="I6" s="7" t="s">
        <v>54</v>
      </c>
      <c r="J6" s="7" t="s">
        <v>129</v>
      </c>
      <c r="K6" s="7" t="s">
        <v>159</v>
      </c>
      <c r="L6" s="7" t="s">
        <v>27</v>
      </c>
      <c r="M6" s="7" t="s">
        <v>130</v>
      </c>
      <c r="N6" s="7" t="s">
        <v>30</v>
      </c>
      <c r="O6" s="7" t="s">
        <v>28</v>
      </c>
      <c r="P6" s="7" t="s">
        <v>29</v>
      </c>
      <c r="Q6" s="7" t="s">
        <v>31</v>
      </c>
      <c r="R6" s="7" t="s">
        <v>131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c r="AJ6" s="7" t="s">
        <v>49</v>
      </c>
      <c r="AK6" s="7" t="s">
        <v>50</v>
      </c>
      <c r="AL6" s="7" t="s">
        <v>51</v>
      </c>
      <c r="AM6" s="7" t="s">
        <v>52</v>
      </c>
      <c r="AN6" s="7" t="s">
        <v>53</v>
      </c>
      <c r="AO6" s="7" t="s">
        <v>55</v>
      </c>
      <c r="AP6" s="34" t="s">
        <v>110</v>
      </c>
      <c r="AQ6" s="31" t="s">
        <v>128</v>
      </c>
    </row>
    <row r="7" spans="1:80" s="10" customFormat="1" ht="60" x14ac:dyDescent="0.25">
      <c r="A7" s="13" t="s">
        <v>93</v>
      </c>
      <c r="B7" s="12" t="s">
        <v>94</v>
      </c>
      <c r="C7" s="12" t="s">
        <v>95</v>
      </c>
      <c r="D7" s="15">
        <v>166645.37</v>
      </c>
      <c r="E7" s="15">
        <f>Tableau_Lancer_la_requête_à_partir_de_Excel_Files102[[#This Row],[Aide Massif]]+Tableau_Lancer_la_requête_à_partir_de_Excel_Files102[[#This Row],[''Autre Public'']]</f>
        <v>0</v>
      </c>
      <c r="F7" s="16">
        <f>Tableau_Lancer_la_requête_à_partir_de_Excel_Files102[[#This Row],[Aide 
publique]]/Tableau_Lancer_la_requête_à_partir_de_Excel_Files102[[#This Row],[''Coût total éligible'']]</f>
        <v>0</v>
      </c>
      <c r="G7"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0</v>
      </c>
      <c r="H7" s="16">
        <f>Tableau_Lancer_la_requête_à_partir_de_Excel_Files102[[#This Row],[Aide Massif]]/Tableau_Lancer_la_requête_à_partir_de_Excel_Files102[[#This Row],[''Coût total éligible'']]</f>
        <v>0</v>
      </c>
      <c r="I7" s="15">
        <v>0</v>
      </c>
      <c r="J7" s="15">
        <f>Tableau_Lancer_la_requête_à_partir_de_Excel_Files102[[#This Row],[''FNADT '']]+Tableau_Lancer_la_requête_à_partir_de_Excel_Files102[[#This Row],[''Agriculture'']]</f>
        <v>0</v>
      </c>
      <c r="K7" s="11"/>
      <c r="L7" s="15"/>
      <c r="M7" s="15">
        <f>Tableau_Lancer_la_requête_à_partir_de_Excel_Files102[[#This Row],[''ALPC'']]+Tableau_Lancer_la_requête_à_partir_de_Excel_Files102[[#This Row],[''AURA'']]+Tableau_Lancer_la_requête_à_partir_de_Excel_Files102[[#This Row],[''BFC'']]+Tableau_Lancer_la_requête_à_partir_de_Excel_Files102[[#This Row],[''LRMP'']]</f>
        <v>0</v>
      </c>
      <c r="N7" s="15"/>
      <c r="O7" s="15"/>
      <c r="P7" s="15"/>
      <c r="Q7" s="15"/>
      <c r="R7"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7" s="15"/>
      <c r="T7" s="15"/>
      <c r="U7" s="15"/>
      <c r="V7" s="15"/>
      <c r="W7" s="15"/>
      <c r="X7" s="15"/>
      <c r="Y7" s="15"/>
      <c r="Z7" s="15"/>
      <c r="AA7" s="15"/>
      <c r="AB7" s="15"/>
      <c r="AC7" s="15"/>
      <c r="AD7" s="15"/>
      <c r="AE7" s="15"/>
      <c r="AF7" s="15"/>
      <c r="AG7" s="15"/>
      <c r="AH7" s="15"/>
      <c r="AI7" s="15"/>
      <c r="AJ7" s="15"/>
      <c r="AK7" s="15"/>
      <c r="AL7" s="15"/>
      <c r="AM7" s="15"/>
      <c r="AN7" s="15"/>
      <c r="AO7" s="15">
        <v>0</v>
      </c>
      <c r="AP7" s="32" t="s">
        <v>262</v>
      </c>
      <c r="AQ7" s="24" t="s">
        <v>254</v>
      </c>
    </row>
    <row r="8" spans="1:80" s="10" customFormat="1" ht="60" x14ac:dyDescent="0.25">
      <c r="A8" s="13" t="s">
        <v>96</v>
      </c>
      <c r="B8" s="12" t="s">
        <v>97</v>
      </c>
      <c r="C8" s="12" t="s">
        <v>98</v>
      </c>
      <c r="D8" s="15">
        <v>68622.25</v>
      </c>
      <c r="E8" s="15">
        <f>Tableau_Lancer_la_requête_à_partir_de_Excel_Files102[[#This Row],[Aide Massif]]+Tableau_Lancer_la_requête_à_partir_de_Excel_Files102[[#This Row],[''Autre Public'']]</f>
        <v>0</v>
      </c>
      <c r="F8" s="16">
        <f>Tableau_Lancer_la_requête_à_partir_de_Excel_Files102[[#This Row],[Aide 
publique]]/Tableau_Lancer_la_requête_à_partir_de_Excel_Files102[[#This Row],[''Coût total éligible'']]</f>
        <v>0</v>
      </c>
      <c r="G8"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0</v>
      </c>
      <c r="H8" s="16">
        <f>Tableau_Lancer_la_requête_à_partir_de_Excel_Files102[[#This Row],[Aide Massif]]/Tableau_Lancer_la_requête_à_partir_de_Excel_Files102[[#This Row],[''Coût total éligible'']]</f>
        <v>0</v>
      </c>
      <c r="I8" s="15">
        <v>0</v>
      </c>
      <c r="J8" s="15">
        <f>Tableau_Lancer_la_requête_à_partir_de_Excel_Files102[[#This Row],[''FNADT '']]+Tableau_Lancer_la_requête_à_partir_de_Excel_Files102[[#This Row],[''Agriculture'']]</f>
        <v>0</v>
      </c>
      <c r="K8" s="11"/>
      <c r="L8" s="15"/>
      <c r="M8" s="15">
        <f>Tableau_Lancer_la_requête_à_partir_de_Excel_Files102[[#This Row],[''ALPC'']]+Tableau_Lancer_la_requête_à_partir_de_Excel_Files102[[#This Row],[''AURA'']]+Tableau_Lancer_la_requête_à_partir_de_Excel_Files102[[#This Row],[''BFC'']]+Tableau_Lancer_la_requête_à_partir_de_Excel_Files102[[#This Row],[''LRMP'']]</f>
        <v>0</v>
      </c>
      <c r="N8" s="15"/>
      <c r="O8" s="15"/>
      <c r="P8" s="15"/>
      <c r="Q8" s="15"/>
      <c r="R8"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8" s="15"/>
      <c r="T8" s="15"/>
      <c r="U8" s="15"/>
      <c r="V8" s="15"/>
      <c r="W8" s="15"/>
      <c r="X8" s="15"/>
      <c r="Y8" s="15"/>
      <c r="Z8" s="15"/>
      <c r="AA8" s="15"/>
      <c r="AB8" s="15"/>
      <c r="AC8" s="15"/>
      <c r="AD8" s="15"/>
      <c r="AE8" s="15"/>
      <c r="AF8" s="15"/>
      <c r="AG8" s="15"/>
      <c r="AH8" s="15"/>
      <c r="AI8" s="15"/>
      <c r="AJ8" s="15"/>
      <c r="AK8" s="15"/>
      <c r="AL8" s="15"/>
      <c r="AM8" s="15"/>
      <c r="AN8" s="15"/>
      <c r="AO8" s="15">
        <v>0</v>
      </c>
      <c r="AP8" s="33" t="s">
        <v>262</v>
      </c>
      <c r="AQ8" s="26" t="s">
        <v>254</v>
      </c>
    </row>
    <row r="9" spans="1:80" s="10" customFormat="1" ht="60" x14ac:dyDescent="0.25">
      <c r="A9" s="13" t="s">
        <v>99</v>
      </c>
      <c r="B9" s="12" t="s">
        <v>100</v>
      </c>
      <c r="C9" s="12" t="s">
        <v>101</v>
      </c>
      <c r="D9" s="15">
        <v>68884.460000000006</v>
      </c>
      <c r="E9" s="15">
        <f>Tableau_Lancer_la_requête_à_partir_de_Excel_Files102[[#This Row],[Aide Massif]]+Tableau_Lancer_la_requête_à_partir_de_Excel_Files102[[#This Row],[''Autre Public'']]</f>
        <v>0</v>
      </c>
      <c r="F9" s="16">
        <f>Tableau_Lancer_la_requête_à_partir_de_Excel_Files102[[#This Row],[Aide 
publique]]/Tableau_Lancer_la_requête_à_partir_de_Excel_Files102[[#This Row],[''Coût total éligible'']]</f>
        <v>0</v>
      </c>
      <c r="G9"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0</v>
      </c>
      <c r="H9" s="16">
        <f>Tableau_Lancer_la_requête_à_partir_de_Excel_Files102[[#This Row],[Aide Massif]]/Tableau_Lancer_la_requête_à_partir_de_Excel_Files102[[#This Row],[''Coût total éligible'']]</f>
        <v>0</v>
      </c>
      <c r="I9" s="15">
        <v>0</v>
      </c>
      <c r="J9" s="15">
        <f>Tableau_Lancer_la_requête_à_partir_de_Excel_Files102[[#This Row],[''FNADT '']]+Tableau_Lancer_la_requête_à_partir_de_Excel_Files102[[#This Row],[''Agriculture'']]</f>
        <v>0</v>
      </c>
      <c r="K9" s="11"/>
      <c r="L9" s="15"/>
      <c r="M9" s="15">
        <f>Tableau_Lancer_la_requête_à_partir_de_Excel_Files102[[#This Row],[''ALPC'']]+Tableau_Lancer_la_requête_à_partir_de_Excel_Files102[[#This Row],[''AURA'']]+Tableau_Lancer_la_requête_à_partir_de_Excel_Files102[[#This Row],[''BFC'']]+Tableau_Lancer_la_requête_à_partir_de_Excel_Files102[[#This Row],[''LRMP'']]</f>
        <v>0</v>
      </c>
      <c r="N9" s="15"/>
      <c r="O9" s="15"/>
      <c r="P9" s="15"/>
      <c r="Q9" s="15"/>
      <c r="R9"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9" s="15"/>
      <c r="T9" s="15"/>
      <c r="U9" s="15"/>
      <c r="V9" s="15"/>
      <c r="W9" s="15"/>
      <c r="X9" s="15"/>
      <c r="Y9" s="15"/>
      <c r="Z9" s="15"/>
      <c r="AA9" s="15"/>
      <c r="AB9" s="15"/>
      <c r="AC9" s="15"/>
      <c r="AD9" s="15"/>
      <c r="AE9" s="15"/>
      <c r="AF9" s="15"/>
      <c r="AG9" s="15"/>
      <c r="AH9" s="15"/>
      <c r="AI9" s="15"/>
      <c r="AJ9" s="15"/>
      <c r="AK9" s="15"/>
      <c r="AL9" s="15"/>
      <c r="AM9" s="15"/>
      <c r="AN9" s="15"/>
      <c r="AO9" s="15">
        <v>0</v>
      </c>
      <c r="AP9" s="32" t="s">
        <v>262</v>
      </c>
      <c r="AQ9" s="24" t="s">
        <v>254</v>
      </c>
    </row>
    <row r="10" spans="1:80" s="10" customFormat="1" ht="45" x14ac:dyDescent="0.25">
      <c r="A10" s="13" t="s">
        <v>85</v>
      </c>
      <c r="B10" s="12" t="s">
        <v>86</v>
      </c>
      <c r="C10" s="12" t="s">
        <v>87</v>
      </c>
      <c r="D10" s="15">
        <v>841232.5</v>
      </c>
      <c r="E10" s="15">
        <f>Tableau_Lancer_la_requête_à_partir_de_Excel_Files102[[#This Row],[Aide Massif]]+Tableau_Lancer_la_requête_à_partir_de_Excel_Files102[[#This Row],[''Autre Public'']]</f>
        <v>469633.6</v>
      </c>
      <c r="F10" s="16">
        <f>Tableau_Lancer_la_requête_à_partir_de_Excel_Files102[[#This Row],[Aide 
publique]]/Tableau_Lancer_la_requête_à_partir_de_Excel_Files102[[#This Row],[''Coût total éligible'']]</f>
        <v>0.55826849295527692</v>
      </c>
      <c r="G10"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469633.6</v>
      </c>
      <c r="H10" s="16">
        <f>Tableau_Lancer_la_requête_à_partir_de_Excel_Files102[[#This Row],[Aide Massif]]/Tableau_Lancer_la_requête_à_partir_de_Excel_Files102[[#This Row],[''Coût total éligible'']]</f>
        <v>0.55826849295527692</v>
      </c>
      <c r="I10" s="15">
        <v>254057.98</v>
      </c>
      <c r="J10" s="15">
        <f>Tableau_Lancer_la_requête_à_partir_de_Excel_Files102[[#This Row],[''FNADT '']]+Tableau_Lancer_la_requête_à_partir_de_Excel_Files102[[#This Row],[''Agriculture'']]</f>
        <v>140375.62</v>
      </c>
      <c r="K10" s="11">
        <v>140375.62</v>
      </c>
      <c r="L10" s="15"/>
      <c r="M10" s="15">
        <f>Tableau_Lancer_la_requête_à_partir_de_Excel_Files102[[#This Row],[''ALPC'']]+Tableau_Lancer_la_requête_à_partir_de_Excel_Files102[[#This Row],[''AURA'']]+Tableau_Lancer_la_requête_à_partir_de_Excel_Files102[[#This Row],[''BFC'']]+Tableau_Lancer_la_requête_à_partir_de_Excel_Files102[[#This Row],[''LRMP'']]</f>
        <v>75200</v>
      </c>
      <c r="N10" s="15">
        <v>30000</v>
      </c>
      <c r="O10" s="15">
        <v>30000</v>
      </c>
      <c r="P10" s="15">
        <v>15200</v>
      </c>
      <c r="Q10" s="15"/>
      <c r="R10"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0" s="15"/>
      <c r="T10" s="15"/>
      <c r="U10" s="15"/>
      <c r="V10" s="15"/>
      <c r="W10" s="15"/>
      <c r="X10" s="15"/>
      <c r="Y10" s="15"/>
      <c r="Z10" s="15"/>
      <c r="AA10" s="15"/>
      <c r="AB10" s="15"/>
      <c r="AC10" s="15"/>
      <c r="AD10" s="15"/>
      <c r="AE10" s="15"/>
      <c r="AF10" s="15"/>
      <c r="AG10" s="15"/>
      <c r="AH10" s="15"/>
      <c r="AI10" s="15"/>
      <c r="AJ10" s="15"/>
      <c r="AK10" s="15"/>
      <c r="AL10" s="15"/>
      <c r="AM10" s="15"/>
      <c r="AN10" s="15"/>
      <c r="AO10" s="15">
        <v>0</v>
      </c>
      <c r="AP10" s="33" t="s">
        <v>77</v>
      </c>
      <c r="AQ10" s="26"/>
    </row>
    <row r="11" spans="1:80" s="10" customFormat="1" ht="60" x14ac:dyDescent="0.25">
      <c r="A11" s="13" t="s">
        <v>91</v>
      </c>
      <c r="B11" s="12" t="s">
        <v>75</v>
      </c>
      <c r="C11" s="12" t="s">
        <v>92</v>
      </c>
      <c r="D11" s="15">
        <v>472580</v>
      </c>
      <c r="E11" s="15">
        <f>Tableau_Lancer_la_requête_à_partir_de_Excel_Files102[[#This Row],[Aide Massif]]+Tableau_Lancer_la_requête_à_partir_de_Excel_Files102[[#This Row],[''Autre Public'']]</f>
        <v>230000</v>
      </c>
      <c r="F11" s="16">
        <f>Tableau_Lancer_la_requête_à_partir_de_Excel_Files102[[#This Row],[Aide 
publique]]/Tableau_Lancer_la_requête_à_partir_de_Excel_Files102[[#This Row],[''Coût total éligible'']]</f>
        <v>0.48669008421854498</v>
      </c>
      <c r="G11"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230000</v>
      </c>
      <c r="H11" s="16">
        <f>Tableau_Lancer_la_requête_à_partir_de_Excel_Files102[[#This Row],[Aide Massif]]/Tableau_Lancer_la_requête_à_partir_de_Excel_Files102[[#This Row],[''Coût total éligible'']]</f>
        <v>0.48669008421854498</v>
      </c>
      <c r="I11" s="15">
        <v>230000</v>
      </c>
      <c r="J11" s="15">
        <f>Tableau_Lancer_la_requête_à_partir_de_Excel_Files102[[#This Row],[''FNADT '']]+Tableau_Lancer_la_requête_à_partir_de_Excel_Files102[[#This Row],[''Agriculture'']]</f>
        <v>0</v>
      </c>
      <c r="K11" s="11"/>
      <c r="L11" s="15"/>
      <c r="M11" s="15">
        <f>Tableau_Lancer_la_requête_à_partir_de_Excel_Files102[[#This Row],[''ALPC'']]+Tableau_Lancer_la_requête_à_partir_de_Excel_Files102[[#This Row],[''AURA'']]+Tableau_Lancer_la_requête_à_partir_de_Excel_Files102[[#This Row],[''BFC'']]+Tableau_Lancer_la_requête_à_partir_de_Excel_Files102[[#This Row],[''LRMP'']]</f>
        <v>0</v>
      </c>
      <c r="N11" s="15"/>
      <c r="O11" s="15"/>
      <c r="P11" s="15"/>
      <c r="Q11" s="15"/>
      <c r="R11"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1" s="15"/>
      <c r="T11" s="15"/>
      <c r="U11" s="15"/>
      <c r="V11" s="15"/>
      <c r="W11" s="15"/>
      <c r="X11" s="15"/>
      <c r="Y11" s="15"/>
      <c r="Z11" s="15"/>
      <c r="AA11" s="15"/>
      <c r="AB11" s="15"/>
      <c r="AC11" s="15"/>
      <c r="AD11" s="15"/>
      <c r="AE11" s="15"/>
      <c r="AF11" s="15"/>
      <c r="AG11" s="15"/>
      <c r="AH11" s="15"/>
      <c r="AI11" s="15"/>
      <c r="AJ11" s="15"/>
      <c r="AK11" s="15"/>
      <c r="AL11" s="15"/>
      <c r="AM11" s="15"/>
      <c r="AN11" s="15"/>
      <c r="AO11" s="15">
        <v>0</v>
      </c>
      <c r="AP11" s="32" t="s">
        <v>77</v>
      </c>
      <c r="AQ11" s="24"/>
    </row>
    <row r="12" spans="1:80" ht="60" x14ac:dyDescent="0.25">
      <c r="A12" s="13" t="s">
        <v>102</v>
      </c>
      <c r="B12" s="12" t="s">
        <v>103</v>
      </c>
      <c r="C12" s="12" t="s">
        <v>104</v>
      </c>
      <c r="D12" s="15">
        <v>354864.511</v>
      </c>
      <c r="E12" s="15">
        <f>Tableau_Lancer_la_requête_à_partir_de_Excel_Files102[[#This Row],[Aide Massif]]+Tableau_Lancer_la_requête_à_partir_de_Excel_Files102[[#This Row],[''Autre Public'']]</f>
        <v>186432.26</v>
      </c>
      <c r="F12" s="16">
        <f>Tableau_Lancer_la_requête_à_partir_de_Excel_Files102[[#This Row],[Aide 
publique]]/Tableau_Lancer_la_requête_à_partir_de_Excel_Files102[[#This Row],[''Coût total éligible'']]</f>
        <v>0.5253618049171449</v>
      </c>
      <c r="G12"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186432.26</v>
      </c>
      <c r="H12" s="16">
        <f>Tableau_Lancer_la_requête_à_partir_de_Excel_Files102[[#This Row],[Aide Massif]]/Tableau_Lancer_la_requête_à_partir_de_Excel_Files102[[#This Row],[''Coût total éligible'']]</f>
        <v>0.5253618049171449</v>
      </c>
      <c r="I12" s="15">
        <v>177432.26</v>
      </c>
      <c r="J12" s="15">
        <f>Tableau_Lancer_la_requête_à_partir_de_Excel_Files102[[#This Row],[''FNADT '']]+Tableau_Lancer_la_requête_à_partir_de_Excel_Files102[[#This Row],[''Agriculture'']]</f>
        <v>0</v>
      </c>
      <c r="K12" s="11"/>
      <c r="L12" s="15"/>
      <c r="M12" s="15">
        <f>Tableau_Lancer_la_requête_à_partir_de_Excel_Files102[[#This Row],[''ALPC'']]+Tableau_Lancer_la_requête_à_partir_de_Excel_Files102[[#This Row],[''AURA'']]+Tableau_Lancer_la_requête_à_partir_de_Excel_Files102[[#This Row],[''BFC'']]+Tableau_Lancer_la_requête_à_partir_de_Excel_Files102[[#This Row],[''LRMP'']]</f>
        <v>9000</v>
      </c>
      <c r="N12" s="15">
        <v>9000</v>
      </c>
      <c r="O12" s="15"/>
      <c r="P12" s="15"/>
      <c r="Q12" s="15"/>
      <c r="R12"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2" s="15"/>
      <c r="T12" s="15"/>
      <c r="U12" s="15"/>
      <c r="V12" s="15"/>
      <c r="W12" s="15"/>
      <c r="X12" s="15"/>
      <c r="Y12" s="15"/>
      <c r="Z12" s="15"/>
      <c r="AA12" s="15"/>
      <c r="AB12" s="15"/>
      <c r="AC12" s="15"/>
      <c r="AD12" s="15"/>
      <c r="AE12" s="15"/>
      <c r="AF12" s="15"/>
      <c r="AG12" s="15"/>
      <c r="AH12" s="15"/>
      <c r="AI12" s="15"/>
      <c r="AJ12" s="15"/>
      <c r="AK12" s="15"/>
      <c r="AL12" s="15"/>
      <c r="AM12" s="15"/>
      <c r="AN12" s="15"/>
      <c r="AO12" s="15">
        <v>0</v>
      </c>
      <c r="AP12" s="33" t="s">
        <v>262</v>
      </c>
      <c r="AQ12" s="26" t="s">
        <v>457</v>
      </c>
      <c r="AR12" s="10"/>
      <c r="BX12" s="4"/>
      <c r="CB12" s="3"/>
    </row>
    <row r="13" spans="1:80" ht="30" x14ac:dyDescent="0.25">
      <c r="A13" s="13" t="s">
        <v>88</v>
      </c>
      <c r="B13" s="12" t="s">
        <v>89</v>
      </c>
      <c r="C13" s="12" t="s">
        <v>90</v>
      </c>
      <c r="D13" s="15">
        <v>203880</v>
      </c>
      <c r="E13" s="15">
        <f>Tableau_Lancer_la_requête_à_partir_de_Excel_Files102[[#This Row],[Aide Massif]]+Tableau_Lancer_la_requête_à_partir_de_Excel_Files102[[#This Row],[''Autre Public'']]</f>
        <v>139430</v>
      </c>
      <c r="F13" s="16">
        <f>Tableau_Lancer_la_requête_à_partir_de_Excel_Files102[[#This Row],[Aide 
publique]]/Tableau_Lancer_la_requête_à_partir_de_Excel_Files102[[#This Row],[''Coût total éligible'']]</f>
        <v>0.68388267608397091</v>
      </c>
      <c r="G13"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139430</v>
      </c>
      <c r="H13" s="16">
        <f>Tableau_Lancer_la_requête_à_partir_de_Excel_Files102[[#This Row],[Aide Massif]]/Tableau_Lancer_la_requête_à_partir_de_Excel_Files102[[#This Row],[''Coût total éligible'']]</f>
        <v>0.68388267608397091</v>
      </c>
      <c r="I13" s="15">
        <v>98654</v>
      </c>
      <c r="J13" s="15">
        <f>Tableau_Lancer_la_requête_à_partir_de_Excel_Files102[[#This Row],[''FNADT '']]+Tableau_Lancer_la_requête_à_partir_de_Excel_Files102[[#This Row],[''Agriculture'']]</f>
        <v>16776</v>
      </c>
      <c r="K13" s="11">
        <v>16776</v>
      </c>
      <c r="L13" s="15"/>
      <c r="M13" s="15">
        <f>Tableau_Lancer_la_requête_à_partir_de_Excel_Files102[[#This Row],[''ALPC'']]+Tableau_Lancer_la_requête_à_partir_de_Excel_Files102[[#This Row],[''AURA'']]+Tableau_Lancer_la_requête_à_partir_de_Excel_Files102[[#This Row],[''BFC'']]+Tableau_Lancer_la_requête_à_partir_de_Excel_Files102[[#This Row],[''LRMP'']]</f>
        <v>24000</v>
      </c>
      <c r="N13" s="15"/>
      <c r="O13" s="15">
        <v>24000</v>
      </c>
      <c r="P13" s="15"/>
      <c r="Q13" s="15"/>
      <c r="R13"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3" s="15"/>
      <c r="T13" s="15"/>
      <c r="U13" s="15"/>
      <c r="V13" s="15"/>
      <c r="W13" s="15"/>
      <c r="X13" s="15"/>
      <c r="Y13" s="15"/>
      <c r="Z13" s="15"/>
      <c r="AA13" s="15"/>
      <c r="AB13" s="15"/>
      <c r="AC13" s="15"/>
      <c r="AD13" s="15"/>
      <c r="AE13" s="15"/>
      <c r="AF13" s="15"/>
      <c r="AG13" s="15"/>
      <c r="AH13" s="15"/>
      <c r="AI13" s="15"/>
      <c r="AJ13" s="15"/>
      <c r="AK13" s="15"/>
      <c r="AL13" s="15"/>
      <c r="AM13" s="15"/>
      <c r="AN13" s="15"/>
      <c r="AO13" s="15">
        <v>0</v>
      </c>
      <c r="AP13" s="32" t="s">
        <v>77</v>
      </c>
      <c r="AQ13" s="24"/>
      <c r="AR13" s="10"/>
      <c r="BX13" s="4"/>
      <c r="CB13" s="3"/>
    </row>
    <row r="14" spans="1:80" ht="30" x14ac:dyDescent="0.25">
      <c r="A14" s="6" t="s">
        <v>74</v>
      </c>
      <c r="B14" s="5" t="s">
        <v>75</v>
      </c>
      <c r="C14" s="5" t="s">
        <v>76</v>
      </c>
      <c r="D14" s="8">
        <v>71390</v>
      </c>
      <c r="E14" s="8">
        <f>Tableau_Lancer_la_requête_à_partir_de_Excel_Files102[[#This Row],[Aide Massif]]+Tableau_Lancer_la_requête_à_partir_de_Excel_Files102[[#This Row],[''Autre Public'']]</f>
        <v>42834</v>
      </c>
      <c r="F14" s="9">
        <f>Tableau_Lancer_la_requête_à_partir_de_Excel_Files102[[#This Row],[Aide 
publique]]/Tableau_Lancer_la_requête_à_partir_de_Excel_Files102[[#This Row],[''Coût total éligible'']]</f>
        <v>0.6</v>
      </c>
      <c r="G14"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42834</v>
      </c>
      <c r="H14" s="9">
        <f>Tableau_Lancer_la_requête_à_partir_de_Excel_Files102[[#This Row],[Aide Massif]]/Tableau_Lancer_la_requête_à_partir_de_Excel_Files102[[#This Row],[''Coût total éligible'']]</f>
        <v>0.6</v>
      </c>
      <c r="I14" s="8">
        <v>29983.8</v>
      </c>
      <c r="J14" s="8">
        <f>Tableau_Lancer_la_requête_à_partir_de_Excel_Files102[[#This Row],[''FNADT '']]+Tableau_Lancer_la_requête_à_partir_de_Excel_Files102[[#This Row],[''Agriculture'']]</f>
        <v>12850.2</v>
      </c>
      <c r="K14" s="10">
        <v>12850.2</v>
      </c>
      <c r="L14" s="8"/>
      <c r="M14" s="8">
        <f>Tableau_Lancer_la_requête_à_partir_de_Excel_Files102[[#This Row],[''ALPC'']]+Tableau_Lancer_la_requête_à_partir_de_Excel_Files102[[#This Row],[''AURA'']]+Tableau_Lancer_la_requête_à_partir_de_Excel_Files102[[#This Row],[''BFC'']]+Tableau_Lancer_la_requête_à_partir_de_Excel_Files102[[#This Row],[''LRMP'']]</f>
        <v>0</v>
      </c>
      <c r="N14" s="8"/>
      <c r="O14" s="8"/>
      <c r="P14" s="8"/>
      <c r="Q14" s="8"/>
      <c r="R14" s="8">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4" s="8"/>
      <c r="T14" s="8"/>
      <c r="U14" s="8"/>
      <c r="V14" s="8"/>
      <c r="W14" s="8"/>
      <c r="X14" s="8"/>
      <c r="Y14" s="8"/>
      <c r="Z14" s="8"/>
      <c r="AA14" s="8"/>
      <c r="AB14" s="8"/>
      <c r="AC14" s="8"/>
      <c r="AD14" s="8"/>
      <c r="AE14" s="8"/>
      <c r="AF14" s="8"/>
      <c r="AG14" s="8"/>
      <c r="AH14" s="8"/>
      <c r="AI14" s="8"/>
      <c r="AJ14" s="8"/>
      <c r="AK14" s="8"/>
      <c r="AL14" s="8"/>
      <c r="AM14" s="8"/>
      <c r="AN14" s="8"/>
      <c r="AO14" s="8">
        <v>0</v>
      </c>
      <c r="AP14" s="33" t="s">
        <v>77</v>
      </c>
      <c r="AQ14" s="25"/>
      <c r="AR14" s="10"/>
      <c r="BX14" s="4"/>
      <c r="CB14" s="3"/>
    </row>
    <row r="15" spans="1:80" ht="45" x14ac:dyDescent="0.25">
      <c r="A15" s="13" t="s">
        <v>81</v>
      </c>
      <c r="B15" s="12" t="s">
        <v>82</v>
      </c>
      <c r="C15" s="12" t="s">
        <v>83</v>
      </c>
      <c r="D15" s="15">
        <v>287875.06</v>
      </c>
      <c r="E15" s="15">
        <f>Tableau_Lancer_la_requête_à_partir_de_Excel_Files102[[#This Row],[Aide Massif]]+Tableau_Lancer_la_requête_à_partir_de_Excel_Files102[[#This Row],[''Autre Public'']]</f>
        <v>201512.53999999998</v>
      </c>
      <c r="F15" s="16">
        <f>Tableau_Lancer_la_requête_à_partir_de_Excel_Files102[[#This Row],[Aide 
publique]]/Tableau_Lancer_la_requête_à_partir_de_Excel_Files102[[#This Row],[''Coût total éligible'']]</f>
        <v>0.69999999305254157</v>
      </c>
      <c r="G15"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201512.53999999998</v>
      </c>
      <c r="H15" s="16">
        <f>Tableau_Lancer_la_requête_à_partir_de_Excel_Files102[[#This Row],[Aide Massif]]/Tableau_Lancer_la_requête_à_partir_de_Excel_Files102[[#This Row],[''Coût total éligible'']]</f>
        <v>0.69999999305254157</v>
      </c>
      <c r="I15" s="15">
        <v>122397.54</v>
      </c>
      <c r="J15" s="15">
        <f>Tableau_Lancer_la_requête_à_partir_de_Excel_Files102[[#This Row],[''FNADT '']]+Tableau_Lancer_la_requête_à_partir_de_Excel_Files102[[#This Row],[''Agriculture'']]</f>
        <v>63381</v>
      </c>
      <c r="K15" s="11">
        <v>63381</v>
      </c>
      <c r="L15" s="15"/>
      <c r="M15" s="15">
        <f>Tableau_Lancer_la_requête_à_partir_de_Excel_Files102[[#This Row],[''ALPC'']]+Tableau_Lancer_la_requête_à_partir_de_Excel_Files102[[#This Row],[''AURA'']]+Tableau_Lancer_la_requête_à_partir_de_Excel_Files102[[#This Row],[''BFC'']]+Tableau_Lancer_la_requête_à_partir_de_Excel_Files102[[#This Row],[''LRMP'']]</f>
        <v>15734</v>
      </c>
      <c r="N15" s="15"/>
      <c r="O15" s="15">
        <v>15734</v>
      </c>
      <c r="P15" s="15"/>
      <c r="Q15" s="15"/>
      <c r="R15"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5" s="15"/>
      <c r="T15" s="15"/>
      <c r="U15" s="15"/>
      <c r="V15" s="15"/>
      <c r="W15" s="15"/>
      <c r="X15" s="15"/>
      <c r="Y15" s="15"/>
      <c r="Z15" s="15"/>
      <c r="AA15" s="15"/>
      <c r="AB15" s="15"/>
      <c r="AC15" s="15"/>
      <c r="AD15" s="15"/>
      <c r="AE15" s="15"/>
      <c r="AF15" s="15"/>
      <c r="AG15" s="15"/>
      <c r="AH15" s="15"/>
      <c r="AI15" s="15"/>
      <c r="AJ15" s="15"/>
      <c r="AK15" s="15"/>
      <c r="AL15" s="15"/>
      <c r="AM15" s="15"/>
      <c r="AN15" s="15"/>
      <c r="AO15" s="15">
        <v>0</v>
      </c>
      <c r="AP15" s="32" t="s">
        <v>77</v>
      </c>
      <c r="AQ15" s="24"/>
      <c r="BX15" s="4"/>
      <c r="CB15" s="3"/>
    </row>
    <row r="16" spans="1:80" ht="45" x14ac:dyDescent="0.25">
      <c r="A16" s="13" t="s">
        <v>84</v>
      </c>
      <c r="B16" s="12" t="s">
        <v>75</v>
      </c>
      <c r="C16" s="12" t="s">
        <v>83</v>
      </c>
      <c r="D16" s="15">
        <v>137824</v>
      </c>
      <c r="E16" s="15">
        <f>Tableau_Lancer_la_requête_à_partir_de_Excel_Files102[[#This Row],[Aide Massif]]+Tableau_Lancer_la_requête_à_partir_de_Excel_Files102[[#This Row],[''Autre Public'']]</f>
        <v>82694.399999999994</v>
      </c>
      <c r="F16" s="16">
        <f>Tableau_Lancer_la_requête_à_partir_de_Excel_Files102[[#This Row],[Aide 
publique]]/Tableau_Lancer_la_requête_à_partir_de_Excel_Files102[[#This Row],[''Coût total éligible'']]</f>
        <v>0.6</v>
      </c>
      <c r="G16"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82694.399999999994</v>
      </c>
      <c r="H16" s="16">
        <f>Tableau_Lancer_la_requête_à_partir_de_Excel_Files102[[#This Row],[Aide Massif]]/Tableau_Lancer_la_requête_à_partir_de_Excel_Files102[[#This Row],[''Coût total éligible'']]</f>
        <v>0.6</v>
      </c>
      <c r="I16" s="15">
        <v>54782.400000000001</v>
      </c>
      <c r="J16" s="15">
        <f>Tableau_Lancer_la_requête_à_partir_de_Excel_Files102[[#This Row],[''FNADT '']]+Tableau_Lancer_la_requête_à_partir_de_Excel_Files102[[#This Row],[''Agriculture'']]</f>
        <v>27912</v>
      </c>
      <c r="K16" s="11">
        <v>27912</v>
      </c>
      <c r="L16" s="15"/>
      <c r="M16" s="15">
        <f>Tableau_Lancer_la_requête_à_partir_de_Excel_Files102[[#This Row],[''ALPC'']]+Tableau_Lancer_la_requête_à_partir_de_Excel_Files102[[#This Row],[''AURA'']]+Tableau_Lancer_la_requête_à_partir_de_Excel_Files102[[#This Row],[''BFC'']]+Tableau_Lancer_la_requête_à_partir_de_Excel_Files102[[#This Row],[''LRMP'']]</f>
        <v>0</v>
      </c>
      <c r="N16" s="15"/>
      <c r="O16" s="15"/>
      <c r="P16" s="15"/>
      <c r="Q16" s="15"/>
      <c r="R16"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6" s="15"/>
      <c r="T16" s="15"/>
      <c r="U16" s="15"/>
      <c r="V16" s="15"/>
      <c r="W16" s="15"/>
      <c r="X16" s="15"/>
      <c r="Y16" s="15"/>
      <c r="Z16" s="15"/>
      <c r="AA16" s="15"/>
      <c r="AB16" s="15"/>
      <c r="AC16" s="15"/>
      <c r="AD16" s="15"/>
      <c r="AE16" s="15"/>
      <c r="AF16" s="15"/>
      <c r="AG16" s="15"/>
      <c r="AH16" s="15"/>
      <c r="AI16" s="15"/>
      <c r="AJ16" s="15"/>
      <c r="AK16" s="15"/>
      <c r="AL16" s="15"/>
      <c r="AM16" s="15"/>
      <c r="AN16" s="15"/>
      <c r="AO16" s="15">
        <v>0</v>
      </c>
      <c r="AP16" s="33" t="s">
        <v>77</v>
      </c>
      <c r="AQ16" s="26"/>
      <c r="BX16" s="4"/>
      <c r="CB16" s="3"/>
    </row>
    <row r="17" spans="1:80" s="7" customFormat="1" ht="45" x14ac:dyDescent="0.25">
      <c r="A17" s="13" t="s">
        <v>105</v>
      </c>
      <c r="B17" s="12" t="s">
        <v>106</v>
      </c>
      <c r="C17" s="12" t="s">
        <v>83</v>
      </c>
      <c r="D17" s="15">
        <v>339643.07</v>
      </c>
      <c r="E17" s="15">
        <f>Tableau_Lancer_la_requête_à_partir_de_Excel_Files102[[#This Row],[Aide Massif]]+Tableau_Lancer_la_requête_à_partir_de_Excel_Files102[[#This Row],[''Autre Public'']]</f>
        <v>0</v>
      </c>
      <c r="F17" s="16">
        <f>Tableau_Lancer_la_requête_à_partir_de_Excel_Files102[[#This Row],[Aide 
publique]]/Tableau_Lancer_la_requête_à_partir_de_Excel_Files102[[#This Row],[''Coût total éligible'']]</f>
        <v>0</v>
      </c>
      <c r="G17"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0</v>
      </c>
      <c r="H17" s="16">
        <f>Tableau_Lancer_la_requête_à_partir_de_Excel_Files102[[#This Row],[Aide Massif]]/Tableau_Lancer_la_requête_à_partir_de_Excel_Files102[[#This Row],[''Coût total éligible'']]</f>
        <v>0</v>
      </c>
      <c r="I17" s="15">
        <v>0</v>
      </c>
      <c r="J17" s="15">
        <f>Tableau_Lancer_la_requête_à_partir_de_Excel_Files102[[#This Row],[''FNADT '']]+Tableau_Lancer_la_requête_à_partir_de_Excel_Files102[[#This Row],[''Agriculture'']]</f>
        <v>0</v>
      </c>
      <c r="K17" s="11"/>
      <c r="L17" s="15"/>
      <c r="M17" s="15">
        <f>Tableau_Lancer_la_requête_à_partir_de_Excel_Files102[[#This Row],[''ALPC'']]+Tableau_Lancer_la_requête_à_partir_de_Excel_Files102[[#This Row],[''AURA'']]+Tableau_Lancer_la_requête_à_partir_de_Excel_Files102[[#This Row],[''BFC'']]+Tableau_Lancer_la_requête_à_partir_de_Excel_Files102[[#This Row],[''LRMP'']]</f>
        <v>0</v>
      </c>
      <c r="N17" s="15"/>
      <c r="O17" s="15"/>
      <c r="P17" s="15"/>
      <c r="Q17" s="15"/>
      <c r="R17"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7" s="15"/>
      <c r="T17" s="15"/>
      <c r="U17" s="15"/>
      <c r="V17" s="15"/>
      <c r="W17" s="15"/>
      <c r="X17" s="15"/>
      <c r="Y17" s="15"/>
      <c r="Z17" s="15"/>
      <c r="AA17" s="15"/>
      <c r="AB17" s="15"/>
      <c r="AC17" s="15"/>
      <c r="AD17" s="15"/>
      <c r="AE17" s="15"/>
      <c r="AF17" s="15"/>
      <c r="AG17" s="15"/>
      <c r="AH17" s="15"/>
      <c r="AI17" s="15"/>
      <c r="AJ17" s="15"/>
      <c r="AK17" s="15"/>
      <c r="AL17" s="15"/>
      <c r="AM17" s="15"/>
      <c r="AN17" s="15"/>
      <c r="AO17" s="15">
        <v>0</v>
      </c>
      <c r="AP17" s="32" t="s">
        <v>107</v>
      </c>
      <c r="AQ17" s="24" t="s">
        <v>255</v>
      </c>
    </row>
    <row r="18" spans="1:80" s="10" customFormat="1" ht="30.75" thickBot="1" x14ac:dyDescent="0.3">
      <c r="A18" s="13" t="s">
        <v>78</v>
      </c>
      <c r="B18" s="12" t="s">
        <v>79</v>
      </c>
      <c r="C18" s="12" t="s">
        <v>80</v>
      </c>
      <c r="D18" s="15">
        <v>190135</v>
      </c>
      <c r="E18" s="15">
        <f>Tableau_Lancer_la_requête_à_partir_de_Excel_Files102[[#This Row],[Aide Massif]]+Tableau_Lancer_la_requête_à_partir_de_Excel_Files102[[#This Row],[''Autre Public'']]</f>
        <v>132597.20000000001</v>
      </c>
      <c r="F18" s="16">
        <f>Tableau_Lancer_la_requête_à_partir_de_Excel_Files102[[#This Row],[Aide 
publique]]/Tableau_Lancer_la_requête_à_partir_de_Excel_Files102[[#This Row],[''Coût total éligible'']]</f>
        <v>0.69738448996765467</v>
      </c>
      <c r="G18" s="15">
        <f>Tableau_Lancer_la_requête_à_partir_de_Excel_Files102[[#This Row],[''FEDER'']]+Tableau_Lancer_la_requête_à_partir_de_Excel_Files102[[#This Row],[Total Etat]]+Tableau_Lancer_la_requête_à_partir_de_Excel_Files102[[#This Row],[Total Régions]]+Tableau_Lancer_la_requête_à_partir_de_Excel_Files102[[#This Row],[Total Dpts]]</f>
        <v>132597.20000000001</v>
      </c>
      <c r="H18" s="16">
        <f>Tableau_Lancer_la_requête_à_partir_de_Excel_Files102[[#This Row],[Aide Massif]]/Tableau_Lancer_la_requête_à_partir_de_Excel_Files102[[#This Row],[''Coût total éligible'']]</f>
        <v>0.69738448996765467</v>
      </c>
      <c r="I18" s="15">
        <v>92818.04</v>
      </c>
      <c r="J18" s="15">
        <f>Tableau_Lancer_la_requête_à_partir_de_Excel_Files102[[#This Row],[''FNADT '']]+Tableau_Lancer_la_requête_à_partir_de_Excel_Files102[[#This Row],[''Agriculture'']]</f>
        <v>39779.160000000003</v>
      </c>
      <c r="K18" s="11">
        <v>39779.160000000003</v>
      </c>
      <c r="L18" s="15"/>
      <c r="M18" s="15">
        <f>Tableau_Lancer_la_requête_à_partir_de_Excel_Files102[[#This Row],[''ALPC'']]+Tableau_Lancer_la_requête_à_partir_de_Excel_Files102[[#This Row],[''AURA'']]+Tableau_Lancer_la_requête_à_partir_de_Excel_Files102[[#This Row],[''BFC'']]+Tableau_Lancer_la_requête_à_partir_de_Excel_Files102[[#This Row],[''LRMP'']]</f>
        <v>0</v>
      </c>
      <c r="N18" s="15"/>
      <c r="O18" s="15"/>
      <c r="P18" s="15"/>
      <c r="Q18" s="15"/>
      <c r="R18" s="15">
        <f>Tableau_Lancer_la_requête_à_partir_de_Excel_Files102[[#This Row],[''03'']]+Tableau_Lancer_la_requête_à_partir_de_Excel_Files102[[#This Row],[''07'']]+Tableau_Lancer_la_requête_à_partir_de_Excel_Files102[[#This Row],[''11'']]+Tableau_Lancer_la_requête_à_partir_de_Excel_Files102[[#This Row],[''12'']]+Tableau_Lancer_la_requête_à_partir_de_Excel_Files102[[#This Row],[''15'']]+Tableau_Lancer_la_requête_à_partir_de_Excel_Files102[[#This Row],[''19'']]+Tableau_Lancer_la_requête_à_partir_de_Excel_Files102[[#This Row],[''21'']]+Tableau_Lancer_la_requête_à_partir_de_Excel_Files102[[#This Row],[''23'']]+Tableau_Lancer_la_requête_à_partir_de_Excel_Files102[[#This Row],[''30'']]+Tableau_Lancer_la_requête_à_partir_de_Excel_Files102[[#This Row],[''34'']]+Tableau_Lancer_la_requête_à_partir_de_Excel_Files102[[#This Row],[''42'']]+Tableau_Lancer_la_requête_à_partir_de_Excel_Files102[[#This Row],[''43'']]+Tableau_Lancer_la_requête_à_partir_de_Excel_Files102[[#This Row],[''46'']]+Tableau_Lancer_la_requête_à_partir_de_Excel_Files102[[#This Row],[''48'']]+Tableau_Lancer_la_requête_à_partir_de_Excel_Files102[[#This Row],[''58'']]+Tableau_Lancer_la_requête_à_partir_de_Excel_Files102[[#This Row],[''63'']]+Tableau_Lancer_la_requête_à_partir_de_Excel_Files102[[#This Row],[''69'']]+Tableau_Lancer_la_requête_à_partir_de_Excel_Files102[[#This Row],[''71'']]+Tableau_Lancer_la_requête_à_partir_de_Excel_Files102[[#This Row],[''81'']]+Tableau_Lancer_la_requête_à_partir_de_Excel_Files102[[#This Row],[''82'']]+Tableau_Lancer_la_requête_à_partir_de_Excel_Files102[[#This Row],[''87'']]+Tableau_Lancer_la_requête_à_partir_de_Excel_Files102[[#This Row],[''89'']]</f>
        <v>0</v>
      </c>
      <c r="S18" s="15"/>
      <c r="T18" s="15"/>
      <c r="U18" s="15"/>
      <c r="V18" s="15"/>
      <c r="W18" s="15"/>
      <c r="X18" s="15"/>
      <c r="Y18" s="15"/>
      <c r="Z18" s="15"/>
      <c r="AA18" s="15"/>
      <c r="AB18" s="15"/>
      <c r="AC18" s="15"/>
      <c r="AD18" s="15"/>
      <c r="AE18" s="15"/>
      <c r="AF18" s="15"/>
      <c r="AG18" s="15"/>
      <c r="AH18" s="15"/>
      <c r="AI18" s="15"/>
      <c r="AJ18" s="15"/>
      <c r="AK18" s="15"/>
      <c r="AL18" s="15"/>
      <c r="AM18" s="15"/>
      <c r="AN18" s="15"/>
      <c r="AO18" s="15">
        <v>0</v>
      </c>
      <c r="AP18" s="35" t="s">
        <v>77</v>
      </c>
      <c r="AQ18" s="26"/>
    </row>
    <row r="19" spans="1:80" ht="15.75" thickTop="1" x14ac:dyDescent="0.25">
      <c r="A19" s="70" t="s">
        <v>11</v>
      </c>
      <c r="B19" s="71">
        <f>SUBTOTAL(103,Tableau_Lancer_la_requête_à_partir_de_Excel_Files102[Nom_MO])</f>
        <v>12</v>
      </c>
      <c r="C19" s="71"/>
      <c r="D19" s="72">
        <f>SUBTOTAL(109,Tableau_Lancer_la_requête_à_partir_de_Excel_Files102[''Coût total éligible''])</f>
        <v>3203576.2209999999</v>
      </c>
      <c r="E19" s="72">
        <f>SUBTOTAL(109,Tableau_Lancer_la_requête_à_partir_de_Excel_Files102[Aide 
publique])</f>
        <v>1485133.9999999998</v>
      </c>
      <c r="F19" s="73"/>
      <c r="G19" s="72">
        <f>SUBTOTAL(109,Tableau_Lancer_la_requête_à_partir_de_Excel_Files102[Aide Massif])</f>
        <v>1485133.9999999998</v>
      </c>
      <c r="H19" s="73"/>
      <c r="I19" s="72">
        <f>SUBTOTAL(109,Tableau_Lancer_la_requête_à_partir_de_Excel_Files102[''FEDER''])</f>
        <v>1060126.02</v>
      </c>
      <c r="J19" s="72">
        <f>SUBTOTAL(109,Tableau_Lancer_la_requête_à_partir_de_Excel_Files102[Total Etat])</f>
        <v>301073.98</v>
      </c>
      <c r="K19" s="70"/>
      <c r="L19" s="72">
        <f>SUBTOTAL(109,Tableau_Lancer_la_requête_à_partir_de_Excel_Files102[''Agriculture''])</f>
        <v>0</v>
      </c>
      <c r="M19" s="72">
        <f>SUBTOTAL(109,Tableau_Lancer_la_requête_à_partir_de_Excel_Files102[Total Régions])</f>
        <v>123934</v>
      </c>
      <c r="N19" s="72">
        <f>SUBTOTAL(109,Tableau_Lancer_la_requête_à_partir_de_Excel_Files102[''ALPC''])</f>
        <v>39000</v>
      </c>
      <c r="O19" s="72">
        <f>SUBTOTAL(109,Tableau_Lancer_la_requête_à_partir_de_Excel_Files102[''AURA''])</f>
        <v>69734</v>
      </c>
      <c r="P19" s="72">
        <f>SUBTOTAL(109,Tableau_Lancer_la_requête_à_partir_de_Excel_Files102[''BFC''])</f>
        <v>15200</v>
      </c>
      <c r="Q19" s="72">
        <f>SUBTOTAL(109,Tableau_Lancer_la_requête_à_partir_de_Excel_Files102[''LRMP''])</f>
        <v>0</v>
      </c>
      <c r="R19" s="72">
        <f>SUBTOTAL(109,Tableau_Lancer_la_requête_à_partir_de_Excel_Files102[Total Dpts])</f>
        <v>0</v>
      </c>
      <c r="S19" s="72">
        <f>SUBTOTAL(109,Tableau_Lancer_la_requête_à_partir_de_Excel_Files102[''03''])</f>
        <v>0</v>
      </c>
      <c r="T19" s="72">
        <f>SUBTOTAL(109,Tableau_Lancer_la_requête_à_partir_de_Excel_Files102[''07''])</f>
        <v>0</v>
      </c>
      <c r="U19" s="72">
        <f>SUBTOTAL(109,Tableau_Lancer_la_requête_à_partir_de_Excel_Files102[''11''])</f>
        <v>0</v>
      </c>
      <c r="V19" s="72">
        <f>SUBTOTAL(109,Tableau_Lancer_la_requête_à_partir_de_Excel_Files102[''12''])</f>
        <v>0</v>
      </c>
      <c r="W19" s="72">
        <f>SUBTOTAL(109,Tableau_Lancer_la_requête_à_partir_de_Excel_Files102[''15''])</f>
        <v>0</v>
      </c>
      <c r="X19" s="72">
        <f>SUBTOTAL(109,Tableau_Lancer_la_requête_à_partir_de_Excel_Files102[''19''])</f>
        <v>0</v>
      </c>
      <c r="Y19" s="72">
        <f>SUBTOTAL(109,Tableau_Lancer_la_requête_à_partir_de_Excel_Files102[''21''])</f>
        <v>0</v>
      </c>
      <c r="Z19" s="72">
        <f>SUBTOTAL(109,Tableau_Lancer_la_requête_à_partir_de_Excel_Files102[''23''])</f>
        <v>0</v>
      </c>
      <c r="AA19" s="72">
        <f>SUBTOTAL(109,Tableau_Lancer_la_requête_à_partir_de_Excel_Files102[''30''])</f>
        <v>0</v>
      </c>
      <c r="AB19" s="72">
        <f>SUBTOTAL(109,Tableau_Lancer_la_requête_à_partir_de_Excel_Files102[''34''])</f>
        <v>0</v>
      </c>
      <c r="AC19" s="72">
        <f>SUBTOTAL(109,Tableau_Lancer_la_requête_à_partir_de_Excel_Files102[''42''])</f>
        <v>0</v>
      </c>
      <c r="AD19" s="72">
        <f>SUBTOTAL(109,Tableau_Lancer_la_requête_à_partir_de_Excel_Files102[''43''])</f>
        <v>0</v>
      </c>
      <c r="AE19" s="72">
        <f>SUBTOTAL(109,Tableau_Lancer_la_requête_à_partir_de_Excel_Files102[''46''])</f>
        <v>0</v>
      </c>
      <c r="AF19" s="72">
        <f>SUBTOTAL(109,Tableau_Lancer_la_requête_à_partir_de_Excel_Files102[''48''])</f>
        <v>0</v>
      </c>
      <c r="AG19" s="72">
        <f>SUBTOTAL(109,Tableau_Lancer_la_requête_à_partir_de_Excel_Files102[''58''])</f>
        <v>0</v>
      </c>
      <c r="AH19" s="72">
        <f>SUBTOTAL(109,Tableau_Lancer_la_requête_à_partir_de_Excel_Files102[''63''])</f>
        <v>0</v>
      </c>
      <c r="AI19" s="72">
        <f>SUBTOTAL(109,Tableau_Lancer_la_requête_à_partir_de_Excel_Files102[''69''])</f>
        <v>0</v>
      </c>
      <c r="AJ19" s="72">
        <f>SUBTOTAL(109,Tableau_Lancer_la_requête_à_partir_de_Excel_Files102[''71''])</f>
        <v>0</v>
      </c>
      <c r="AK19" s="72">
        <f>SUBTOTAL(109,Tableau_Lancer_la_requête_à_partir_de_Excel_Files102[''81''])</f>
        <v>0</v>
      </c>
      <c r="AL19" s="72">
        <f>SUBTOTAL(109,Tableau_Lancer_la_requête_à_partir_de_Excel_Files102[''82''])</f>
        <v>0</v>
      </c>
      <c r="AM19" s="72">
        <f>SUBTOTAL(109,Tableau_Lancer_la_requête_à_partir_de_Excel_Files102[''87''])</f>
        <v>0</v>
      </c>
      <c r="AN19" s="72">
        <f>SUBTOTAL(109,Tableau_Lancer_la_requête_à_partir_de_Excel_Files102[''89''])</f>
        <v>0</v>
      </c>
      <c r="AO19" s="72">
        <f>SUBTOTAL(109,Tableau_Lancer_la_requête_à_partir_de_Excel_Files102[''Autre Public''])</f>
        <v>0</v>
      </c>
      <c r="AP19" s="75"/>
      <c r="AQ19" s="30"/>
      <c r="BW19" s="4"/>
      <c r="CB19" s="3"/>
    </row>
    <row r="29" spans="1:80" hidden="1" x14ac:dyDescent="0.25">
      <c r="E29" s="3" t="s">
        <v>352</v>
      </c>
      <c r="F29" s="6" t="s">
        <v>351</v>
      </c>
    </row>
    <row r="30" spans="1:80" hidden="1" x14ac:dyDescent="0.25">
      <c r="D30" t="s">
        <v>112</v>
      </c>
      <c r="E30" s="3">
        <f>SUMIF(Tableau_Lancer_la_requête_à_partir_de_Excel_Files102[Avis Prog],"1-Favorable",Tableau_Lancer_la_requête_à_partir_de_Excel_Files102[''FEDER''])</f>
        <v>882693.76000000013</v>
      </c>
      <c r="F30" s="3" t="e">
        <f>SUMIF(#REF!,"1-Favorable",Tableau_Lancer_la_requête_à_partir_de_Excel_Files102[''FEDER''])</f>
        <v>#REF!</v>
      </c>
    </row>
    <row r="31" spans="1:80" hidden="1" x14ac:dyDescent="0.25">
      <c r="D31" t="s">
        <v>56</v>
      </c>
      <c r="E31" s="3">
        <f>SUMIF(Tableau_Lancer_la_requête_à_partir_de_Excel_Files102[Avis Prog],"1-Favorable",Tableau_Lancer_la_requête_à_partir_de_Excel_Files102[Total Etat])</f>
        <v>301073.98</v>
      </c>
      <c r="F31" s="3" t="e">
        <f>SUMIF(#REF!,"1-Favorable",Tableau_Lancer_la_requête_à_partir_de_Excel_Files102[Total Etat])</f>
        <v>#REF!</v>
      </c>
    </row>
    <row r="32" spans="1:80" hidden="1" x14ac:dyDescent="0.25">
      <c r="D32" t="s">
        <v>57</v>
      </c>
      <c r="E32" s="3">
        <f>SUMIF(Tableau_Lancer_la_requête_à_partir_de_Excel_Files102[Avis Prog],"1-Favorable",Tableau_Lancer_la_requête_à_partir_de_Excel_Files102[Total Régions])</f>
        <v>114934</v>
      </c>
      <c r="F32" s="3" t="e">
        <f>SUMIF(#REF!,"1-Favorable",Tableau_Lancer_la_requête_à_partir_de_Excel_Files102[Total Régions])</f>
        <v>#REF!</v>
      </c>
    </row>
    <row r="33" spans="4:6" hidden="1" x14ac:dyDescent="0.25">
      <c r="D33" s="3" t="s">
        <v>113</v>
      </c>
      <c r="E33" s="3">
        <f>SUMIF(Tableau_Lancer_la_requête_à_partir_de_Excel_Files102[Avis Prog],"1-Favorable",Tableau_Lancer_la_requête_à_partir_de_Excel_Files102[''ALPC''])</f>
        <v>30000</v>
      </c>
      <c r="F33" s="3" t="e">
        <f>SUMIF(#REF!,"1-Favorable",Tableau_Lancer_la_requête_à_partir_de_Excel_Files102[''ALPC''])</f>
        <v>#REF!</v>
      </c>
    </row>
    <row r="34" spans="4:6" hidden="1" x14ac:dyDescent="0.25">
      <c r="D34" s="3" t="s">
        <v>114</v>
      </c>
      <c r="E34" s="3">
        <f>SUMIF(Tableau_Lancer_la_requête_à_partir_de_Excel_Files102[Avis Prog],"1-Favorable",Tableau_Lancer_la_requête_à_partir_de_Excel_Files102[''AURA''])</f>
        <v>69734</v>
      </c>
      <c r="F34" s="3" t="e">
        <f>SUMIF(#REF!,"1-Favorable",Tableau_Lancer_la_requête_à_partir_de_Excel_Files102[''AURA''])</f>
        <v>#REF!</v>
      </c>
    </row>
    <row r="35" spans="4:6" hidden="1" x14ac:dyDescent="0.25">
      <c r="D35" s="3" t="s">
        <v>115</v>
      </c>
      <c r="E35" s="3">
        <f>SUMIF(Tableau_Lancer_la_requête_à_partir_de_Excel_Files102[Avis Prog],"1-Favorable",Tableau_Lancer_la_requête_à_partir_de_Excel_Files102[''BFC''])</f>
        <v>15200</v>
      </c>
      <c r="F35" s="3" t="e">
        <f>SUMIF(#REF!,"1-Favorable",Tableau_Lancer_la_requête_à_partir_de_Excel_Files102[''BFC''])</f>
        <v>#REF!</v>
      </c>
    </row>
    <row r="36" spans="4:6" hidden="1" x14ac:dyDescent="0.25">
      <c r="D36" s="3" t="s">
        <v>116</v>
      </c>
      <c r="E36" s="3">
        <f>SUMIF(Tableau_Lancer_la_requête_à_partir_de_Excel_Files102[Avis Prog],"1-Favorable",Tableau_Lancer_la_requête_à_partir_de_Excel_Files102[''LRMP''])</f>
        <v>0</v>
      </c>
      <c r="F36" s="3" t="e">
        <f>SUMIF(#REF!,"1-Favorable",Tableau_Lancer_la_requête_à_partir_de_Excel_Files102[''LRMP''])</f>
        <v>#REF!</v>
      </c>
    </row>
    <row r="37" spans="4:6" hidden="1" x14ac:dyDescent="0.25">
      <c r="D37" t="s">
        <v>58</v>
      </c>
      <c r="E37" s="3">
        <f>SUMIF(Tableau_Lancer_la_requête_à_partir_de_Excel_Files102[Avis Prog],"1-Favorable",Tableau_Lancer_la_requête_à_partir_de_Excel_Files102[Total Dpts])</f>
        <v>0</v>
      </c>
      <c r="F37" s="3" t="e">
        <f>SUMIF(#REF!,"1-Favorable",Tableau_Lancer_la_requête_à_partir_de_Excel_Files102[Total Dpts])</f>
        <v>#REF!</v>
      </c>
    </row>
    <row r="38" spans="4:6" hidden="1" x14ac:dyDescent="0.25">
      <c r="D38" t="s">
        <v>32</v>
      </c>
      <c r="E38" s="3">
        <f>SUMIF(Tableau_Lancer_la_requête_à_partir_de_Excel_Files102[Avis Prog],"1-Favorable",Tableau_Lancer_la_requête_à_partir_de_Excel_Files102[''03''])</f>
        <v>0</v>
      </c>
      <c r="F38" s="3" t="e">
        <f>SUMIF(#REF!,"1-Favorable",Tableau_Lancer_la_requête_à_partir_de_Excel_Files102[''03''])</f>
        <v>#REF!</v>
      </c>
    </row>
    <row r="39" spans="4:6" hidden="1" x14ac:dyDescent="0.25">
      <c r="D39" t="s">
        <v>33</v>
      </c>
      <c r="E39" s="3">
        <f>SUMIF(Tableau_Lancer_la_requête_à_partir_de_Excel_Files102[Avis Prog],"1-Favorable",Tableau_Lancer_la_requête_à_partir_de_Excel_Files102[''07''])</f>
        <v>0</v>
      </c>
      <c r="F39" s="3" t="e">
        <f>SUMIF(#REF!,"1-Favorable",Tableau_Lancer_la_requête_à_partir_de_Excel_Files102[''07''])</f>
        <v>#REF!</v>
      </c>
    </row>
    <row r="40" spans="4:6" hidden="1" x14ac:dyDescent="0.25">
      <c r="D40" t="s">
        <v>34</v>
      </c>
      <c r="E40" s="3">
        <f>SUMIF(Tableau_Lancer_la_requête_à_partir_de_Excel_Files102[Avis Prog],"1-Favorable",Tableau_Lancer_la_requête_à_partir_de_Excel_Files102[''11''])</f>
        <v>0</v>
      </c>
      <c r="F40" s="3" t="e">
        <f>SUMIF(#REF!,"1-Favorable",Tableau_Lancer_la_requête_à_partir_de_Excel_Files102[''11''])</f>
        <v>#REF!</v>
      </c>
    </row>
    <row r="41" spans="4:6" hidden="1" x14ac:dyDescent="0.25">
      <c r="D41" t="s">
        <v>35</v>
      </c>
      <c r="E41" s="3">
        <f>SUMIF(Tableau_Lancer_la_requête_à_partir_de_Excel_Files102[Avis Prog],"1-Favorable",Tableau_Lancer_la_requête_à_partir_de_Excel_Files102[''12''])</f>
        <v>0</v>
      </c>
      <c r="F41" s="3" t="e">
        <f>SUMIF(#REF!,"1-Favorable",Tableau_Lancer_la_requête_à_partir_de_Excel_Files102[''12''])</f>
        <v>#REF!</v>
      </c>
    </row>
    <row r="42" spans="4:6" hidden="1" x14ac:dyDescent="0.25">
      <c r="D42" t="s">
        <v>36</v>
      </c>
      <c r="E42" s="3">
        <f>SUMIF(Tableau_Lancer_la_requête_à_partir_de_Excel_Files102[Avis Prog],"1-Favorable",Tableau_Lancer_la_requête_à_partir_de_Excel_Files102[''15''])</f>
        <v>0</v>
      </c>
      <c r="F42" s="3" t="e">
        <f>SUMIF(#REF!,"1-Favorable",Tableau_Lancer_la_requête_à_partir_de_Excel_Files102[''15''])</f>
        <v>#REF!</v>
      </c>
    </row>
    <row r="43" spans="4:6" hidden="1" x14ac:dyDescent="0.25">
      <c r="D43" t="s">
        <v>37</v>
      </c>
      <c r="E43" s="3">
        <f>SUMIF(Tableau_Lancer_la_requête_à_partir_de_Excel_Files102[Avis Prog],"1-Favorable",Tableau_Lancer_la_requête_à_partir_de_Excel_Files102[''19''])</f>
        <v>0</v>
      </c>
      <c r="F43" s="3" t="e">
        <f>SUMIF(#REF!,"1-Favorable",Tableau_Lancer_la_requête_à_partir_de_Excel_Files102[''19''])</f>
        <v>#REF!</v>
      </c>
    </row>
    <row r="44" spans="4:6" hidden="1" x14ac:dyDescent="0.25">
      <c r="D44" t="s">
        <v>38</v>
      </c>
      <c r="E44" s="3">
        <f>SUMIF(Tableau_Lancer_la_requête_à_partir_de_Excel_Files102[Avis Prog],"1-Favorable",Tableau_Lancer_la_requête_à_partir_de_Excel_Files102[''21''])</f>
        <v>0</v>
      </c>
      <c r="F44" s="3" t="e">
        <f>SUMIF(#REF!,"1-Favorable",Tableau_Lancer_la_requête_à_partir_de_Excel_Files102[''21''])</f>
        <v>#REF!</v>
      </c>
    </row>
    <row r="45" spans="4:6" hidden="1" x14ac:dyDescent="0.25">
      <c r="D45" t="s">
        <v>39</v>
      </c>
      <c r="E45" s="3">
        <f>SUMIF(Tableau_Lancer_la_requête_à_partir_de_Excel_Files102[Avis Prog],"1-Favorable",Tableau_Lancer_la_requête_à_partir_de_Excel_Files102[''23''])</f>
        <v>0</v>
      </c>
      <c r="F45" s="3" t="e">
        <f>SUMIF(#REF!,"1-Favorable",Tableau_Lancer_la_requête_à_partir_de_Excel_Files102[''23''])</f>
        <v>#REF!</v>
      </c>
    </row>
    <row r="46" spans="4:6" hidden="1" x14ac:dyDescent="0.25">
      <c r="D46" t="s">
        <v>40</v>
      </c>
      <c r="E46" s="3">
        <f>SUMIF(Tableau_Lancer_la_requête_à_partir_de_Excel_Files102[Avis Prog],"1-Favorable",Tableau_Lancer_la_requête_à_partir_de_Excel_Files102[''30''])</f>
        <v>0</v>
      </c>
      <c r="F46" s="3" t="e">
        <f>SUMIF(#REF!,"1-Favorable",Tableau_Lancer_la_requête_à_partir_de_Excel_Files102[''30''])</f>
        <v>#REF!</v>
      </c>
    </row>
    <row r="47" spans="4:6" hidden="1" x14ac:dyDescent="0.25">
      <c r="D47" t="s">
        <v>41</v>
      </c>
      <c r="E47" s="3">
        <f>SUMIF(Tableau_Lancer_la_requête_à_partir_de_Excel_Files102[Avis Prog],"1-Favorable",Tableau_Lancer_la_requête_à_partir_de_Excel_Files102[''34''])</f>
        <v>0</v>
      </c>
      <c r="F47" s="3" t="e">
        <f>SUMIF(#REF!,"1-Favorable",Tableau_Lancer_la_requête_à_partir_de_Excel_Files102[''34''])</f>
        <v>#REF!</v>
      </c>
    </row>
    <row r="48" spans="4:6" hidden="1" x14ac:dyDescent="0.25">
      <c r="D48" t="s">
        <v>42</v>
      </c>
      <c r="E48" s="3">
        <f>SUMIF(Tableau_Lancer_la_requête_à_partir_de_Excel_Files102[Avis Prog],"1-Favorable",Tableau_Lancer_la_requête_à_partir_de_Excel_Files102[''42''])</f>
        <v>0</v>
      </c>
      <c r="F48" s="3" t="e">
        <f>SUMIF(#REF!,"1-Favorable",Tableau_Lancer_la_requête_à_partir_de_Excel_Files102[''42''])</f>
        <v>#REF!</v>
      </c>
    </row>
    <row r="49" spans="4:6" hidden="1" x14ac:dyDescent="0.25">
      <c r="D49" t="s">
        <v>43</v>
      </c>
      <c r="E49" s="3">
        <f>SUMIF(Tableau_Lancer_la_requête_à_partir_de_Excel_Files102[Avis Prog],"1-Favorable",Tableau_Lancer_la_requête_à_partir_de_Excel_Files102[''43''])</f>
        <v>0</v>
      </c>
      <c r="F49" s="3" t="e">
        <f>SUMIF(#REF!,"1-Favorable",Tableau_Lancer_la_requête_à_partir_de_Excel_Files102[''43''])</f>
        <v>#REF!</v>
      </c>
    </row>
    <row r="50" spans="4:6" hidden="1" x14ac:dyDescent="0.25">
      <c r="D50" t="s">
        <v>44</v>
      </c>
      <c r="E50" s="3">
        <f>SUMIF(Tableau_Lancer_la_requête_à_partir_de_Excel_Files102[Avis Prog],"1-Favorable",Tableau_Lancer_la_requête_à_partir_de_Excel_Files102[''46''])</f>
        <v>0</v>
      </c>
      <c r="F50" s="3" t="e">
        <f>SUMIF(#REF!,"1-Favorable",Tableau_Lancer_la_requête_à_partir_de_Excel_Files102[''46''])</f>
        <v>#REF!</v>
      </c>
    </row>
    <row r="51" spans="4:6" hidden="1" x14ac:dyDescent="0.25">
      <c r="D51" t="s">
        <v>45</v>
      </c>
      <c r="E51" s="3">
        <f>SUMIF(Tableau_Lancer_la_requête_à_partir_de_Excel_Files102[Avis Prog],"1-Favorable",Tableau_Lancer_la_requête_à_partir_de_Excel_Files102[''48''])</f>
        <v>0</v>
      </c>
      <c r="F51" s="3" t="e">
        <f>SUMIF(#REF!,"1-Favorable",Tableau_Lancer_la_requête_à_partir_de_Excel_Files102[''48''])</f>
        <v>#REF!</v>
      </c>
    </row>
    <row r="52" spans="4:6" hidden="1" x14ac:dyDescent="0.25">
      <c r="D52" t="s">
        <v>46</v>
      </c>
      <c r="E52" s="3">
        <f>SUMIF(Tableau_Lancer_la_requête_à_partir_de_Excel_Files102[Avis Prog],"1-Favorable",Tableau_Lancer_la_requête_à_partir_de_Excel_Files102[''58''])</f>
        <v>0</v>
      </c>
      <c r="F52" s="3" t="e">
        <f>SUMIF(#REF!,"1-Favorable",Tableau_Lancer_la_requête_à_partir_de_Excel_Files102[''58''])</f>
        <v>#REF!</v>
      </c>
    </row>
    <row r="53" spans="4:6" hidden="1" x14ac:dyDescent="0.25">
      <c r="D53" t="s">
        <v>47</v>
      </c>
      <c r="E53" s="3">
        <f>SUMIF(Tableau_Lancer_la_requête_à_partir_de_Excel_Files102[Avis Prog],"1-Favorable",Tableau_Lancer_la_requête_à_partir_de_Excel_Files102[''63''])</f>
        <v>0</v>
      </c>
      <c r="F53" s="3" t="e">
        <f>SUMIF(#REF!,"1-Favorable",Tableau_Lancer_la_requête_à_partir_de_Excel_Files102[''63''])</f>
        <v>#REF!</v>
      </c>
    </row>
    <row r="54" spans="4:6" hidden="1" x14ac:dyDescent="0.25">
      <c r="D54" t="s">
        <v>48</v>
      </c>
      <c r="E54" s="3">
        <f>SUMIF(Tableau_Lancer_la_requête_à_partir_de_Excel_Files102[Avis Prog],"1-Favorable",Tableau_Lancer_la_requête_à_partir_de_Excel_Files102[''69''])</f>
        <v>0</v>
      </c>
      <c r="F54" s="3" t="e">
        <f>SUMIF(#REF!,"1-Favorable",Tableau_Lancer_la_requête_à_partir_de_Excel_Files102[''69''])</f>
        <v>#REF!</v>
      </c>
    </row>
    <row r="55" spans="4:6" hidden="1" x14ac:dyDescent="0.25">
      <c r="D55" t="s">
        <v>49</v>
      </c>
      <c r="E55" s="3">
        <f>SUMIF(Tableau_Lancer_la_requête_à_partir_de_Excel_Files102[Avis Prog],"1-Favorable",Tableau_Lancer_la_requête_à_partir_de_Excel_Files102[''71''])</f>
        <v>0</v>
      </c>
      <c r="F55" s="3" t="e">
        <f>SUMIF(#REF!,"1-Favorable",Tableau_Lancer_la_requête_à_partir_de_Excel_Files102[''71''])</f>
        <v>#REF!</v>
      </c>
    </row>
    <row r="56" spans="4:6" hidden="1" x14ac:dyDescent="0.25">
      <c r="D56" t="s">
        <v>50</v>
      </c>
      <c r="E56" s="3">
        <f>SUMIF(Tableau_Lancer_la_requête_à_partir_de_Excel_Files102[Avis Prog],"1-Favorable",Tableau_Lancer_la_requête_à_partir_de_Excel_Files102[''81''])</f>
        <v>0</v>
      </c>
      <c r="F56" s="3" t="e">
        <f>SUMIF(#REF!,"1-Favorable",Tableau_Lancer_la_requête_à_partir_de_Excel_Files102[''81''])</f>
        <v>#REF!</v>
      </c>
    </row>
    <row r="57" spans="4:6" hidden="1" x14ac:dyDescent="0.25">
      <c r="D57" t="s">
        <v>51</v>
      </c>
      <c r="E57" s="3">
        <f>SUMIF(Tableau_Lancer_la_requête_à_partir_de_Excel_Files102[Avis Prog],"1-Favorable",Tableau_Lancer_la_requête_à_partir_de_Excel_Files102[''82''])</f>
        <v>0</v>
      </c>
      <c r="F57" s="3" t="e">
        <f>SUMIF(#REF!,"1-Favorable",Tableau_Lancer_la_requête_à_partir_de_Excel_Files102[''82''])</f>
        <v>#REF!</v>
      </c>
    </row>
    <row r="58" spans="4:6" hidden="1" x14ac:dyDescent="0.25">
      <c r="D58" t="s">
        <v>52</v>
      </c>
      <c r="E58" s="3">
        <f>SUMIF(Tableau_Lancer_la_requête_à_partir_de_Excel_Files102[Avis Prog],"1-Favorable",Tableau_Lancer_la_requête_à_partir_de_Excel_Files102[''87''])</f>
        <v>0</v>
      </c>
      <c r="F58" s="3" t="e">
        <f>SUMIF(#REF!,"1-Favorable",Tableau_Lancer_la_requête_à_partir_de_Excel_Files102[''87''])</f>
        <v>#REF!</v>
      </c>
    </row>
    <row r="59" spans="4:6" hidden="1" x14ac:dyDescent="0.25">
      <c r="D59" t="s">
        <v>53</v>
      </c>
      <c r="E59" s="3">
        <f>SUMIF(Tableau_Lancer_la_requête_à_partir_de_Excel_Files102[Avis Prog],"1-Favorable",Tableau_Lancer_la_requête_à_partir_de_Excel_Files102[''89''])</f>
        <v>0</v>
      </c>
      <c r="F59" s="3" t="e">
        <f>SUMIF(#REF!,"1-Favorable",Tableau_Lancer_la_requête_à_partir_de_Excel_Files102[''89''])</f>
        <v>#REF!</v>
      </c>
    </row>
  </sheetData>
  <conditionalFormatting sqref="K7:K18">
    <cfRule type="cellIs" dxfId="850" priority="9" operator="equal">
      <formula>"6-Retiré/Abandon"</formula>
    </cfRule>
    <cfRule type="cellIs" dxfId="849" priority="10" operator="equal">
      <formula>"5-Défavorable"</formula>
    </cfRule>
    <cfRule type="cellIs" dxfId="848" priority="11" operator="equal">
      <formula>"4-Ajournement"</formula>
    </cfRule>
    <cfRule type="cellIs" dxfId="847" priority="12" operator="equal">
      <formula>"1-Favorable"</formula>
    </cfRule>
  </conditionalFormatting>
  <conditionalFormatting sqref="AP7:AP18">
    <cfRule type="cellIs" dxfId="846" priority="5" operator="equal">
      <formula>"6-Retiré/Abandon"</formula>
    </cfRule>
    <cfRule type="cellIs" dxfId="845" priority="6" operator="equal">
      <formula>"5-Défavorable"</formula>
    </cfRule>
    <cfRule type="cellIs" dxfId="844" priority="7" operator="equal">
      <formula>"4-Ajournement"</formula>
    </cfRule>
    <cfRule type="cellIs" dxfId="843" priority="8" operator="equal">
      <formula>"1-Favorable"</formula>
    </cfRule>
  </conditionalFormatting>
  <conditionalFormatting sqref="AQ16:AQ17 AQ10:AQ13">
    <cfRule type="cellIs" dxfId="842" priority="1" operator="equal">
      <formula>"6-Retiré/Abandon"</formula>
    </cfRule>
    <cfRule type="cellIs" dxfId="841" priority="2" operator="equal">
      <formula>"5-Défavorable"</formula>
    </cfRule>
    <cfRule type="cellIs" dxfId="840" priority="3" operator="equal">
      <formula>"4-Ajournement"</formula>
    </cfRule>
    <cfRule type="cellIs" dxfId="839" priority="4" operator="equal">
      <formula>"1-Favorable"</formula>
    </cfRule>
  </conditionalFormatting>
  <dataValidations count="1">
    <dataValidation type="list" allowBlank="1" showInputMessage="1" showErrorMessage="1" sqref="AP7:AP18">
      <formula1>"1-Favorable,4-Ajournement,5-Défavorable,6-Retiré/Abandon"</formula1>
    </dataValidation>
  </dataValidations>
  <printOptions horizontalCentered="1" verticalCentered="1"/>
  <pageMargins left="0.25" right="0.25" top="0.75" bottom="0.75" header="0.3" footer="0.3"/>
  <pageSetup paperSize="8" scale="58" fitToHeight="0"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workbookViewId="0">
      <selection activeCell="B12" sqref="B12"/>
    </sheetView>
  </sheetViews>
  <sheetFormatPr baseColWidth="10" defaultRowHeight="15" x14ac:dyDescent="0.25"/>
  <cols>
    <col min="1" max="1" width="4.140625" style="3" bestFit="1" customWidth="1"/>
    <col min="2" max="2" width="9.28515625" style="3" bestFit="1" customWidth="1"/>
    <col min="3" max="3" width="16" style="3" bestFit="1" customWidth="1"/>
    <col min="4" max="4" width="35.28515625" style="3" customWidth="1"/>
    <col min="5" max="5" width="27.7109375" style="3" customWidth="1"/>
    <col min="6" max="6" width="20.140625" style="3" bestFit="1" customWidth="1"/>
    <col min="7" max="7" width="8.7109375" style="3" bestFit="1" customWidth="1"/>
    <col min="8" max="8" width="10" style="3" bestFit="1" customWidth="1"/>
    <col min="9" max="9" width="17.42578125" style="3" bestFit="1" customWidth="1"/>
    <col min="10" max="10" width="18" style="3" bestFit="1" customWidth="1"/>
    <col min="11" max="11" width="11.5703125" style="3" bestFit="1" customWidth="1"/>
    <col min="12" max="12" width="18" style="3" bestFit="1" customWidth="1"/>
    <col min="13" max="13" width="17.42578125" style="3" bestFit="1" customWidth="1"/>
    <col min="14" max="14" width="10.7109375" style="3" bestFit="1" customWidth="1"/>
    <col min="15" max="15" width="10" style="3" bestFit="1" customWidth="1"/>
    <col min="16" max="16" width="9" style="3" bestFit="1" customWidth="1"/>
    <col min="17" max="17" width="6.28515625" style="3" bestFit="1" customWidth="1"/>
    <col min="18" max="18" width="6.42578125" style="3" bestFit="1" customWidth="1"/>
    <col min="19" max="19" width="7" style="3" bestFit="1" customWidth="1"/>
    <col min="20" max="20" width="10" style="3" bestFit="1" customWidth="1"/>
    <col min="21" max="21" width="6.85546875" style="3" bestFit="1" customWidth="1"/>
    <col min="22" max="22" width="62.42578125" style="3" customWidth="1"/>
    <col min="23" max="16384" width="11.42578125" style="3"/>
  </cols>
  <sheetData>
    <row r="1" spans="1:22" ht="15.75" thickBot="1" x14ac:dyDescent="0.3">
      <c r="A1" s="109" t="s">
        <v>417</v>
      </c>
      <c r="B1" s="110"/>
      <c r="C1" s="110"/>
      <c r="D1" s="111"/>
      <c r="E1" s="88"/>
      <c r="F1" s="89"/>
      <c r="G1" s="89"/>
      <c r="H1" s="89"/>
      <c r="I1" s="89"/>
      <c r="J1" s="89"/>
      <c r="K1" s="89"/>
      <c r="L1" s="89"/>
      <c r="M1" s="89"/>
      <c r="N1" s="89"/>
      <c r="O1" s="89"/>
      <c r="P1" s="89"/>
      <c r="Q1" s="89"/>
      <c r="R1" s="89"/>
      <c r="S1" s="89"/>
      <c r="T1" s="89"/>
      <c r="U1" s="89"/>
      <c r="V1" s="88"/>
    </row>
    <row r="2" spans="1:22" ht="15.75" thickBot="1" x14ac:dyDescent="0.3">
      <c r="A2" s="112" t="s">
        <v>418</v>
      </c>
      <c r="B2" s="112" t="s">
        <v>419</v>
      </c>
      <c r="C2" s="112" t="s">
        <v>420</v>
      </c>
      <c r="D2" s="112" t="s">
        <v>421</v>
      </c>
      <c r="E2" s="112" t="s">
        <v>422</v>
      </c>
      <c r="F2" s="112" t="s">
        <v>423</v>
      </c>
      <c r="G2" s="112" t="s">
        <v>70</v>
      </c>
      <c r="H2" s="112" t="s">
        <v>112</v>
      </c>
      <c r="I2" s="112" t="s">
        <v>424</v>
      </c>
      <c r="J2" s="112" t="s">
        <v>425</v>
      </c>
      <c r="K2" s="112" t="s">
        <v>426</v>
      </c>
      <c r="L2" s="112" t="s">
        <v>427</v>
      </c>
      <c r="M2" s="112" t="s">
        <v>428</v>
      </c>
      <c r="N2" s="112" t="s">
        <v>130</v>
      </c>
      <c r="O2" s="119" t="s">
        <v>429</v>
      </c>
      <c r="P2" s="120"/>
      <c r="Q2" s="120"/>
      <c r="R2" s="120"/>
      <c r="S2" s="120"/>
      <c r="T2" s="121"/>
      <c r="U2" s="122" t="s">
        <v>119</v>
      </c>
      <c r="V2" s="112" t="s">
        <v>128</v>
      </c>
    </row>
    <row r="3" spans="1:22" ht="15.75" thickBot="1" x14ac:dyDescent="0.3">
      <c r="A3" s="113"/>
      <c r="B3" s="113"/>
      <c r="C3" s="113"/>
      <c r="D3" s="113"/>
      <c r="E3" s="113"/>
      <c r="F3" s="113"/>
      <c r="G3" s="113"/>
      <c r="H3" s="113"/>
      <c r="I3" s="113"/>
      <c r="J3" s="113"/>
      <c r="K3" s="113"/>
      <c r="L3" s="113"/>
      <c r="M3" s="113"/>
      <c r="N3" s="113"/>
      <c r="O3" s="90" t="s">
        <v>430</v>
      </c>
      <c r="P3" s="90" t="s">
        <v>431</v>
      </c>
      <c r="Q3" s="90" t="s">
        <v>432</v>
      </c>
      <c r="R3" s="90" t="s">
        <v>433</v>
      </c>
      <c r="S3" s="90" t="s">
        <v>434</v>
      </c>
      <c r="T3" s="90" t="s">
        <v>435</v>
      </c>
      <c r="U3" s="123"/>
      <c r="V3" s="113"/>
    </row>
    <row r="4" spans="1:22" ht="15.75" thickBot="1" x14ac:dyDescent="0.3">
      <c r="A4" s="91"/>
      <c r="B4" s="91"/>
      <c r="C4" s="92"/>
      <c r="D4" s="91"/>
      <c r="E4" s="93"/>
      <c r="F4" s="94"/>
      <c r="G4" s="91"/>
      <c r="H4" s="91"/>
      <c r="I4" s="91"/>
      <c r="J4" s="91"/>
      <c r="K4" s="91"/>
      <c r="L4" s="91"/>
      <c r="M4" s="91"/>
      <c r="N4" s="91"/>
      <c r="O4" s="95"/>
      <c r="P4" s="95"/>
      <c r="Q4" s="95"/>
      <c r="R4" s="95"/>
      <c r="S4" s="95"/>
      <c r="T4" s="95"/>
      <c r="U4" s="96"/>
      <c r="V4" s="96"/>
    </row>
    <row r="5" spans="1:22" ht="15.75" thickBot="1" x14ac:dyDescent="0.3">
      <c r="A5" s="114" t="s">
        <v>436</v>
      </c>
      <c r="B5" s="115"/>
      <c r="C5" s="115"/>
      <c r="D5" s="115"/>
      <c r="E5" s="115"/>
      <c r="F5" s="115"/>
      <c r="G5" s="115"/>
      <c r="H5" s="115"/>
      <c r="I5" s="115"/>
      <c r="J5" s="115"/>
      <c r="K5" s="115"/>
      <c r="L5" s="115"/>
      <c r="M5" s="115"/>
      <c r="N5" s="115"/>
      <c r="O5" s="115"/>
      <c r="P5" s="115"/>
      <c r="Q5" s="115"/>
      <c r="R5" s="115"/>
      <c r="S5" s="115"/>
      <c r="T5" s="115"/>
      <c r="U5" s="115"/>
      <c r="V5" s="116"/>
    </row>
    <row r="6" spans="1:22" ht="30.75" customHeight="1" thickBot="1" x14ac:dyDescent="0.3">
      <c r="A6" s="97"/>
      <c r="B6" s="117" t="s">
        <v>437</v>
      </c>
      <c r="C6" s="118"/>
      <c r="D6" s="98"/>
      <c r="E6" s="98"/>
      <c r="F6" s="98"/>
      <c r="G6" s="98"/>
      <c r="H6" s="98"/>
      <c r="I6" s="98"/>
      <c r="J6" s="98"/>
      <c r="K6" s="98"/>
      <c r="L6" s="98"/>
      <c r="M6" s="98"/>
      <c r="N6" s="98"/>
      <c r="O6" s="98"/>
      <c r="P6" s="98"/>
      <c r="Q6" s="98"/>
      <c r="R6" s="98"/>
      <c r="S6" s="98"/>
      <c r="T6" s="98"/>
      <c r="U6" s="98"/>
      <c r="V6" s="98"/>
    </row>
    <row r="7" spans="1:22" ht="150.75" thickBot="1" x14ac:dyDescent="0.3">
      <c r="A7" s="99"/>
      <c r="B7" s="100" t="s">
        <v>4</v>
      </c>
      <c r="C7" s="99">
        <v>35854</v>
      </c>
      <c r="D7" s="100" t="s">
        <v>438</v>
      </c>
      <c r="E7" s="101" t="s">
        <v>439</v>
      </c>
      <c r="F7" s="99" t="s">
        <v>440</v>
      </c>
      <c r="G7" s="102"/>
      <c r="H7" s="100"/>
      <c r="I7" s="100"/>
      <c r="J7" s="100"/>
      <c r="K7" s="100" t="s">
        <v>441</v>
      </c>
      <c r="L7" s="100"/>
      <c r="M7" s="100"/>
      <c r="N7" s="102"/>
      <c r="O7" s="100"/>
      <c r="P7" s="100"/>
      <c r="Q7" s="100"/>
      <c r="R7" s="100"/>
      <c r="S7" s="100"/>
      <c r="T7" s="100" t="s">
        <v>442</v>
      </c>
      <c r="U7" s="100"/>
      <c r="V7" s="103" t="s">
        <v>443</v>
      </c>
    </row>
    <row r="8" spans="1:22" ht="90.75" thickBot="1" x14ac:dyDescent="0.3">
      <c r="A8" s="104"/>
      <c r="B8" s="100" t="s">
        <v>4</v>
      </c>
      <c r="C8" s="99">
        <v>37403</v>
      </c>
      <c r="D8" s="100" t="s">
        <v>444</v>
      </c>
      <c r="E8" s="100" t="s">
        <v>445</v>
      </c>
      <c r="F8" s="99" t="s">
        <v>446</v>
      </c>
      <c r="G8" s="102"/>
      <c r="H8" s="100"/>
      <c r="I8" s="100"/>
      <c r="J8" s="100"/>
      <c r="K8" s="100" t="s">
        <v>447</v>
      </c>
      <c r="L8" s="105"/>
      <c r="M8" s="105"/>
      <c r="N8" s="102"/>
      <c r="O8" s="100" t="s">
        <v>448</v>
      </c>
      <c r="P8" s="105"/>
      <c r="Q8" s="105"/>
      <c r="R8" s="105"/>
      <c r="S8" s="105"/>
      <c r="T8" s="105"/>
      <c r="U8" s="105"/>
      <c r="V8" s="103" t="s">
        <v>449</v>
      </c>
    </row>
    <row r="9" spans="1:22" ht="90.75" thickBot="1" x14ac:dyDescent="0.3">
      <c r="A9" s="99"/>
      <c r="B9" s="100" t="s">
        <v>4</v>
      </c>
      <c r="C9" s="99">
        <v>36645</v>
      </c>
      <c r="D9" s="100" t="s">
        <v>450</v>
      </c>
      <c r="E9" s="101" t="s">
        <v>451</v>
      </c>
      <c r="F9" s="99" t="s">
        <v>452</v>
      </c>
      <c r="G9" s="102"/>
      <c r="H9" s="100" t="s">
        <v>453</v>
      </c>
      <c r="I9" s="100"/>
      <c r="J9" s="100"/>
      <c r="K9" s="100" t="s">
        <v>454</v>
      </c>
      <c r="L9" s="100"/>
      <c r="M9" s="100"/>
      <c r="N9" s="102"/>
      <c r="O9" s="100"/>
      <c r="P9" s="100"/>
      <c r="Q9" s="100"/>
      <c r="R9" s="100"/>
      <c r="S9" s="100"/>
      <c r="T9" s="100" t="s">
        <v>455</v>
      </c>
      <c r="U9" s="100"/>
      <c r="V9" s="103" t="s">
        <v>456</v>
      </c>
    </row>
  </sheetData>
  <mergeCells count="20">
    <mergeCell ref="A5:V5"/>
    <mergeCell ref="B6:C6"/>
    <mergeCell ref="L2:L3"/>
    <mergeCell ref="M2:M3"/>
    <mergeCell ref="N2:N3"/>
    <mergeCell ref="O2:T2"/>
    <mergeCell ref="U2:U3"/>
    <mergeCell ref="V2:V3"/>
    <mergeCell ref="F2:F3"/>
    <mergeCell ref="G2:G3"/>
    <mergeCell ref="H2:H3"/>
    <mergeCell ref="I2:I3"/>
    <mergeCell ref="J2:J3"/>
    <mergeCell ref="K2:K3"/>
    <mergeCell ref="E2:E3"/>
    <mergeCell ref="A1:D1"/>
    <mergeCell ref="A2:A3"/>
    <mergeCell ref="B2:B3"/>
    <mergeCell ref="C2:C3"/>
    <mergeCell ref="D2:D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8"/>
  <sheetViews>
    <sheetView view="pageBreakPreview" topLeftCell="A10" zoomScale="80" zoomScaleNormal="60" zoomScaleSheetLayoutView="80" workbookViewId="0">
      <selection activeCell="C13" sqref="C13"/>
    </sheetView>
  </sheetViews>
  <sheetFormatPr baseColWidth="10" defaultRowHeight="15" outlineLevelCol="1" x14ac:dyDescent="0.25"/>
  <cols>
    <col min="1" max="1" width="13.85546875" style="3" customWidth="1"/>
    <col min="2" max="2" width="35" style="4" customWidth="1"/>
    <col min="3" max="3" width="48" style="5" customWidth="1"/>
    <col min="4" max="4" width="20.28515625" style="3" customWidth="1"/>
    <col min="5" max="5" width="19.7109375" style="3" bestFit="1" customWidth="1"/>
    <col min="6" max="6" width="12" style="6" customWidth="1"/>
    <col min="7" max="7" width="16" style="3" bestFit="1" customWidth="1"/>
    <col min="8" max="8" width="11.28515625" style="6" customWidth="1"/>
    <col min="9" max="9" width="13.85546875" style="3" bestFit="1"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1.5703125" style="3" bestFit="1" customWidth="1" collapsed="1"/>
    <col min="42" max="42" width="15.42578125" style="3" bestFit="1" customWidth="1"/>
    <col min="43" max="43" width="15.42578125" style="3" hidden="1" customWidth="1"/>
    <col min="44" max="44" width="54.42578125" style="3" customWidth="1"/>
    <col min="45" max="45" width="15.42578125" style="3" bestFit="1" customWidth="1"/>
    <col min="46" max="46" width="17.28515625" style="3" bestFit="1" customWidth="1"/>
    <col min="47" max="47" width="9.42578125" style="3" customWidth="1"/>
    <col min="48" max="62" width="9.7109375" style="3" customWidth="1"/>
    <col min="63" max="63" width="15.140625" style="3" customWidth="1"/>
    <col min="64" max="64" width="14.5703125" style="3" customWidth="1"/>
    <col min="65" max="65" width="18.5703125" style="3" customWidth="1"/>
    <col min="66" max="66" width="12.5703125" style="3" customWidth="1"/>
    <col min="67" max="67" width="20.42578125" style="3" customWidth="1"/>
    <col min="68" max="68" width="12.7109375" style="3" customWidth="1"/>
    <col min="69" max="69" width="9.28515625" style="3" customWidth="1"/>
    <col min="70" max="70" width="14.28515625" style="3" customWidth="1"/>
    <col min="71" max="71" width="11.42578125" style="3" customWidth="1"/>
    <col min="72" max="72" width="9" style="3" customWidth="1"/>
    <col min="73" max="73" width="9.5703125" style="3" customWidth="1"/>
    <col min="74" max="74" width="11" style="3" customWidth="1"/>
    <col min="75" max="75" width="12.7109375" style="3" customWidth="1"/>
    <col min="76" max="78" width="9.7109375" style="3" customWidth="1"/>
    <col min="79" max="79" width="15.140625" style="3" customWidth="1"/>
    <col min="80" max="80" width="17.28515625" style="3" customWidth="1"/>
    <col min="81" max="81" width="49.28515625" style="4" customWidth="1"/>
    <col min="82" max="82" width="17.28515625" style="3" customWidth="1"/>
    <col min="83" max="16384" width="11.42578125" style="3"/>
  </cols>
  <sheetData>
    <row r="1" spans="1:81" ht="18.75" x14ac:dyDescent="0.3">
      <c r="B1" s="21" t="s">
        <v>250</v>
      </c>
      <c r="C1" s="22">
        <v>42523</v>
      </c>
    </row>
    <row r="5" spans="1:81" x14ac:dyDescent="0.25">
      <c r="A5" s="1" t="s">
        <v>132</v>
      </c>
      <c r="B5" s="2"/>
    </row>
    <row r="6" spans="1:81" s="7" customFormat="1" ht="30" x14ac:dyDescent="0.25">
      <c r="A6" s="7" t="s">
        <v>10</v>
      </c>
      <c r="B6" s="7" t="s">
        <v>1</v>
      </c>
      <c r="C6" s="7" t="s">
        <v>2</v>
      </c>
      <c r="D6" s="7" t="s">
        <v>72</v>
      </c>
      <c r="E6" s="7" t="s">
        <v>108</v>
      </c>
      <c r="F6" s="7" t="s">
        <v>73</v>
      </c>
      <c r="G6" s="7" t="s">
        <v>70</v>
      </c>
      <c r="H6" s="7" t="s">
        <v>109</v>
      </c>
      <c r="I6" s="7" t="s">
        <v>54</v>
      </c>
      <c r="J6" s="7" t="s">
        <v>129</v>
      </c>
      <c r="K6" s="7" t="s">
        <v>159</v>
      </c>
      <c r="L6" s="7" t="s">
        <v>27</v>
      </c>
      <c r="M6" s="7" t="s">
        <v>130</v>
      </c>
      <c r="N6" s="7" t="s">
        <v>30</v>
      </c>
      <c r="O6" s="7" t="s">
        <v>28</v>
      </c>
      <c r="P6" s="7" t="s">
        <v>29</v>
      </c>
      <c r="Q6" s="7" t="s">
        <v>31</v>
      </c>
      <c r="R6" s="7" t="s">
        <v>131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c r="AJ6" s="7" t="s">
        <v>49</v>
      </c>
      <c r="AK6" s="7" t="s">
        <v>50</v>
      </c>
      <c r="AL6" s="7" t="s">
        <v>51</v>
      </c>
      <c r="AM6" s="7" t="s">
        <v>52</v>
      </c>
      <c r="AN6" s="7" t="s">
        <v>53</v>
      </c>
      <c r="AO6" s="7" t="s">
        <v>55</v>
      </c>
      <c r="AP6" s="17" t="s">
        <v>110</v>
      </c>
      <c r="AR6" s="31" t="s">
        <v>128</v>
      </c>
    </row>
    <row r="7" spans="1:81" s="10" customFormat="1" ht="45" x14ac:dyDescent="0.25">
      <c r="A7" s="13" t="s">
        <v>133</v>
      </c>
      <c r="B7" s="12" t="s">
        <v>134</v>
      </c>
      <c r="C7" s="12" t="s">
        <v>135</v>
      </c>
      <c r="D7" s="15">
        <v>150287.91</v>
      </c>
      <c r="E7" s="15">
        <f>Tableau_Lancer_la_requête_à_partir_de_Excel_Files1025[[#This Row],[Aide Massif]]+Tableau_Lancer_la_requête_à_partir_de_Excel_Files1025[[#This Row],[''Autre Public'']]</f>
        <v>97273.09</v>
      </c>
      <c r="F7" s="16">
        <f>Tableau_Lancer_la_requête_à_partir_de_Excel_Files1025[[#This Row],[Aide 
publique]]/Tableau_Lancer_la_requête_à_partir_de_Excel_Files1025[[#This Row],[''Coût total éligible'']]</f>
        <v>0.64724494471977145</v>
      </c>
      <c r="G7"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97273.09</v>
      </c>
      <c r="H7" s="16">
        <f>Tableau_Lancer_la_requête_à_partir_de_Excel_Files1025[[#This Row],[Aide Massif]]/Tableau_Lancer_la_requête_à_partir_de_Excel_Files1025[[#This Row],[''Coût total éligible'']]</f>
        <v>0.64724494471977145</v>
      </c>
      <c r="I7" s="15">
        <v>0</v>
      </c>
      <c r="J7" s="15">
        <f>Tableau_Lancer_la_requête_à_partir_de_Excel_Files1025[[#This Row],[''FNADT '']]+Tableau_Lancer_la_requête_à_partir_de_Excel_Files1025[[#This Row],[''Agriculture'']]</f>
        <v>97273.09</v>
      </c>
      <c r="K7" s="11">
        <v>97273.09</v>
      </c>
      <c r="L7" s="15"/>
      <c r="M7" s="15">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7" s="15"/>
      <c r="O7" s="15"/>
      <c r="P7" s="15"/>
      <c r="Q7" s="15"/>
      <c r="R7" s="15">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7" s="15"/>
      <c r="T7" s="15"/>
      <c r="U7" s="15"/>
      <c r="V7" s="15"/>
      <c r="W7" s="15"/>
      <c r="X7" s="15"/>
      <c r="Y7" s="15"/>
      <c r="Z7" s="15"/>
      <c r="AA7" s="15"/>
      <c r="AB7" s="15"/>
      <c r="AC7" s="15"/>
      <c r="AD7" s="15"/>
      <c r="AE7" s="15"/>
      <c r="AF7" s="15"/>
      <c r="AG7" s="15"/>
      <c r="AH7" s="15"/>
      <c r="AI7" s="15"/>
      <c r="AJ7" s="15"/>
      <c r="AK7" s="15"/>
      <c r="AL7" s="15"/>
      <c r="AM7" s="15"/>
      <c r="AN7" s="15"/>
      <c r="AO7" s="15">
        <v>0</v>
      </c>
      <c r="AP7" s="11" t="s">
        <v>77</v>
      </c>
      <c r="AR7" s="24"/>
    </row>
    <row r="8" spans="1:81" s="10" customFormat="1" ht="30" x14ac:dyDescent="0.25">
      <c r="A8" s="13" t="s">
        <v>136</v>
      </c>
      <c r="B8" s="12" t="s">
        <v>137</v>
      </c>
      <c r="C8" s="12" t="s">
        <v>138</v>
      </c>
      <c r="D8" s="15">
        <v>204992.2</v>
      </c>
      <c r="E8" s="15">
        <f>Tableau_Lancer_la_requête_à_partir_de_Excel_Files1025[[#This Row],[Aide Massif]]+Tableau_Lancer_la_requête_à_partir_de_Excel_Files1025[[#This Row],[''Autre Public'']]</f>
        <v>143494.54</v>
      </c>
      <c r="F8" s="16">
        <f>Tableau_Lancer_la_requête_à_partir_de_Excel_Files1025[[#This Row],[Aide 
publique]]/Tableau_Lancer_la_requête_à_partir_de_Excel_Files1025[[#This Row],[''Coût total éligible'']]</f>
        <v>0.7</v>
      </c>
      <c r="G8"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143494.54</v>
      </c>
      <c r="H8" s="16">
        <f>Tableau_Lancer_la_requête_à_partir_de_Excel_Files1025[[#This Row],[Aide Massif]]/Tableau_Lancer_la_requête_à_partir_de_Excel_Files1025[[#This Row],[''Coût total éligible'']]</f>
        <v>0.7</v>
      </c>
      <c r="I8" s="15">
        <v>0</v>
      </c>
      <c r="J8" s="15">
        <f>Tableau_Lancer_la_requête_à_partir_de_Excel_Files1025[[#This Row],[''FNADT '']]+Tableau_Lancer_la_requête_à_partir_de_Excel_Files1025[[#This Row],[''Agriculture'']]</f>
        <v>143494.54</v>
      </c>
      <c r="K8" s="11">
        <v>143494.54</v>
      </c>
      <c r="L8" s="15"/>
      <c r="M8" s="15">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8" s="15"/>
      <c r="O8" s="15"/>
      <c r="P8" s="15"/>
      <c r="Q8" s="15"/>
      <c r="R8" s="15">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8" s="15"/>
      <c r="T8" s="15"/>
      <c r="U8" s="15"/>
      <c r="V8" s="15"/>
      <c r="W8" s="15"/>
      <c r="X8" s="15"/>
      <c r="Y8" s="15"/>
      <c r="Z8" s="15"/>
      <c r="AA8" s="15"/>
      <c r="AB8" s="15"/>
      <c r="AC8" s="15"/>
      <c r="AD8" s="15"/>
      <c r="AE8" s="15"/>
      <c r="AF8" s="15"/>
      <c r="AG8" s="15"/>
      <c r="AH8" s="15"/>
      <c r="AI8" s="15"/>
      <c r="AJ8" s="15"/>
      <c r="AK8" s="15"/>
      <c r="AL8" s="15"/>
      <c r="AM8" s="15"/>
      <c r="AN8" s="15"/>
      <c r="AO8" s="15">
        <v>0</v>
      </c>
      <c r="AP8" s="11" t="s">
        <v>77</v>
      </c>
      <c r="AR8" s="26"/>
    </row>
    <row r="9" spans="1:81" s="10" customFormat="1" ht="45" x14ac:dyDescent="0.25">
      <c r="A9" s="13" t="s">
        <v>139</v>
      </c>
      <c r="B9" s="12" t="s">
        <v>140</v>
      </c>
      <c r="C9" s="12" t="s">
        <v>141</v>
      </c>
      <c r="D9" s="15">
        <v>153917.44999999998</v>
      </c>
      <c r="E9" s="15">
        <f>Tableau_Lancer_la_requête_à_partir_de_Excel_Files1025[[#This Row],[Aide Massif]]+Tableau_Lancer_la_requête_à_partir_de_Excel_Files1025[[#This Row],[''Autre Public'']]</f>
        <v>99931.12</v>
      </c>
      <c r="F9" s="16">
        <f>Tableau_Lancer_la_requête_à_partir_de_Excel_Files1025[[#This Row],[Aide 
publique]]/Tableau_Lancer_la_requête_à_partir_de_Excel_Files1025[[#This Row],[''Coût total éligible'']]</f>
        <v>0.64925140066964471</v>
      </c>
      <c r="G9"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99931.12</v>
      </c>
      <c r="H9" s="16">
        <f>Tableau_Lancer_la_requête_à_partir_de_Excel_Files1025[[#This Row],[Aide Massif]]/Tableau_Lancer_la_requête_à_partir_de_Excel_Files1025[[#This Row],[''Coût total éligible'']]</f>
        <v>0.64925140066964471</v>
      </c>
      <c r="I9" s="15">
        <v>0</v>
      </c>
      <c r="J9" s="15">
        <f>Tableau_Lancer_la_requête_à_partir_de_Excel_Files1025[[#This Row],[''FNADT '']]+Tableau_Lancer_la_requête_à_partir_de_Excel_Files1025[[#This Row],[''Agriculture'']]</f>
        <v>99931.12</v>
      </c>
      <c r="K9" s="11">
        <v>99931.12</v>
      </c>
      <c r="L9" s="15"/>
      <c r="M9" s="15">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9" s="15"/>
      <c r="O9" s="15"/>
      <c r="P9" s="15"/>
      <c r="Q9" s="15"/>
      <c r="R9" s="15">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9" s="15"/>
      <c r="T9" s="15"/>
      <c r="U9" s="15"/>
      <c r="V9" s="15"/>
      <c r="W9" s="15"/>
      <c r="X9" s="15"/>
      <c r="Y9" s="15"/>
      <c r="Z9" s="15"/>
      <c r="AA9" s="15"/>
      <c r="AB9" s="15"/>
      <c r="AC9" s="15"/>
      <c r="AD9" s="15"/>
      <c r="AE9" s="15"/>
      <c r="AF9" s="15"/>
      <c r="AG9" s="15"/>
      <c r="AH9" s="15"/>
      <c r="AI9" s="15"/>
      <c r="AJ9" s="15"/>
      <c r="AK9" s="15"/>
      <c r="AL9" s="15"/>
      <c r="AM9" s="15"/>
      <c r="AN9" s="15"/>
      <c r="AO9" s="15">
        <v>0</v>
      </c>
      <c r="AP9" s="11" t="s">
        <v>77</v>
      </c>
      <c r="AR9" s="24"/>
    </row>
    <row r="10" spans="1:81" s="10" customFormat="1" ht="45" x14ac:dyDescent="0.25">
      <c r="A10" s="13" t="s">
        <v>142</v>
      </c>
      <c r="B10" s="12" t="s">
        <v>143</v>
      </c>
      <c r="C10" s="12" t="s">
        <v>141</v>
      </c>
      <c r="D10" s="15">
        <v>14957.997901715702</v>
      </c>
      <c r="E10" s="15">
        <f>Tableau_Lancer_la_requête_à_partir_de_Excel_Files1025[[#This Row],[Aide Massif]]+Tableau_Lancer_la_requête_à_partir_de_Excel_Files1025[[#This Row],[''Autre Public'']]</f>
        <v>10470.6</v>
      </c>
      <c r="F10" s="16">
        <f>Tableau_Lancer_la_requête_à_partir_de_Excel_Files1025[[#This Row],[Aide 
publique]]/Tableau_Lancer_la_requête_à_partir_de_Excel_Files1025[[#This Row],[''Coût total éligible'']]</f>
        <v>0.70000009819489339</v>
      </c>
      <c r="G10"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10470.6</v>
      </c>
      <c r="H10" s="16">
        <f>Tableau_Lancer_la_requête_à_partir_de_Excel_Files1025[[#This Row],[Aide Massif]]/Tableau_Lancer_la_requête_à_partir_de_Excel_Files1025[[#This Row],[''Coût total éligible'']]</f>
        <v>0.70000009819489339</v>
      </c>
      <c r="I10" s="15">
        <v>0</v>
      </c>
      <c r="J10" s="15">
        <f>Tableau_Lancer_la_requête_à_partir_de_Excel_Files1025[[#This Row],[''FNADT '']]+Tableau_Lancer_la_requête_à_partir_de_Excel_Files1025[[#This Row],[''Agriculture'']]</f>
        <v>10470.6</v>
      </c>
      <c r="K10" s="11">
        <v>10470.6</v>
      </c>
      <c r="L10" s="15"/>
      <c r="M10" s="15">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10" s="15"/>
      <c r="O10" s="15"/>
      <c r="P10" s="15"/>
      <c r="Q10" s="15"/>
      <c r="R10" s="15">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10" s="15"/>
      <c r="T10" s="15"/>
      <c r="U10" s="15"/>
      <c r="V10" s="15"/>
      <c r="W10" s="15"/>
      <c r="X10" s="15"/>
      <c r="Y10" s="15"/>
      <c r="Z10" s="15"/>
      <c r="AA10" s="15"/>
      <c r="AB10" s="15"/>
      <c r="AC10" s="15"/>
      <c r="AD10" s="15"/>
      <c r="AE10" s="15"/>
      <c r="AF10" s="15"/>
      <c r="AG10" s="15"/>
      <c r="AH10" s="15"/>
      <c r="AI10" s="15"/>
      <c r="AJ10" s="15"/>
      <c r="AK10" s="15"/>
      <c r="AL10" s="15"/>
      <c r="AM10" s="15"/>
      <c r="AN10" s="15"/>
      <c r="AO10" s="15">
        <v>0</v>
      </c>
      <c r="AP10" s="11" t="s">
        <v>77</v>
      </c>
      <c r="AR10" s="26"/>
    </row>
    <row r="11" spans="1:81" s="10" customFormat="1" ht="45" x14ac:dyDescent="0.25">
      <c r="A11" s="13" t="s">
        <v>144</v>
      </c>
      <c r="B11" s="12" t="s">
        <v>145</v>
      </c>
      <c r="C11" s="12" t="s">
        <v>141</v>
      </c>
      <c r="D11" s="15">
        <v>244849.49</v>
      </c>
      <c r="E11" s="15">
        <f>Tableau_Lancer_la_requête_à_partir_de_Excel_Files1025[[#This Row],[Aide Massif]]+Tableau_Lancer_la_requête_à_partir_de_Excel_Files1025[[#This Row],[''Autre Public'']]</f>
        <v>165987.14000000001</v>
      </c>
      <c r="F11" s="16">
        <f>Tableau_Lancer_la_requête_à_partir_de_Excel_Files1025[[#This Row],[Aide 
publique]]/Tableau_Lancer_la_requête_à_partir_de_Excel_Files1025[[#This Row],[''Coût total éligible'']]</f>
        <v>0.6779149917771935</v>
      </c>
      <c r="G11"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165987.14000000001</v>
      </c>
      <c r="H11" s="16">
        <f>Tableau_Lancer_la_requête_à_partir_de_Excel_Files1025[[#This Row],[Aide Massif]]/Tableau_Lancer_la_requête_à_partir_de_Excel_Files1025[[#This Row],[''Coût total éligible'']]</f>
        <v>0.6779149917771935</v>
      </c>
      <c r="I11" s="15">
        <v>0</v>
      </c>
      <c r="J11" s="15">
        <f>Tableau_Lancer_la_requête_à_partir_de_Excel_Files1025[[#This Row],[''FNADT '']]+Tableau_Lancer_la_requête_à_partir_de_Excel_Files1025[[#This Row],[''Agriculture'']]</f>
        <v>165987.14000000001</v>
      </c>
      <c r="K11" s="11">
        <v>165987.14000000001</v>
      </c>
      <c r="L11" s="15"/>
      <c r="M11" s="15">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11" s="15"/>
      <c r="O11" s="15"/>
      <c r="P11" s="15"/>
      <c r="Q11" s="15"/>
      <c r="R11" s="15">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11" s="15"/>
      <c r="T11" s="15"/>
      <c r="U11" s="15"/>
      <c r="V11" s="15"/>
      <c r="W11" s="15"/>
      <c r="X11" s="15"/>
      <c r="Y11" s="15"/>
      <c r="Z11" s="15"/>
      <c r="AA11" s="15"/>
      <c r="AB11" s="15"/>
      <c r="AC11" s="15"/>
      <c r="AD11" s="15"/>
      <c r="AE11" s="15"/>
      <c r="AF11" s="15"/>
      <c r="AG11" s="15"/>
      <c r="AH11" s="15"/>
      <c r="AI11" s="15"/>
      <c r="AJ11" s="15"/>
      <c r="AK11" s="15"/>
      <c r="AL11" s="15"/>
      <c r="AM11" s="15"/>
      <c r="AN11" s="15"/>
      <c r="AO11" s="15">
        <v>0</v>
      </c>
      <c r="AP11" s="11" t="s">
        <v>77</v>
      </c>
      <c r="AR11" s="24"/>
    </row>
    <row r="12" spans="1:81" ht="45" x14ac:dyDescent="0.25">
      <c r="A12" s="13" t="s">
        <v>146</v>
      </c>
      <c r="B12" s="12" t="s">
        <v>147</v>
      </c>
      <c r="C12" s="12" t="s">
        <v>141</v>
      </c>
      <c r="D12" s="15">
        <v>25648.73</v>
      </c>
      <c r="E12" s="15">
        <f>Tableau_Lancer_la_requête_à_partir_de_Excel_Files1025[[#This Row],[Aide Massif]]+Tableau_Lancer_la_requête_à_partir_de_Excel_Files1025[[#This Row],[''Autre Public'']]</f>
        <v>17954</v>
      </c>
      <c r="F12" s="16">
        <f>Tableau_Lancer_la_requête_à_partir_de_Excel_Files1025[[#This Row],[Aide 
publique]]/Tableau_Lancer_la_requête_à_partir_de_Excel_Files1025[[#This Row],[''Coût total éligible'']]</f>
        <v>0.69999567230034387</v>
      </c>
      <c r="G12"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17954</v>
      </c>
      <c r="H12" s="16">
        <f>Tableau_Lancer_la_requête_à_partir_de_Excel_Files1025[[#This Row],[Aide Massif]]/Tableau_Lancer_la_requête_à_partir_de_Excel_Files1025[[#This Row],[''Coût total éligible'']]</f>
        <v>0.69999567230034387</v>
      </c>
      <c r="I12" s="15">
        <v>0</v>
      </c>
      <c r="J12" s="15">
        <f>Tableau_Lancer_la_requête_à_partir_de_Excel_Files1025[[#This Row],[''FNADT '']]+Tableau_Lancer_la_requête_à_partir_de_Excel_Files1025[[#This Row],[''Agriculture'']]</f>
        <v>17954</v>
      </c>
      <c r="K12" s="11">
        <v>17954</v>
      </c>
      <c r="L12" s="15"/>
      <c r="M12" s="15">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12" s="15"/>
      <c r="O12" s="15"/>
      <c r="P12" s="15"/>
      <c r="Q12" s="15"/>
      <c r="R12" s="15">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12" s="15"/>
      <c r="T12" s="15"/>
      <c r="U12" s="15"/>
      <c r="V12" s="15"/>
      <c r="W12" s="15"/>
      <c r="X12" s="15"/>
      <c r="Y12" s="15"/>
      <c r="Z12" s="15"/>
      <c r="AA12" s="15"/>
      <c r="AB12" s="15"/>
      <c r="AC12" s="15"/>
      <c r="AD12" s="15"/>
      <c r="AE12" s="15"/>
      <c r="AF12" s="15"/>
      <c r="AG12" s="15"/>
      <c r="AH12" s="15"/>
      <c r="AI12" s="15"/>
      <c r="AJ12" s="15"/>
      <c r="AK12" s="15"/>
      <c r="AL12" s="15"/>
      <c r="AM12" s="15"/>
      <c r="AN12" s="15"/>
      <c r="AO12" s="15">
        <v>0</v>
      </c>
      <c r="AP12" s="11" t="s">
        <v>77</v>
      </c>
      <c r="AR12" s="26"/>
      <c r="BY12" s="4"/>
      <c r="CC12" s="3"/>
    </row>
    <row r="13" spans="1:81" ht="45" x14ac:dyDescent="0.25">
      <c r="A13" s="13" t="s">
        <v>148</v>
      </c>
      <c r="B13" s="12" t="s">
        <v>149</v>
      </c>
      <c r="C13" s="12" t="s">
        <v>150</v>
      </c>
      <c r="D13" s="15">
        <v>26000</v>
      </c>
      <c r="E13" s="15">
        <f>Tableau_Lancer_la_requête_à_partir_de_Excel_Files1025[[#This Row],[Aide Massif]]+Tableau_Lancer_la_requête_à_partir_de_Excel_Files1025[[#This Row],[''Autre Public'']]</f>
        <v>18200</v>
      </c>
      <c r="F13" s="16">
        <f>Tableau_Lancer_la_requête_à_partir_de_Excel_Files1025[[#This Row],[Aide 
publique]]/Tableau_Lancer_la_requête_à_partir_de_Excel_Files1025[[#This Row],[''Coût total éligible'']]</f>
        <v>0.7</v>
      </c>
      <c r="G13"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18200</v>
      </c>
      <c r="H13" s="16">
        <f>Tableau_Lancer_la_requête_à_partir_de_Excel_Files1025[[#This Row],[Aide Massif]]/Tableau_Lancer_la_requête_à_partir_de_Excel_Files1025[[#This Row],[''Coût total éligible'']]</f>
        <v>0.7</v>
      </c>
      <c r="I13" s="15">
        <v>0</v>
      </c>
      <c r="J13" s="15">
        <f>Tableau_Lancer_la_requête_à_partir_de_Excel_Files1025[[#This Row],[''FNADT '']]+Tableau_Lancer_la_requête_à_partir_de_Excel_Files1025[[#This Row],[''Agriculture'']]</f>
        <v>18200</v>
      </c>
      <c r="K13" s="11">
        <v>18200</v>
      </c>
      <c r="L13" s="15"/>
      <c r="M13" s="15">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13" s="15"/>
      <c r="O13" s="15"/>
      <c r="P13" s="15"/>
      <c r="Q13" s="15"/>
      <c r="R13" s="15">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13" s="15"/>
      <c r="T13" s="15"/>
      <c r="U13" s="15"/>
      <c r="V13" s="15"/>
      <c r="W13" s="15"/>
      <c r="X13" s="15"/>
      <c r="Y13" s="15"/>
      <c r="Z13" s="15"/>
      <c r="AA13" s="15"/>
      <c r="AB13" s="15"/>
      <c r="AC13" s="15"/>
      <c r="AD13" s="15"/>
      <c r="AE13" s="15"/>
      <c r="AF13" s="15"/>
      <c r="AG13" s="15"/>
      <c r="AH13" s="15"/>
      <c r="AI13" s="15"/>
      <c r="AJ13" s="15"/>
      <c r="AK13" s="15"/>
      <c r="AL13" s="15"/>
      <c r="AM13" s="15"/>
      <c r="AN13" s="15"/>
      <c r="AO13" s="15">
        <v>0</v>
      </c>
      <c r="AP13" s="11" t="s">
        <v>77</v>
      </c>
      <c r="AR13" s="24"/>
      <c r="BY13" s="4"/>
      <c r="CC13" s="3"/>
    </row>
    <row r="14" spans="1:81" ht="60" x14ac:dyDescent="0.25">
      <c r="A14" s="6" t="s">
        <v>151</v>
      </c>
      <c r="B14" s="5" t="s">
        <v>152</v>
      </c>
      <c r="C14" s="5" t="s">
        <v>153</v>
      </c>
      <c r="D14" s="8">
        <v>347686</v>
      </c>
      <c r="E14" s="8">
        <f>Tableau_Lancer_la_requête_à_partir_de_Excel_Files1025[[#This Row],[Aide Massif]]+Tableau_Lancer_la_requête_à_partir_de_Excel_Files1025[[#This Row],[''Autre Public'']]</f>
        <v>173843</v>
      </c>
      <c r="F14" s="9">
        <f>Tableau_Lancer_la_requête_à_partir_de_Excel_Files1025[[#This Row],[Aide 
publique]]/Tableau_Lancer_la_requête_à_partir_de_Excel_Files1025[[#This Row],[''Coût total éligible'']]</f>
        <v>0.5</v>
      </c>
      <c r="G14"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173843</v>
      </c>
      <c r="H14" s="9">
        <f>Tableau_Lancer_la_requête_à_partir_de_Excel_Files1025[[#This Row],[Aide Massif]]/Tableau_Lancer_la_requête_à_partir_de_Excel_Files1025[[#This Row],[''Coût total éligible'']]</f>
        <v>0.5</v>
      </c>
      <c r="I14" s="8">
        <v>0</v>
      </c>
      <c r="J14" s="8">
        <f>Tableau_Lancer_la_requête_à_partir_de_Excel_Files1025[[#This Row],[''FNADT '']]+Tableau_Lancer_la_requête_à_partir_de_Excel_Files1025[[#This Row],[''Agriculture'']]</f>
        <v>104306</v>
      </c>
      <c r="K14" s="10">
        <v>104306</v>
      </c>
      <c r="L14" s="8"/>
      <c r="M14" s="60">
        <f>Tableau_Lancer_la_requête_à_partir_de_Excel_Files1025[[#This Row],[''ALPC'']]+Tableau_Lancer_la_requête_à_partir_de_Excel_Files1025[[#This Row],[''AURA'']]+Tableau_Lancer_la_requête_à_partir_de_Excel_Files1025[[#This Row],[''BFC'']]+Tableau_Lancer_la_requête_à_partir_de_Excel_Files1025[[#This Row],[''LRMP'']]</f>
        <v>69537</v>
      </c>
      <c r="N14" s="8"/>
      <c r="O14" s="8"/>
      <c r="P14" s="8"/>
      <c r="Q14" s="8">
        <v>69537</v>
      </c>
      <c r="R14" s="8">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14" s="8"/>
      <c r="T14" s="8"/>
      <c r="U14" s="8"/>
      <c r="V14" s="8"/>
      <c r="W14" s="8"/>
      <c r="X14" s="8"/>
      <c r="Y14" s="8"/>
      <c r="Z14" s="8"/>
      <c r="AA14" s="8"/>
      <c r="AB14" s="8"/>
      <c r="AC14" s="8"/>
      <c r="AD14" s="8"/>
      <c r="AE14" s="8"/>
      <c r="AF14" s="8"/>
      <c r="AG14" s="8"/>
      <c r="AH14" s="8"/>
      <c r="AI14" s="8"/>
      <c r="AJ14" s="8"/>
      <c r="AK14" s="8"/>
      <c r="AL14" s="8"/>
      <c r="AM14" s="8"/>
      <c r="AN14" s="8"/>
      <c r="AO14" s="8">
        <v>0</v>
      </c>
      <c r="AP14" s="10" t="s">
        <v>77</v>
      </c>
      <c r="AR14" s="27"/>
      <c r="BY14" s="4"/>
      <c r="CC14" s="3"/>
    </row>
    <row r="15" spans="1:81" ht="60" x14ac:dyDescent="0.25">
      <c r="A15" s="13" t="s">
        <v>154</v>
      </c>
      <c r="B15" s="12" t="s">
        <v>155</v>
      </c>
      <c r="C15" s="12" t="s">
        <v>156</v>
      </c>
      <c r="D15" s="76">
        <v>249600</v>
      </c>
      <c r="E15" s="76">
        <f>Tableau_Lancer_la_requête_à_partir_de_Excel_Files1025[[#This Row],[Aide Massif]]+Tableau_Lancer_la_requête_à_partir_de_Excel_Files1025[[#This Row],[''Autre Public'']]</f>
        <v>124800</v>
      </c>
      <c r="F15" s="77">
        <f>Tableau_Lancer_la_requête_à_partir_de_Excel_Files1025[[#This Row],[Aide 
publique]]/Tableau_Lancer_la_requête_à_partir_de_Excel_Files1025[[#This Row],[''Coût total éligible'']]</f>
        <v>0.5</v>
      </c>
      <c r="G15" s="76">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124800</v>
      </c>
      <c r="H15" s="77">
        <f>Tableau_Lancer_la_requête_à_partir_de_Excel_Files1025[[#This Row],[Aide Massif]]/Tableau_Lancer_la_requête_à_partir_de_Excel_Files1025[[#This Row],[''Coût total éligible'']]</f>
        <v>0.5</v>
      </c>
      <c r="I15" s="76">
        <v>0</v>
      </c>
      <c r="J15" s="76">
        <f>Tableau_Lancer_la_requête_à_partir_de_Excel_Files1025[[#This Row],[''FNADT '']]+Tableau_Lancer_la_requête_à_partir_de_Excel_Files1025[[#This Row],[''Agriculture'']]</f>
        <v>124800</v>
      </c>
      <c r="K15" s="78">
        <v>124800</v>
      </c>
      <c r="L15" s="76"/>
      <c r="M15" s="76">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15" s="76"/>
      <c r="O15" s="76"/>
      <c r="P15" s="76"/>
      <c r="Q15" s="76"/>
      <c r="R15" s="76">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15" s="76"/>
      <c r="T15" s="76"/>
      <c r="U15" s="76"/>
      <c r="V15" s="76"/>
      <c r="W15" s="76"/>
      <c r="X15" s="76"/>
      <c r="Y15" s="76"/>
      <c r="Z15" s="76"/>
      <c r="AA15" s="76"/>
      <c r="AB15" s="76"/>
      <c r="AC15" s="76"/>
      <c r="AD15" s="76"/>
      <c r="AE15" s="76"/>
      <c r="AF15" s="76"/>
      <c r="AG15" s="76"/>
      <c r="AH15" s="76"/>
      <c r="AI15" s="76"/>
      <c r="AJ15" s="76"/>
      <c r="AK15" s="76"/>
      <c r="AL15" s="76"/>
      <c r="AM15" s="76"/>
      <c r="AN15" s="76"/>
      <c r="AO15" s="76">
        <v>0</v>
      </c>
      <c r="AP15" s="11" t="s">
        <v>77</v>
      </c>
      <c r="AR15" s="28" t="s">
        <v>413</v>
      </c>
      <c r="BY15" s="4"/>
      <c r="CC15" s="3"/>
    </row>
    <row r="16" spans="1:81" ht="60" x14ac:dyDescent="0.25">
      <c r="A16" s="13" t="s">
        <v>157</v>
      </c>
      <c r="B16" s="12" t="s">
        <v>79</v>
      </c>
      <c r="C16" s="12" t="s">
        <v>156</v>
      </c>
      <c r="D16" s="15">
        <v>104803.39</v>
      </c>
      <c r="E16" s="15">
        <f>Tableau_Lancer_la_requête_à_partir_de_Excel_Files1025[[#This Row],[Aide Massif]]+Tableau_Lancer_la_requête_à_partir_de_Excel_Files1025[[#This Row],[''Autre Public'']]</f>
        <v>52401.7</v>
      </c>
      <c r="F16" s="16">
        <f>Tableau_Lancer_la_requête_à_partir_de_Excel_Files1025[[#This Row],[Aide 
publique]]/Tableau_Lancer_la_requête_à_partir_de_Excel_Files1025[[#This Row],[''Coût total éligible'']]</f>
        <v>0.50000004770838036</v>
      </c>
      <c r="G16"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52401.7</v>
      </c>
      <c r="H16" s="16">
        <f>Tableau_Lancer_la_requête_à_partir_de_Excel_Files1025[[#This Row],[Aide Massif]]/Tableau_Lancer_la_requête_à_partir_de_Excel_Files1025[[#This Row],[''Coût total éligible'']]</f>
        <v>0.50000004770838036</v>
      </c>
      <c r="I16" s="15">
        <v>0</v>
      </c>
      <c r="J16" s="15">
        <f>Tableau_Lancer_la_requête_à_partir_de_Excel_Files1025[[#This Row],[''FNADT '']]+Tableau_Lancer_la_requête_à_partir_de_Excel_Files1025[[#This Row],[''Agriculture'']]</f>
        <v>52401.7</v>
      </c>
      <c r="K16" s="11">
        <v>52401.7</v>
      </c>
      <c r="L16" s="15"/>
      <c r="M16" s="15">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16" s="15"/>
      <c r="O16" s="15"/>
      <c r="P16" s="15"/>
      <c r="Q16" s="15"/>
      <c r="R16" s="15">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16" s="15"/>
      <c r="T16" s="15"/>
      <c r="U16" s="15"/>
      <c r="V16" s="15"/>
      <c r="W16" s="15"/>
      <c r="X16" s="15"/>
      <c r="Y16" s="15"/>
      <c r="Z16" s="15"/>
      <c r="AA16" s="15"/>
      <c r="AB16" s="15"/>
      <c r="AC16" s="15"/>
      <c r="AD16" s="15"/>
      <c r="AE16" s="15"/>
      <c r="AF16" s="15"/>
      <c r="AG16" s="15"/>
      <c r="AH16" s="15"/>
      <c r="AI16" s="15"/>
      <c r="AJ16" s="15"/>
      <c r="AK16" s="15"/>
      <c r="AL16" s="15"/>
      <c r="AM16" s="15"/>
      <c r="AN16" s="15"/>
      <c r="AO16" s="15">
        <v>0</v>
      </c>
      <c r="AP16" s="11" t="s">
        <v>77</v>
      </c>
      <c r="AR16" s="26"/>
      <c r="BY16" s="4"/>
      <c r="CC16" s="3"/>
    </row>
    <row r="17" spans="1:81" s="7" customFormat="1" ht="60.75" thickBot="1" x14ac:dyDescent="0.3">
      <c r="A17" s="13" t="s">
        <v>158</v>
      </c>
      <c r="B17" s="12" t="s">
        <v>106</v>
      </c>
      <c r="C17" s="12" t="s">
        <v>156</v>
      </c>
      <c r="D17" s="15">
        <v>240416.27</v>
      </c>
      <c r="E17" s="15">
        <f>Tableau_Lancer_la_requête_à_partir_de_Excel_Files1025[[#This Row],[Aide Massif]]+Tableau_Lancer_la_requête_à_partir_de_Excel_Files1025[[#This Row],[''Autre Public'']]</f>
        <v>0</v>
      </c>
      <c r="F17" s="16">
        <f>Tableau_Lancer_la_requête_à_partir_de_Excel_Files1025[[#This Row],[Aide 
publique]]/Tableau_Lancer_la_requête_à_partir_de_Excel_Files1025[[#This Row],[''Coût total éligible'']]</f>
        <v>0</v>
      </c>
      <c r="G17" s="15">
        <f>Tableau_Lancer_la_requête_à_partir_de_Excel_Files1025[[#This Row],[''FEDER'']]+Tableau_Lancer_la_requête_à_partir_de_Excel_Files1025[[#This Row],[Total Etat]]+Tableau_Lancer_la_requête_à_partir_de_Excel_Files1025[[#This Row],[Total Régions]]+Tableau_Lancer_la_requête_à_partir_de_Excel_Files1025[[#This Row],[Total Dpts]]</f>
        <v>0</v>
      </c>
      <c r="H17" s="16">
        <f>Tableau_Lancer_la_requête_à_partir_de_Excel_Files1025[[#This Row],[Aide Massif]]/Tableau_Lancer_la_requête_à_partir_de_Excel_Files1025[[#This Row],[''Coût total éligible'']]</f>
        <v>0</v>
      </c>
      <c r="I17" s="15">
        <v>0</v>
      </c>
      <c r="J17" s="15">
        <f>Tableau_Lancer_la_requête_à_partir_de_Excel_Files1025[[#This Row],[''FNADT '']]+Tableau_Lancer_la_requête_à_partir_de_Excel_Files1025[[#This Row],[''Agriculture'']]</f>
        <v>0</v>
      </c>
      <c r="K17" s="11"/>
      <c r="L17" s="15"/>
      <c r="M17" s="15">
        <f>Tableau_Lancer_la_requête_à_partir_de_Excel_Files1025[[#This Row],[''ALPC'']]+Tableau_Lancer_la_requête_à_partir_de_Excel_Files1025[[#This Row],[''AURA'']]+Tableau_Lancer_la_requête_à_partir_de_Excel_Files1025[[#This Row],[''BFC'']]+Tableau_Lancer_la_requête_à_partir_de_Excel_Files1025[[#This Row],[''LRMP'']]</f>
        <v>0</v>
      </c>
      <c r="N17" s="15"/>
      <c r="O17" s="15"/>
      <c r="P17" s="15"/>
      <c r="Q17" s="15"/>
      <c r="R17" s="15">
        <f>Tableau_Lancer_la_requête_à_partir_de_Excel_Files1025[[#This Row],[''03'']]+Tableau_Lancer_la_requête_à_partir_de_Excel_Files1025[[#This Row],[''07'']]+Tableau_Lancer_la_requête_à_partir_de_Excel_Files1025[[#This Row],[''11'']]+Tableau_Lancer_la_requête_à_partir_de_Excel_Files1025[[#This Row],[''12'']]+Tableau_Lancer_la_requête_à_partir_de_Excel_Files1025[[#This Row],[''15'']]+Tableau_Lancer_la_requête_à_partir_de_Excel_Files1025[[#This Row],[''19'']]+Tableau_Lancer_la_requête_à_partir_de_Excel_Files1025[[#This Row],[''21'']]+Tableau_Lancer_la_requête_à_partir_de_Excel_Files1025[[#This Row],[''23'']]+Tableau_Lancer_la_requête_à_partir_de_Excel_Files1025[[#This Row],[''30'']]+Tableau_Lancer_la_requête_à_partir_de_Excel_Files1025[[#This Row],[''34'']]+Tableau_Lancer_la_requête_à_partir_de_Excel_Files1025[[#This Row],[''42'']]+Tableau_Lancer_la_requête_à_partir_de_Excel_Files1025[[#This Row],[''43'']]+Tableau_Lancer_la_requête_à_partir_de_Excel_Files1025[[#This Row],[''46'']]+Tableau_Lancer_la_requête_à_partir_de_Excel_Files1025[[#This Row],[''48'']]+Tableau_Lancer_la_requête_à_partir_de_Excel_Files1025[[#This Row],[''58'']]+Tableau_Lancer_la_requête_à_partir_de_Excel_Files1025[[#This Row],[''63'']]+Tableau_Lancer_la_requête_à_partir_de_Excel_Files1025[[#This Row],[''69'']]+Tableau_Lancer_la_requête_à_partir_de_Excel_Files1025[[#This Row],[''71'']]+Tableau_Lancer_la_requête_à_partir_de_Excel_Files1025[[#This Row],[''81'']]+Tableau_Lancer_la_requête_à_partir_de_Excel_Files1025[[#This Row],[''82'']]+Tableau_Lancer_la_requête_à_partir_de_Excel_Files1025[[#This Row],[''87'']]+Tableau_Lancer_la_requête_à_partir_de_Excel_Files1025[[#This Row],[''89'']]</f>
        <v>0</v>
      </c>
      <c r="S17" s="15"/>
      <c r="T17" s="15"/>
      <c r="U17" s="15"/>
      <c r="V17" s="15"/>
      <c r="W17" s="15"/>
      <c r="X17" s="15"/>
      <c r="Y17" s="15"/>
      <c r="Z17" s="15"/>
      <c r="AA17" s="15"/>
      <c r="AB17" s="15"/>
      <c r="AC17" s="15"/>
      <c r="AD17" s="15"/>
      <c r="AE17" s="15"/>
      <c r="AF17" s="15"/>
      <c r="AG17" s="15"/>
      <c r="AH17" s="15"/>
      <c r="AI17" s="15"/>
      <c r="AJ17" s="15"/>
      <c r="AK17" s="15"/>
      <c r="AL17" s="15"/>
      <c r="AM17" s="15"/>
      <c r="AN17" s="15"/>
      <c r="AO17" s="15">
        <v>0</v>
      </c>
      <c r="AP17" s="11" t="s">
        <v>107</v>
      </c>
      <c r="AR17" s="24" t="s">
        <v>255</v>
      </c>
    </row>
    <row r="18" spans="1:81" s="10" customFormat="1" ht="15.75" thickTop="1" x14ac:dyDescent="0.25">
      <c r="A18" s="70" t="s">
        <v>11</v>
      </c>
      <c r="B18" s="71">
        <f>SUBTOTAL(103,Tableau_Lancer_la_requête_à_partir_de_Excel_Files1025[Nom_MO])</f>
        <v>11</v>
      </c>
      <c r="C18" s="71"/>
      <c r="D18" s="72">
        <f>SUBTOTAL(109,Tableau_Lancer_la_requête_à_partir_de_Excel_Files1025[''Coût total éligible''])</f>
        <v>1763159.4379017155</v>
      </c>
      <c r="E18" s="72">
        <f>SUBTOTAL(109,Tableau_Lancer_la_requête_à_partir_de_Excel_Files1025[Aide 
publique])</f>
        <v>904355.19</v>
      </c>
      <c r="F18" s="73"/>
      <c r="G18" s="72">
        <f>SUBTOTAL(109,Tableau_Lancer_la_requête_à_partir_de_Excel_Files1025[Aide Massif])</f>
        <v>904355.19</v>
      </c>
      <c r="H18" s="73"/>
      <c r="I18" s="72">
        <f>SUBTOTAL(109,Tableau_Lancer_la_requête_à_partir_de_Excel_Files1025[''FEDER''])</f>
        <v>0</v>
      </c>
      <c r="J18" s="72">
        <f>SUBTOTAL(109,Tableau_Lancer_la_requête_à_partir_de_Excel_Files1025[Total Etat])</f>
        <v>834818.19</v>
      </c>
      <c r="K18" s="70"/>
      <c r="L18" s="72">
        <f>SUBTOTAL(109,Tableau_Lancer_la_requête_à_partir_de_Excel_Files1025[''Agriculture''])</f>
        <v>0</v>
      </c>
      <c r="M18" s="72">
        <f>SUBTOTAL(109,Tableau_Lancer_la_requête_à_partir_de_Excel_Files1025[Total Régions])</f>
        <v>69537</v>
      </c>
      <c r="N18" s="72">
        <f>SUBTOTAL(109,Tableau_Lancer_la_requête_à_partir_de_Excel_Files1025[''ALPC''])</f>
        <v>0</v>
      </c>
      <c r="O18" s="72">
        <f>SUBTOTAL(109,Tableau_Lancer_la_requête_à_partir_de_Excel_Files1025[''AURA''])</f>
        <v>0</v>
      </c>
      <c r="P18" s="72">
        <f>SUBTOTAL(109,Tableau_Lancer_la_requête_à_partir_de_Excel_Files1025[''BFC''])</f>
        <v>0</v>
      </c>
      <c r="Q18" s="72">
        <f>SUBTOTAL(109,Tableau_Lancer_la_requête_à_partir_de_Excel_Files1025[''LRMP''])</f>
        <v>69537</v>
      </c>
      <c r="R18" s="72">
        <f>SUBTOTAL(109,Tableau_Lancer_la_requête_à_partir_de_Excel_Files1025[Total Dpts])</f>
        <v>0</v>
      </c>
      <c r="S18" s="72">
        <f>SUBTOTAL(109,Tableau_Lancer_la_requête_à_partir_de_Excel_Files1025[''03''])</f>
        <v>0</v>
      </c>
      <c r="T18" s="72">
        <f>SUBTOTAL(109,Tableau_Lancer_la_requête_à_partir_de_Excel_Files1025[''07''])</f>
        <v>0</v>
      </c>
      <c r="U18" s="72">
        <f>SUBTOTAL(109,Tableau_Lancer_la_requête_à_partir_de_Excel_Files1025[''11''])</f>
        <v>0</v>
      </c>
      <c r="V18" s="72">
        <f>SUBTOTAL(109,Tableau_Lancer_la_requête_à_partir_de_Excel_Files1025[''12''])</f>
        <v>0</v>
      </c>
      <c r="W18" s="72">
        <f>SUBTOTAL(109,Tableau_Lancer_la_requête_à_partir_de_Excel_Files1025[''15''])</f>
        <v>0</v>
      </c>
      <c r="X18" s="72">
        <f>SUBTOTAL(109,Tableau_Lancer_la_requête_à_partir_de_Excel_Files1025[''19''])</f>
        <v>0</v>
      </c>
      <c r="Y18" s="72">
        <f>SUBTOTAL(109,Tableau_Lancer_la_requête_à_partir_de_Excel_Files1025[''21''])</f>
        <v>0</v>
      </c>
      <c r="Z18" s="72">
        <f>SUBTOTAL(109,Tableau_Lancer_la_requête_à_partir_de_Excel_Files1025[''23''])</f>
        <v>0</v>
      </c>
      <c r="AA18" s="72">
        <f>SUBTOTAL(109,Tableau_Lancer_la_requête_à_partir_de_Excel_Files1025[''30''])</f>
        <v>0</v>
      </c>
      <c r="AB18" s="72">
        <f>SUBTOTAL(109,Tableau_Lancer_la_requête_à_partir_de_Excel_Files1025[''34''])</f>
        <v>0</v>
      </c>
      <c r="AC18" s="72">
        <f>SUBTOTAL(109,Tableau_Lancer_la_requête_à_partir_de_Excel_Files1025[''42''])</f>
        <v>0</v>
      </c>
      <c r="AD18" s="72">
        <f>SUBTOTAL(109,Tableau_Lancer_la_requête_à_partir_de_Excel_Files1025[''43''])</f>
        <v>0</v>
      </c>
      <c r="AE18" s="72">
        <f>SUBTOTAL(109,Tableau_Lancer_la_requête_à_partir_de_Excel_Files1025[''46''])</f>
        <v>0</v>
      </c>
      <c r="AF18" s="72">
        <f>SUBTOTAL(109,Tableau_Lancer_la_requête_à_partir_de_Excel_Files1025[''48''])</f>
        <v>0</v>
      </c>
      <c r="AG18" s="72">
        <f>SUBTOTAL(109,Tableau_Lancer_la_requête_à_partir_de_Excel_Files1025[''58''])</f>
        <v>0</v>
      </c>
      <c r="AH18" s="72">
        <f>SUBTOTAL(109,Tableau_Lancer_la_requête_à_partir_de_Excel_Files1025[''63''])</f>
        <v>0</v>
      </c>
      <c r="AI18" s="72">
        <f>SUBTOTAL(109,Tableau_Lancer_la_requête_à_partir_de_Excel_Files1025[''69''])</f>
        <v>0</v>
      </c>
      <c r="AJ18" s="72">
        <f>SUBTOTAL(109,Tableau_Lancer_la_requête_à_partir_de_Excel_Files1025[''71''])</f>
        <v>0</v>
      </c>
      <c r="AK18" s="72">
        <f>SUBTOTAL(109,Tableau_Lancer_la_requête_à_partir_de_Excel_Files1025[''81''])</f>
        <v>0</v>
      </c>
      <c r="AL18" s="72">
        <f>SUBTOTAL(109,Tableau_Lancer_la_requête_à_partir_de_Excel_Files1025[''82''])</f>
        <v>0</v>
      </c>
      <c r="AM18" s="72">
        <f>SUBTOTAL(109,Tableau_Lancer_la_requête_à_partir_de_Excel_Files1025[''87''])</f>
        <v>0</v>
      </c>
      <c r="AN18" s="72">
        <f>SUBTOTAL(109,Tableau_Lancer_la_requête_à_partir_de_Excel_Files1025[''89''])</f>
        <v>0</v>
      </c>
      <c r="AO18" s="72">
        <f>SUBTOTAL(109,Tableau_Lancer_la_requête_à_partir_de_Excel_Files1025[''Autre Public''])</f>
        <v>0</v>
      </c>
      <c r="AP18" s="74"/>
      <c r="AR18" s="29"/>
    </row>
    <row r="19" spans="1:81" x14ac:dyDescent="0.25">
      <c r="CB19" s="4"/>
      <c r="CC19" s="3"/>
    </row>
    <row r="28" spans="1:81" hidden="1" x14ac:dyDescent="0.25">
      <c r="E28" s="3" t="s">
        <v>352</v>
      </c>
      <c r="F28" s="6" t="s">
        <v>351</v>
      </c>
    </row>
    <row r="29" spans="1:81" hidden="1" x14ac:dyDescent="0.25">
      <c r="D29" t="s">
        <v>112</v>
      </c>
      <c r="E29" s="3">
        <f>SUMIF(Tableau_Lancer_la_requête_à_partir_de_Excel_Files1025[Avis Prog],"1-Favorable",Tableau_Lancer_la_requête_à_partir_de_Excel_Files1025[''FEDER''])</f>
        <v>0</v>
      </c>
      <c r="F29" s="3" t="e">
        <f>SUMIF(#REF!,"1-Favorable",Tableau_Lancer_la_requête_à_partir_de_Excel_Files1025[''FEDER''])</f>
        <v>#REF!</v>
      </c>
    </row>
    <row r="30" spans="1:81" hidden="1" x14ac:dyDescent="0.25">
      <c r="D30" t="s">
        <v>56</v>
      </c>
      <c r="E30" s="3">
        <f>SUMIF(Tableau_Lancer_la_requête_à_partir_de_Excel_Files1025[Avis Prog],"1-Favorable",Tableau_Lancer_la_requête_à_partir_de_Excel_Files1025[Total Etat])</f>
        <v>834818.19</v>
      </c>
      <c r="F30" s="3" t="e">
        <f>SUMIF(#REF!,"1-Favorable",Tableau_Lancer_la_requête_à_partir_de_Excel_Files1025[Total Etat])</f>
        <v>#REF!</v>
      </c>
    </row>
    <row r="31" spans="1:81" hidden="1" x14ac:dyDescent="0.25">
      <c r="D31" t="s">
        <v>57</v>
      </c>
      <c r="E31" s="3">
        <f>SUMIF(Tableau_Lancer_la_requête_à_partir_de_Excel_Files1025[Avis Prog],"1-Favorable",Tableau_Lancer_la_requête_à_partir_de_Excel_Files1025[Total Régions])</f>
        <v>69537</v>
      </c>
      <c r="F31" s="3" t="e">
        <f>SUMIF(#REF!,"1-Favorable",Tableau_Lancer_la_requête_à_partir_de_Excel_Files1025[Total Régions])</f>
        <v>#REF!</v>
      </c>
    </row>
    <row r="32" spans="1:81" hidden="1" x14ac:dyDescent="0.25">
      <c r="D32" s="3" t="s">
        <v>113</v>
      </c>
      <c r="E32" s="3">
        <f>SUMIF(Tableau_Lancer_la_requête_à_partir_de_Excel_Files1025[Avis Prog],"1-Favorable",Tableau_Lancer_la_requête_à_partir_de_Excel_Files1025[''ALPC''])</f>
        <v>0</v>
      </c>
      <c r="F32" s="3" t="e">
        <f>SUMIF(#REF!,"1-Favorable",Tableau_Lancer_la_requête_à_partir_de_Excel_Files1025[''ALPC''])</f>
        <v>#REF!</v>
      </c>
    </row>
    <row r="33" spans="4:6" hidden="1" x14ac:dyDescent="0.25">
      <c r="D33" s="3" t="s">
        <v>114</v>
      </c>
      <c r="E33" s="3">
        <f>SUMIF(Tableau_Lancer_la_requête_à_partir_de_Excel_Files1025[Avis Prog],"1-Favorable",Tableau_Lancer_la_requête_à_partir_de_Excel_Files1025[''AURA''])</f>
        <v>0</v>
      </c>
      <c r="F33" s="3" t="e">
        <f>SUMIF(#REF!,"1-Favorable",Tableau_Lancer_la_requête_à_partir_de_Excel_Files1025[''AURA''])</f>
        <v>#REF!</v>
      </c>
    </row>
    <row r="34" spans="4:6" hidden="1" x14ac:dyDescent="0.25">
      <c r="D34" s="3" t="s">
        <v>115</v>
      </c>
      <c r="E34" s="3">
        <f>SUMIF(Tableau_Lancer_la_requête_à_partir_de_Excel_Files1025[Avis Prog],"1-Favorable",Tableau_Lancer_la_requête_à_partir_de_Excel_Files1025[''BFC''])</f>
        <v>0</v>
      </c>
      <c r="F34" s="3" t="e">
        <f>SUMIF(#REF!,"1-Favorable",Tableau_Lancer_la_requête_à_partir_de_Excel_Files1025[''BFC''])</f>
        <v>#REF!</v>
      </c>
    </row>
    <row r="35" spans="4:6" hidden="1" x14ac:dyDescent="0.25">
      <c r="D35" s="3" t="s">
        <v>116</v>
      </c>
      <c r="E35" s="3">
        <f>SUMIF(Tableau_Lancer_la_requête_à_partir_de_Excel_Files1025[Avis Prog],"1-Favorable",Tableau_Lancer_la_requête_à_partir_de_Excel_Files1025[''LRMP''])</f>
        <v>69537</v>
      </c>
      <c r="F35" s="3" t="e">
        <f>SUMIF(#REF!,"1-Favorable",Tableau_Lancer_la_requête_à_partir_de_Excel_Files1025[''LRMP''])</f>
        <v>#REF!</v>
      </c>
    </row>
    <row r="36" spans="4:6" hidden="1" x14ac:dyDescent="0.25">
      <c r="D36" t="s">
        <v>58</v>
      </c>
      <c r="E36" s="3">
        <f>SUMIF(Tableau_Lancer_la_requête_à_partir_de_Excel_Files1025[Avis Prog],"1-Favorable",Tableau_Lancer_la_requête_à_partir_de_Excel_Files1025[Total Dpts])</f>
        <v>0</v>
      </c>
      <c r="F36" s="3" t="e">
        <f>SUMIF(#REF!,"1-Favorable",Tableau_Lancer_la_requête_à_partir_de_Excel_Files1025[Total Dpts])</f>
        <v>#REF!</v>
      </c>
    </row>
    <row r="37" spans="4:6" hidden="1" x14ac:dyDescent="0.25">
      <c r="D37" t="s">
        <v>32</v>
      </c>
      <c r="E37" s="3">
        <f>SUMIF(Tableau_Lancer_la_requête_à_partir_de_Excel_Files1025[Avis Prog],"1-Favorable",Tableau_Lancer_la_requête_à_partir_de_Excel_Files1025[''03''])</f>
        <v>0</v>
      </c>
      <c r="F37" s="3" t="e">
        <f>SUMIF(#REF!,"1-Favorable",Tableau_Lancer_la_requête_à_partir_de_Excel_Files1025[''03''])</f>
        <v>#REF!</v>
      </c>
    </row>
    <row r="38" spans="4:6" hidden="1" x14ac:dyDescent="0.25">
      <c r="D38" t="s">
        <v>33</v>
      </c>
      <c r="E38" s="3">
        <f>SUMIF(Tableau_Lancer_la_requête_à_partir_de_Excel_Files1025[Avis Prog],"1-Favorable",Tableau_Lancer_la_requête_à_partir_de_Excel_Files1025[''07''])</f>
        <v>0</v>
      </c>
      <c r="F38" s="3" t="e">
        <f>SUMIF(#REF!,"1-Favorable",Tableau_Lancer_la_requête_à_partir_de_Excel_Files1025[''07''])</f>
        <v>#REF!</v>
      </c>
    </row>
    <row r="39" spans="4:6" hidden="1" x14ac:dyDescent="0.25">
      <c r="D39" t="s">
        <v>34</v>
      </c>
      <c r="E39" s="3">
        <f>SUMIF(Tableau_Lancer_la_requête_à_partir_de_Excel_Files1025[Avis Prog],"1-Favorable",Tableau_Lancer_la_requête_à_partir_de_Excel_Files1025[''11''])</f>
        <v>0</v>
      </c>
      <c r="F39" s="3" t="e">
        <f>SUMIF(#REF!,"1-Favorable",Tableau_Lancer_la_requête_à_partir_de_Excel_Files1025[''11''])</f>
        <v>#REF!</v>
      </c>
    </row>
    <row r="40" spans="4:6" hidden="1" x14ac:dyDescent="0.25">
      <c r="D40" t="s">
        <v>35</v>
      </c>
      <c r="E40" s="3">
        <f>SUMIF(Tableau_Lancer_la_requête_à_partir_de_Excel_Files1025[Avis Prog],"1-Favorable",Tableau_Lancer_la_requête_à_partir_de_Excel_Files1025[''12''])</f>
        <v>0</v>
      </c>
      <c r="F40" s="3" t="e">
        <f>SUMIF(#REF!,"1-Favorable",Tableau_Lancer_la_requête_à_partir_de_Excel_Files1025[''12''])</f>
        <v>#REF!</v>
      </c>
    </row>
    <row r="41" spans="4:6" hidden="1" x14ac:dyDescent="0.25">
      <c r="D41" t="s">
        <v>36</v>
      </c>
      <c r="E41" s="3">
        <f>SUMIF(Tableau_Lancer_la_requête_à_partir_de_Excel_Files1025[Avis Prog],"1-Favorable",Tableau_Lancer_la_requête_à_partir_de_Excel_Files1025[''15''])</f>
        <v>0</v>
      </c>
      <c r="F41" s="3" t="e">
        <f>SUMIF(#REF!,"1-Favorable",Tableau_Lancer_la_requête_à_partir_de_Excel_Files1025[''15''])</f>
        <v>#REF!</v>
      </c>
    </row>
    <row r="42" spans="4:6" hidden="1" x14ac:dyDescent="0.25">
      <c r="D42" t="s">
        <v>37</v>
      </c>
      <c r="E42" s="3">
        <f>SUMIF(Tableau_Lancer_la_requête_à_partir_de_Excel_Files1025[Avis Prog],"1-Favorable",Tableau_Lancer_la_requête_à_partir_de_Excel_Files1025[''19''])</f>
        <v>0</v>
      </c>
      <c r="F42" s="3" t="e">
        <f>SUMIF(#REF!,"1-Favorable",Tableau_Lancer_la_requête_à_partir_de_Excel_Files1025[''19''])</f>
        <v>#REF!</v>
      </c>
    </row>
    <row r="43" spans="4:6" hidden="1" x14ac:dyDescent="0.25">
      <c r="D43" t="s">
        <v>38</v>
      </c>
      <c r="E43" s="3">
        <f>SUMIF(Tableau_Lancer_la_requête_à_partir_de_Excel_Files1025[Avis Prog],"1-Favorable",Tableau_Lancer_la_requête_à_partir_de_Excel_Files1025[''21''])</f>
        <v>0</v>
      </c>
      <c r="F43" s="3" t="e">
        <f>SUMIF(#REF!,"1-Favorable",Tableau_Lancer_la_requête_à_partir_de_Excel_Files1025[''21''])</f>
        <v>#REF!</v>
      </c>
    </row>
    <row r="44" spans="4:6" hidden="1" x14ac:dyDescent="0.25">
      <c r="D44" t="s">
        <v>39</v>
      </c>
      <c r="E44" s="3">
        <f>SUMIF(Tableau_Lancer_la_requête_à_partir_de_Excel_Files1025[Avis Prog],"1-Favorable",Tableau_Lancer_la_requête_à_partir_de_Excel_Files1025[''23''])</f>
        <v>0</v>
      </c>
      <c r="F44" s="3" t="e">
        <f>SUMIF(#REF!,"1-Favorable",Tableau_Lancer_la_requête_à_partir_de_Excel_Files1025[''23''])</f>
        <v>#REF!</v>
      </c>
    </row>
    <row r="45" spans="4:6" hidden="1" x14ac:dyDescent="0.25">
      <c r="D45" t="s">
        <v>40</v>
      </c>
      <c r="E45" s="3">
        <f>SUMIF(Tableau_Lancer_la_requête_à_partir_de_Excel_Files1025[Avis Prog],"1-Favorable",Tableau_Lancer_la_requête_à_partir_de_Excel_Files1025[''30''])</f>
        <v>0</v>
      </c>
      <c r="F45" s="3" t="e">
        <f>SUMIF(#REF!,"1-Favorable",Tableau_Lancer_la_requête_à_partir_de_Excel_Files1025[''30''])</f>
        <v>#REF!</v>
      </c>
    </row>
    <row r="46" spans="4:6" hidden="1" x14ac:dyDescent="0.25">
      <c r="D46" t="s">
        <v>41</v>
      </c>
      <c r="E46" s="3">
        <f>SUMIF(Tableau_Lancer_la_requête_à_partir_de_Excel_Files1025[Avis Prog],"1-Favorable",Tableau_Lancer_la_requête_à_partir_de_Excel_Files1025[''34''])</f>
        <v>0</v>
      </c>
      <c r="F46" s="3" t="e">
        <f>SUMIF(#REF!,"1-Favorable",Tableau_Lancer_la_requête_à_partir_de_Excel_Files1025[''34''])</f>
        <v>#REF!</v>
      </c>
    </row>
    <row r="47" spans="4:6" hidden="1" x14ac:dyDescent="0.25">
      <c r="D47" t="s">
        <v>42</v>
      </c>
      <c r="E47" s="3">
        <f>SUMIF(Tableau_Lancer_la_requête_à_partir_de_Excel_Files1025[Avis Prog],"1-Favorable",Tableau_Lancer_la_requête_à_partir_de_Excel_Files1025[''42''])</f>
        <v>0</v>
      </c>
      <c r="F47" s="3" t="e">
        <f>SUMIF(#REF!,"1-Favorable",Tableau_Lancer_la_requête_à_partir_de_Excel_Files1025[''42''])</f>
        <v>#REF!</v>
      </c>
    </row>
    <row r="48" spans="4:6" hidden="1" x14ac:dyDescent="0.25">
      <c r="D48" t="s">
        <v>43</v>
      </c>
      <c r="E48" s="3">
        <f>SUMIF(Tableau_Lancer_la_requête_à_partir_de_Excel_Files1025[Avis Prog],"1-Favorable",Tableau_Lancer_la_requête_à_partir_de_Excel_Files1025[''43''])</f>
        <v>0</v>
      </c>
      <c r="F48" s="3" t="e">
        <f>SUMIF(#REF!,"1-Favorable",Tableau_Lancer_la_requête_à_partir_de_Excel_Files1025[''43''])</f>
        <v>#REF!</v>
      </c>
    </row>
    <row r="49" spans="4:6" hidden="1" x14ac:dyDescent="0.25">
      <c r="D49" t="s">
        <v>44</v>
      </c>
      <c r="E49" s="3">
        <f>SUMIF(Tableau_Lancer_la_requête_à_partir_de_Excel_Files1025[Avis Prog],"1-Favorable",Tableau_Lancer_la_requête_à_partir_de_Excel_Files1025[''46''])</f>
        <v>0</v>
      </c>
      <c r="F49" s="3" t="e">
        <f>SUMIF(#REF!,"1-Favorable",Tableau_Lancer_la_requête_à_partir_de_Excel_Files1025[''46''])</f>
        <v>#REF!</v>
      </c>
    </row>
    <row r="50" spans="4:6" hidden="1" x14ac:dyDescent="0.25">
      <c r="D50" t="s">
        <v>45</v>
      </c>
      <c r="E50" s="3">
        <f>SUMIF(Tableau_Lancer_la_requête_à_partir_de_Excel_Files1025[Avis Prog],"1-Favorable",Tableau_Lancer_la_requête_à_partir_de_Excel_Files1025[''48''])</f>
        <v>0</v>
      </c>
      <c r="F50" s="3" t="e">
        <f>SUMIF(#REF!,"1-Favorable",Tableau_Lancer_la_requête_à_partir_de_Excel_Files1025[''48''])</f>
        <v>#REF!</v>
      </c>
    </row>
    <row r="51" spans="4:6" hidden="1" x14ac:dyDescent="0.25">
      <c r="D51" t="s">
        <v>46</v>
      </c>
      <c r="E51" s="3">
        <f>SUMIF(Tableau_Lancer_la_requête_à_partir_de_Excel_Files1025[Avis Prog],"1-Favorable",Tableau_Lancer_la_requête_à_partir_de_Excel_Files1025[''58''])</f>
        <v>0</v>
      </c>
      <c r="F51" s="3" t="e">
        <f>SUMIF(#REF!,"1-Favorable",Tableau_Lancer_la_requête_à_partir_de_Excel_Files1025[''58''])</f>
        <v>#REF!</v>
      </c>
    </row>
    <row r="52" spans="4:6" hidden="1" x14ac:dyDescent="0.25">
      <c r="D52" t="s">
        <v>47</v>
      </c>
      <c r="E52" s="3">
        <f>SUMIF(Tableau_Lancer_la_requête_à_partir_de_Excel_Files1025[Avis Prog],"1-Favorable",Tableau_Lancer_la_requête_à_partir_de_Excel_Files1025[''63''])</f>
        <v>0</v>
      </c>
      <c r="F52" s="3" t="e">
        <f>SUMIF(#REF!,"1-Favorable",Tableau_Lancer_la_requête_à_partir_de_Excel_Files1025[''63''])</f>
        <v>#REF!</v>
      </c>
    </row>
    <row r="53" spans="4:6" hidden="1" x14ac:dyDescent="0.25">
      <c r="D53" t="s">
        <v>48</v>
      </c>
      <c r="E53" s="3">
        <f>SUMIF(Tableau_Lancer_la_requête_à_partir_de_Excel_Files1025[Avis Prog],"1-Favorable",Tableau_Lancer_la_requête_à_partir_de_Excel_Files1025[''69''])</f>
        <v>0</v>
      </c>
      <c r="F53" s="3" t="e">
        <f>SUMIF(#REF!,"1-Favorable",Tableau_Lancer_la_requête_à_partir_de_Excel_Files1025[''69''])</f>
        <v>#REF!</v>
      </c>
    </row>
    <row r="54" spans="4:6" hidden="1" x14ac:dyDescent="0.25">
      <c r="D54" t="s">
        <v>49</v>
      </c>
      <c r="E54" s="3">
        <f>SUMIF(Tableau_Lancer_la_requête_à_partir_de_Excel_Files1025[Avis Prog],"1-Favorable",Tableau_Lancer_la_requête_à_partir_de_Excel_Files1025[''71''])</f>
        <v>0</v>
      </c>
      <c r="F54" s="3" t="e">
        <f>SUMIF(#REF!,"1-Favorable",Tableau_Lancer_la_requête_à_partir_de_Excel_Files1025[''71''])</f>
        <v>#REF!</v>
      </c>
    </row>
    <row r="55" spans="4:6" hidden="1" x14ac:dyDescent="0.25">
      <c r="D55" t="s">
        <v>50</v>
      </c>
      <c r="E55" s="3">
        <f>SUMIF(Tableau_Lancer_la_requête_à_partir_de_Excel_Files1025[Avis Prog],"1-Favorable",Tableau_Lancer_la_requête_à_partir_de_Excel_Files1025[''81''])</f>
        <v>0</v>
      </c>
      <c r="F55" s="3" t="e">
        <f>SUMIF(#REF!,"1-Favorable",Tableau_Lancer_la_requête_à_partir_de_Excel_Files1025[''81''])</f>
        <v>#REF!</v>
      </c>
    </row>
    <row r="56" spans="4:6" hidden="1" x14ac:dyDescent="0.25">
      <c r="D56" t="s">
        <v>51</v>
      </c>
      <c r="E56" s="3">
        <f>SUMIF(Tableau_Lancer_la_requête_à_partir_de_Excel_Files1025[Avis Prog],"1-Favorable",Tableau_Lancer_la_requête_à_partir_de_Excel_Files1025[''82''])</f>
        <v>0</v>
      </c>
      <c r="F56" s="3" t="e">
        <f>SUMIF(#REF!,"1-Favorable",Tableau_Lancer_la_requête_à_partir_de_Excel_Files1025[''82''])</f>
        <v>#REF!</v>
      </c>
    </row>
    <row r="57" spans="4:6" hidden="1" x14ac:dyDescent="0.25">
      <c r="D57" t="s">
        <v>52</v>
      </c>
      <c r="E57" s="3">
        <f>SUMIF(Tableau_Lancer_la_requête_à_partir_de_Excel_Files1025[Avis Prog],"1-Favorable",Tableau_Lancer_la_requête_à_partir_de_Excel_Files1025[''87''])</f>
        <v>0</v>
      </c>
      <c r="F57" s="3" t="e">
        <f>SUMIF(#REF!,"1-Favorable",Tableau_Lancer_la_requête_à_partir_de_Excel_Files1025[''87''])</f>
        <v>#REF!</v>
      </c>
    </row>
    <row r="58" spans="4:6" hidden="1" x14ac:dyDescent="0.25">
      <c r="D58" t="s">
        <v>53</v>
      </c>
      <c r="E58" s="3">
        <f>SUMIF(Tableau_Lancer_la_requête_à_partir_de_Excel_Files1025[Avis Prog],"1-Favorable",Tableau_Lancer_la_requête_à_partir_de_Excel_Files1025[''89''])</f>
        <v>0</v>
      </c>
      <c r="F58" s="3" t="e">
        <f>SUMIF(#REF!,"1-Favorable",Tableau_Lancer_la_requête_à_partir_de_Excel_Files1025[''89''])</f>
        <v>#REF!</v>
      </c>
    </row>
  </sheetData>
  <conditionalFormatting sqref="K7:K17 AP7:AP17">
    <cfRule type="cellIs" dxfId="751" priority="17" operator="equal">
      <formula>"6-Retiré/Abandon"</formula>
    </cfRule>
    <cfRule type="cellIs" dxfId="750" priority="18" operator="equal">
      <formula>"5-Défavorable"</formula>
    </cfRule>
    <cfRule type="cellIs" dxfId="749" priority="19" operator="equal">
      <formula>"4-Ajournement"</formula>
    </cfRule>
    <cfRule type="cellIs" dxfId="748" priority="20" operator="equal">
      <formula>"1-Favorable"</formula>
    </cfRule>
  </conditionalFormatting>
  <conditionalFormatting sqref="AR7:AR13 AR16">
    <cfRule type="cellIs" dxfId="747" priority="5" operator="equal">
      <formula>"6-Retiré/Abandon"</formula>
    </cfRule>
    <cfRule type="cellIs" dxfId="746" priority="6" operator="equal">
      <formula>"5-Défavorable"</formula>
    </cfRule>
    <cfRule type="cellIs" dxfId="745" priority="7" operator="equal">
      <formula>"4-Ajournement"</formula>
    </cfRule>
    <cfRule type="cellIs" dxfId="744" priority="8" operator="equal">
      <formula>"1-Favorable"</formula>
    </cfRule>
  </conditionalFormatting>
  <conditionalFormatting sqref="AR17">
    <cfRule type="cellIs" dxfId="743" priority="1" operator="equal">
      <formula>"6-Retiré/Abandon"</formula>
    </cfRule>
    <cfRule type="cellIs" dxfId="742" priority="2" operator="equal">
      <formula>"5-Défavorable"</formula>
    </cfRule>
    <cfRule type="cellIs" dxfId="741" priority="3" operator="equal">
      <formula>"4-Ajournement"</formula>
    </cfRule>
    <cfRule type="cellIs" dxfId="740" priority="4" operator="equal">
      <formula>"1-Favorable"</formula>
    </cfRule>
  </conditionalFormatting>
  <dataValidations count="1">
    <dataValidation type="list" allowBlank="1" showInputMessage="1" showErrorMessage="1" sqref="AP7:AP17">
      <formula1>"1-Favorable,4-Ajournement,5-Défavorable,6-Retiré/Abandon"</formula1>
    </dataValidation>
  </dataValidations>
  <printOptions horizontalCentered="1" verticalCentered="1"/>
  <pageMargins left="0.25" right="0.25" top="0.75" bottom="0.75" header="0.3" footer="0.3"/>
  <pageSetup paperSize="8" scale="64"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8"/>
  <sheetViews>
    <sheetView view="pageBreakPreview" zoomScale="80" zoomScaleNormal="60" zoomScaleSheetLayoutView="80" workbookViewId="0">
      <selection activeCell="AP14" sqref="AP14"/>
    </sheetView>
  </sheetViews>
  <sheetFormatPr baseColWidth="10" defaultRowHeight="15" outlineLevelCol="1" x14ac:dyDescent="0.25"/>
  <cols>
    <col min="1" max="1" width="13.85546875" style="3" customWidth="1"/>
    <col min="2" max="2" width="35" style="4" customWidth="1"/>
    <col min="3" max="3" width="48" style="5" customWidth="1"/>
    <col min="4" max="4" width="15.5703125" style="3" customWidth="1"/>
    <col min="5" max="5" width="15.28515625" style="3" customWidth="1"/>
    <col min="6" max="6" width="12" style="6" customWidth="1"/>
    <col min="7" max="7" width="16" style="3" bestFit="1" customWidth="1"/>
    <col min="8" max="8" width="11.28515625" style="6" customWidth="1"/>
    <col min="9" max="9" width="17" style="3"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3.140625" style="3" customWidth="1" collapsed="1"/>
    <col min="42" max="42" width="15.42578125" style="3" bestFit="1" customWidth="1"/>
    <col min="43" max="43" width="15.42578125" style="3" hidden="1" customWidth="1"/>
    <col min="44" max="44" width="64" style="10" customWidth="1"/>
    <col min="45" max="45" width="15.42578125" style="3" bestFit="1" customWidth="1"/>
    <col min="46" max="46" width="17.28515625" style="3" bestFit="1" customWidth="1"/>
    <col min="47" max="47" width="9.42578125" style="3" customWidth="1"/>
    <col min="48" max="62" width="9.7109375" style="3" customWidth="1"/>
    <col min="63" max="63" width="15.140625" style="3" customWidth="1"/>
    <col min="64" max="64" width="14.5703125" style="3" customWidth="1"/>
    <col min="65" max="65" width="18.5703125" style="3" customWidth="1"/>
    <col min="66" max="66" width="12.5703125" style="3" customWidth="1"/>
    <col min="67" max="67" width="20.42578125" style="3" customWidth="1"/>
    <col min="68" max="68" width="12.7109375" style="3" customWidth="1"/>
    <col min="69" max="69" width="9.28515625" style="3" customWidth="1"/>
    <col min="70" max="70" width="14.28515625" style="3" customWidth="1"/>
    <col min="71" max="71" width="11.42578125" style="3" customWidth="1"/>
    <col min="72" max="72" width="9" style="3" customWidth="1"/>
    <col min="73" max="73" width="9.5703125" style="3" customWidth="1"/>
    <col min="74" max="74" width="11" style="3" customWidth="1"/>
    <col min="75" max="75" width="12.7109375" style="3" customWidth="1"/>
    <col min="76" max="78" width="9.7109375" style="3" customWidth="1"/>
    <col min="79" max="79" width="15.140625" style="3" customWidth="1"/>
    <col min="80" max="80" width="17.28515625" style="3" customWidth="1"/>
    <col min="81" max="81" width="49.28515625" style="4" customWidth="1"/>
    <col min="82" max="82" width="17.28515625" style="3" customWidth="1"/>
    <col min="83" max="16384" width="11.42578125" style="3"/>
  </cols>
  <sheetData>
    <row r="1" spans="1:81" ht="18.75" x14ac:dyDescent="0.3">
      <c r="B1" s="21" t="s">
        <v>250</v>
      </c>
      <c r="C1" s="22">
        <v>42523</v>
      </c>
    </row>
    <row r="5" spans="1:81" x14ac:dyDescent="0.25">
      <c r="A5" s="1" t="s">
        <v>184</v>
      </c>
      <c r="B5" s="2"/>
    </row>
    <row r="6" spans="1:81" s="7" customFormat="1" ht="30" x14ac:dyDescent="0.25">
      <c r="A6" s="7" t="s">
        <v>10</v>
      </c>
      <c r="B6" s="7" t="s">
        <v>1</v>
      </c>
      <c r="C6" s="7" t="s">
        <v>2</v>
      </c>
      <c r="D6" s="7" t="s">
        <v>72</v>
      </c>
      <c r="E6" s="7" t="s">
        <v>108</v>
      </c>
      <c r="F6" s="7" t="s">
        <v>73</v>
      </c>
      <c r="G6" s="7" t="s">
        <v>70</v>
      </c>
      <c r="H6" s="7" t="s">
        <v>109</v>
      </c>
      <c r="I6" s="7" t="s">
        <v>54</v>
      </c>
      <c r="J6" s="7" t="s">
        <v>129</v>
      </c>
      <c r="K6" s="7" t="s">
        <v>159</v>
      </c>
      <c r="L6" s="7" t="s">
        <v>27</v>
      </c>
      <c r="M6" s="7" t="s">
        <v>130</v>
      </c>
      <c r="N6" s="7" t="s">
        <v>30</v>
      </c>
      <c r="O6" s="7" t="s">
        <v>28</v>
      </c>
      <c r="P6" s="7" t="s">
        <v>29</v>
      </c>
      <c r="Q6" s="7" t="s">
        <v>31</v>
      </c>
      <c r="R6" s="7" t="s">
        <v>131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c r="AJ6" s="7" t="s">
        <v>49</v>
      </c>
      <c r="AK6" s="7" t="s">
        <v>50</v>
      </c>
      <c r="AL6" s="7" t="s">
        <v>51</v>
      </c>
      <c r="AM6" s="7" t="s">
        <v>52</v>
      </c>
      <c r="AN6" s="7" t="s">
        <v>53</v>
      </c>
      <c r="AO6" s="7" t="s">
        <v>55</v>
      </c>
      <c r="AP6" s="17" t="s">
        <v>110</v>
      </c>
      <c r="AR6" s="31" t="s">
        <v>128</v>
      </c>
    </row>
    <row r="7" spans="1:81" s="10" customFormat="1" ht="60" x14ac:dyDescent="0.25">
      <c r="A7" s="13" t="s">
        <v>160</v>
      </c>
      <c r="B7" s="79" t="s">
        <v>161</v>
      </c>
      <c r="C7" s="79" t="s">
        <v>162</v>
      </c>
      <c r="D7" s="80">
        <v>371878.69</v>
      </c>
      <c r="E7" s="80">
        <f>Tableau_Lancer_la_requête_à_partir_de_Excel_Files10256[[#This Row],[Aide Massif]]+Tableau_Lancer_la_requête_à_partir_de_Excel_Files10256[[#This Row],[''Autre Public'']]</f>
        <v>227454</v>
      </c>
      <c r="F7" s="81">
        <f>Tableau_Lancer_la_requête_à_partir_de_Excel_Files10256[[#This Row],[Aide 
publique]]/Tableau_Lancer_la_requête_à_partir_de_Excel_Files10256[[#This Row],[''Coût total éligible'']]</f>
        <v>0.61163493934003044</v>
      </c>
      <c r="G7" s="80">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227454</v>
      </c>
      <c r="H7" s="81">
        <f>Tableau_Lancer_la_requête_à_partir_de_Excel_Files10256[[#This Row],[Aide Massif]]/Tableau_Lancer_la_requête_à_partir_de_Excel_Files10256[[#This Row],[''Coût total éligible'']]</f>
        <v>0.61163493934003044</v>
      </c>
      <c r="I7" s="80">
        <v>0</v>
      </c>
      <c r="J7" s="80">
        <f>Tableau_Lancer_la_requête_à_partir_de_Excel_Files10256[[#This Row],[''FNADT '']]+Tableau_Lancer_la_requête_à_partir_de_Excel_Files10256[[#This Row],[''Agriculture'']]</f>
        <v>150000</v>
      </c>
      <c r="K7" s="82">
        <v>150000</v>
      </c>
      <c r="L7" s="80"/>
      <c r="M7" s="80">
        <f>Tableau_Lancer_la_requête_à_partir_de_Excel_Files10256[[#This Row],[''ALPC'']]+Tableau_Lancer_la_requête_à_partir_de_Excel_Files10256[[#This Row],[''AURA'']]+Tableau_Lancer_la_requête_à_partir_de_Excel_Files10256[[#This Row],[''BFC'']]+Tableau_Lancer_la_requête_à_partir_de_Excel_Files10256[[#This Row],[''LRMP'']]</f>
        <v>50000</v>
      </c>
      <c r="N7" s="80"/>
      <c r="O7" s="80"/>
      <c r="P7" s="80"/>
      <c r="Q7" s="80">
        <v>50000</v>
      </c>
      <c r="R7" s="80">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27454</v>
      </c>
      <c r="S7" s="80"/>
      <c r="T7" s="80"/>
      <c r="U7" s="80"/>
      <c r="V7" s="80"/>
      <c r="W7" s="80"/>
      <c r="X7" s="80">
        <v>4000</v>
      </c>
      <c r="Y7" s="80"/>
      <c r="Z7" s="80"/>
      <c r="AA7" s="80"/>
      <c r="AB7" s="80"/>
      <c r="AC7" s="80"/>
      <c r="AD7" s="80"/>
      <c r="AE7" s="80">
        <v>16500</v>
      </c>
      <c r="AF7" s="80"/>
      <c r="AG7" s="80"/>
      <c r="AH7" s="80"/>
      <c r="AI7" s="80"/>
      <c r="AJ7" s="80"/>
      <c r="AK7" s="80">
        <v>6000</v>
      </c>
      <c r="AL7" s="80">
        <v>954</v>
      </c>
      <c r="AM7" s="80"/>
      <c r="AN7" s="80"/>
      <c r="AO7" s="80">
        <v>0</v>
      </c>
      <c r="AP7" s="11" t="s">
        <v>77</v>
      </c>
      <c r="AR7" s="24" t="s">
        <v>414</v>
      </c>
    </row>
    <row r="8" spans="1:81" s="10" customFormat="1" ht="45" x14ac:dyDescent="0.25">
      <c r="A8" s="13" t="s">
        <v>247</v>
      </c>
      <c r="B8" s="12" t="s">
        <v>248</v>
      </c>
      <c r="C8" s="12" t="s">
        <v>249</v>
      </c>
      <c r="D8" s="15">
        <v>385199</v>
      </c>
      <c r="E8" s="15">
        <f>Tableau_Lancer_la_requête_à_partir_de_Excel_Files10256[[#This Row],[Aide Massif]]+Tableau_Lancer_la_requête_à_partir_de_Excel_Files10256[[#This Row],[''Autre Public'']]</f>
        <v>0</v>
      </c>
      <c r="F8" s="16">
        <f>Tableau_Lancer_la_requête_à_partir_de_Excel_Files10256[[#This Row],[Aide 
publique]]/Tableau_Lancer_la_requête_à_partir_de_Excel_Files10256[[#This Row],[''Coût total éligible'']]</f>
        <v>0</v>
      </c>
      <c r="G8" s="1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0</v>
      </c>
      <c r="H8" s="16">
        <f>Tableau_Lancer_la_requête_à_partir_de_Excel_Files10256[[#This Row],[Aide Massif]]/Tableau_Lancer_la_requête_à_partir_de_Excel_Files10256[[#This Row],[''Coût total éligible'']]</f>
        <v>0</v>
      </c>
      <c r="I8" s="15">
        <v>0</v>
      </c>
      <c r="J8" s="15">
        <f>Tableau_Lancer_la_requête_à_partir_de_Excel_Files10256[[#This Row],[''FNADT '']]+Tableau_Lancer_la_requête_à_partir_de_Excel_Files10256[[#This Row],[''Agriculture'']]</f>
        <v>0</v>
      </c>
      <c r="K8" s="11"/>
      <c r="L8" s="15"/>
      <c r="M8" s="15">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8" s="15"/>
      <c r="O8" s="15"/>
      <c r="P8" s="15"/>
      <c r="Q8" s="15"/>
      <c r="R8" s="15">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8" s="15"/>
      <c r="T8" s="15"/>
      <c r="U8" s="15"/>
      <c r="V8" s="15"/>
      <c r="W8" s="15"/>
      <c r="X8" s="15"/>
      <c r="Y8" s="15"/>
      <c r="Z8" s="15"/>
      <c r="AA8" s="15"/>
      <c r="AB8" s="15"/>
      <c r="AC8" s="15"/>
      <c r="AD8" s="15"/>
      <c r="AE8" s="15"/>
      <c r="AF8" s="15"/>
      <c r="AG8" s="15"/>
      <c r="AH8" s="15"/>
      <c r="AI8" s="15"/>
      <c r="AJ8" s="15"/>
      <c r="AK8" s="15"/>
      <c r="AL8" s="15"/>
      <c r="AM8" s="15"/>
      <c r="AN8" s="15"/>
      <c r="AO8" s="15">
        <v>0</v>
      </c>
      <c r="AP8" s="11" t="s">
        <v>111</v>
      </c>
      <c r="AR8" s="26" t="s">
        <v>256</v>
      </c>
    </row>
    <row r="9" spans="1:81" s="10" customFormat="1" ht="60" x14ac:dyDescent="0.25">
      <c r="A9" s="13" t="s">
        <v>174</v>
      </c>
      <c r="B9" s="12" t="s">
        <v>175</v>
      </c>
      <c r="C9" s="12" t="s">
        <v>176</v>
      </c>
      <c r="D9" s="65">
        <v>282220.76</v>
      </c>
      <c r="E9" s="65">
        <f>Tableau_Lancer_la_requête_à_partir_de_Excel_Files10256[[#This Row],[Aide Massif]]+Tableau_Lancer_la_requête_à_partir_de_Excel_Files10256[[#This Row],[''Autre Public'']]</f>
        <v>197576</v>
      </c>
      <c r="F9" s="66">
        <f>Tableau_Lancer_la_requête_à_partir_de_Excel_Files10256[[#This Row],[Aide 
publique]]/Tableau_Lancer_la_requête_à_partir_de_Excel_Files10256[[#This Row],[''Coût total éligible'']]</f>
        <v>0.70007606811065204</v>
      </c>
      <c r="G9" s="6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160000</v>
      </c>
      <c r="H9" s="66">
        <f>Tableau_Lancer_la_requête_à_partir_de_Excel_Files10256[[#This Row],[Aide Massif]]/Tableau_Lancer_la_requête_à_partir_de_Excel_Files10256[[#This Row],[''Coût total éligible'']]</f>
        <v>0.56693207119136091</v>
      </c>
      <c r="I9" s="65">
        <v>0</v>
      </c>
      <c r="J9" s="65">
        <f>Tableau_Lancer_la_requête_à_partir_de_Excel_Files10256[[#This Row],[''FNADT '']]+Tableau_Lancer_la_requête_à_partir_de_Excel_Files10256[[#This Row],[''Agriculture'']]</f>
        <v>155000</v>
      </c>
      <c r="K9" s="67">
        <v>155000</v>
      </c>
      <c r="L9" s="65"/>
      <c r="M9" s="65">
        <f>Tableau_Lancer_la_requête_à_partir_de_Excel_Files10256[[#This Row],[''ALPC'']]+Tableau_Lancer_la_requête_à_partir_de_Excel_Files10256[[#This Row],[''AURA'']]+Tableau_Lancer_la_requête_à_partir_de_Excel_Files10256[[#This Row],[''BFC'']]+Tableau_Lancer_la_requête_à_partir_de_Excel_Files10256[[#This Row],[''LRMP'']]</f>
        <v>5000</v>
      </c>
      <c r="N9" s="65">
        <v>5000</v>
      </c>
      <c r="O9" s="65"/>
      <c r="P9" s="65"/>
      <c r="Q9" s="65"/>
      <c r="R9" s="65">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9" s="65"/>
      <c r="T9" s="65"/>
      <c r="U9" s="65"/>
      <c r="V9" s="65"/>
      <c r="W9" s="65"/>
      <c r="X9" s="65"/>
      <c r="Y9" s="65"/>
      <c r="Z9" s="65"/>
      <c r="AA9" s="65"/>
      <c r="AB9" s="65"/>
      <c r="AC9" s="65"/>
      <c r="AD9" s="65"/>
      <c r="AE9" s="65"/>
      <c r="AF9" s="65"/>
      <c r="AG9" s="65"/>
      <c r="AH9" s="65"/>
      <c r="AI9" s="65"/>
      <c r="AJ9" s="65"/>
      <c r="AK9" s="65"/>
      <c r="AL9" s="65"/>
      <c r="AM9" s="65"/>
      <c r="AN9" s="65"/>
      <c r="AO9" s="65">
        <v>37576</v>
      </c>
      <c r="AP9" s="11" t="s">
        <v>77</v>
      </c>
      <c r="AR9" s="24"/>
    </row>
    <row r="10" spans="1:81" s="10" customFormat="1" ht="30" x14ac:dyDescent="0.25">
      <c r="A10" s="13" t="s">
        <v>177</v>
      </c>
      <c r="B10" s="12" t="s">
        <v>178</v>
      </c>
      <c r="C10" s="12" t="s">
        <v>179</v>
      </c>
      <c r="D10" s="15">
        <v>52685.94</v>
      </c>
      <c r="E10" s="15">
        <f>Tableau_Lancer_la_requête_à_partir_de_Excel_Files10256[[#This Row],[Aide Massif]]+Tableau_Lancer_la_requête_à_partir_de_Excel_Files10256[[#This Row],[''Autre Public'']]</f>
        <v>39323.149999999994</v>
      </c>
      <c r="F10" s="16">
        <f>Tableau_Lancer_la_requête_à_partir_de_Excel_Files10256[[#This Row],[Aide 
publique]]/Tableau_Lancer_la_requête_à_partir_de_Excel_Files10256[[#This Row],[''Coût total éligible'']]</f>
        <v>0.74636895536076597</v>
      </c>
      <c r="G10" s="1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39323.149999999994</v>
      </c>
      <c r="H10" s="16">
        <f>Tableau_Lancer_la_requête_à_partir_de_Excel_Files10256[[#This Row],[Aide Massif]]/Tableau_Lancer_la_requête_à_partir_de_Excel_Files10256[[#This Row],[''Coût total éligible'']]</f>
        <v>0.74636895536076597</v>
      </c>
      <c r="I10" s="15">
        <v>22990.51</v>
      </c>
      <c r="J10" s="15">
        <f>Tableau_Lancer_la_requête_à_partir_de_Excel_Files10256[[#This Row],[''FNADT '']]+Tableau_Lancer_la_requête_à_partir_de_Excel_Files10256[[#This Row],[''Agriculture'']]</f>
        <v>0</v>
      </c>
      <c r="K10" s="11"/>
      <c r="L10" s="15"/>
      <c r="M10" s="15">
        <f>Tableau_Lancer_la_requête_à_partir_de_Excel_Files10256[[#This Row],[''ALPC'']]+Tableau_Lancer_la_requête_à_partir_de_Excel_Files10256[[#This Row],[''AURA'']]+Tableau_Lancer_la_requête_à_partir_de_Excel_Files10256[[#This Row],[''BFC'']]+Tableau_Lancer_la_requête_à_partir_de_Excel_Files10256[[#This Row],[''LRMP'']]</f>
        <v>16332.64</v>
      </c>
      <c r="N10" s="15"/>
      <c r="O10" s="15"/>
      <c r="P10" s="15"/>
      <c r="Q10" s="15">
        <v>16332.64</v>
      </c>
      <c r="R10" s="15">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0" s="15"/>
      <c r="T10" s="15"/>
      <c r="U10" s="15"/>
      <c r="V10" s="15"/>
      <c r="W10" s="15"/>
      <c r="X10" s="15"/>
      <c r="Y10" s="15"/>
      <c r="Z10" s="15"/>
      <c r="AA10" s="15"/>
      <c r="AB10" s="15"/>
      <c r="AC10" s="15"/>
      <c r="AD10" s="15"/>
      <c r="AE10" s="15"/>
      <c r="AF10" s="15"/>
      <c r="AG10" s="15"/>
      <c r="AH10" s="15"/>
      <c r="AI10" s="15"/>
      <c r="AJ10" s="15"/>
      <c r="AK10" s="15"/>
      <c r="AL10" s="15"/>
      <c r="AM10" s="15"/>
      <c r="AN10" s="15"/>
      <c r="AO10" s="15">
        <v>0</v>
      </c>
      <c r="AP10" s="11" t="s">
        <v>77</v>
      </c>
      <c r="AR10" s="26"/>
    </row>
    <row r="11" spans="1:81" s="10" customFormat="1" ht="30" x14ac:dyDescent="0.25">
      <c r="A11" s="13" t="s">
        <v>177</v>
      </c>
      <c r="B11" s="12" t="s">
        <v>180</v>
      </c>
      <c r="C11" s="12" t="s">
        <v>181</v>
      </c>
      <c r="D11" s="15">
        <v>42272.197500000002</v>
      </c>
      <c r="E11" s="15">
        <f>Tableau_Lancer_la_requête_à_partir_de_Excel_Files10256[[#This Row],[Aide Massif]]+Tableau_Lancer_la_requête_à_partir_de_Excel_Files10256[[#This Row],[''Autre Public'']]</f>
        <v>30145.26</v>
      </c>
      <c r="F11" s="16">
        <f>Tableau_Lancer_la_requête_à_partir_de_Excel_Files10256[[#This Row],[Aide 
publique]]/Tableau_Lancer_la_requête_à_partir_de_Excel_Files10256[[#This Row],[''Coût total éligible'']]</f>
        <v>0.71312261445599079</v>
      </c>
      <c r="G11" s="1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30145.26</v>
      </c>
      <c r="H11" s="16">
        <f>Tableau_Lancer_la_requête_à_partir_de_Excel_Files10256[[#This Row],[Aide Massif]]/Tableau_Lancer_la_requête_à_partir_de_Excel_Files10256[[#This Row],[''Coût total éligible'']]</f>
        <v>0.71312261445599079</v>
      </c>
      <c r="I11" s="15">
        <v>17463.599999999999</v>
      </c>
      <c r="J11" s="15">
        <f>Tableau_Lancer_la_requête_à_partir_de_Excel_Files10256[[#This Row],[''FNADT '']]+Tableau_Lancer_la_requête_à_partir_de_Excel_Files10256[[#This Row],[''Agriculture'']]</f>
        <v>0</v>
      </c>
      <c r="K11" s="11"/>
      <c r="L11" s="15"/>
      <c r="M11" s="15">
        <f>Tableau_Lancer_la_requête_à_partir_de_Excel_Files10256[[#This Row],[''ALPC'']]+Tableau_Lancer_la_requête_à_partir_de_Excel_Files10256[[#This Row],[''AURA'']]+Tableau_Lancer_la_requête_à_partir_de_Excel_Files10256[[#This Row],[''BFC'']]+Tableau_Lancer_la_requête_à_partir_de_Excel_Files10256[[#This Row],[''LRMP'']]</f>
        <v>12681.66</v>
      </c>
      <c r="N11" s="15"/>
      <c r="O11" s="15"/>
      <c r="P11" s="15"/>
      <c r="Q11" s="15">
        <v>12681.66</v>
      </c>
      <c r="R11" s="15">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1" s="15"/>
      <c r="T11" s="15"/>
      <c r="U11" s="15"/>
      <c r="V11" s="15"/>
      <c r="W11" s="15"/>
      <c r="X11" s="15"/>
      <c r="Y11" s="15"/>
      <c r="Z11" s="15"/>
      <c r="AA11" s="15"/>
      <c r="AB11" s="15"/>
      <c r="AC11" s="15"/>
      <c r="AD11" s="15"/>
      <c r="AE11" s="15"/>
      <c r="AF11" s="15"/>
      <c r="AG11" s="15"/>
      <c r="AH11" s="15"/>
      <c r="AI11" s="15"/>
      <c r="AJ11" s="15"/>
      <c r="AK11" s="15"/>
      <c r="AL11" s="15"/>
      <c r="AM11" s="15"/>
      <c r="AN11" s="15"/>
      <c r="AO11" s="15">
        <v>0</v>
      </c>
      <c r="AP11" s="11" t="s">
        <v>77</v>
      </c>
      <c r="AR11" s="24"/>
    </row>
    <row r="12" spans="1:81" ht="30" x14ac:dyDescent="0.25">
      <c r="A12" s="13" t="s">
        <v>177</v>
      </c>
      <c r="B12" s="12" t="s">
        <v>182</v>
      </c>
      <c r="C12" s="12" t="s">
        <v>181</v>
      </c>
      <c r="D12" s="15">
        <v>297711.87</v>
      </c>
      <c r="E12" s="15">
        <f>Tableau_Lancer_la_requête_à_partir_de_Excel_Files10256[[#This Row],[Aide Massif]]+Tableau_Lancer_la_requête_à_partir_de_Excel_Files10256[[#This Row],[''Autre Public'']]</f>
        <v>157452.25</v>
      </c>
      <c r="F12" s="16">
        <f>Tableau_Lancer_la_requête_à_partir_de_Excel_Files10256[[#This Row],[Aide 
publique]]/Tableau_Lancer_la_requête_à_partir_de_Excel_Files10256[[#This Row],[''Coût total éligible'']]</f>
        <v>0.52887461289333204</v>
      </c>
      <c r="G12" s="1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157452.25</v>
      </c>
      <c r="H12" s="16">
        <f>Tableau_Lancer_la_requête_à_partir_de_Excel_Files10256[[#This Row],[Aide Massif]]/Tableau_Lancer_la_requête_à_partir_de_Excel_Files10256[[#This Row],[''Coût total éligible'']]</f>
        <v>0.52887461289333204</v>
      </c>
      <c r="I12" s="15">
        <v>79818.350000000006</v>
      </c>
      <c r="J12" s="15">
        <f>Tableau_Lancer_la_requête_à_partir_de_Excel_Files10256[[#This Row],[''FNADT '']]+Tableau_Lancer_la_requête_à_partir_de_Excel_Files10256[[#This Row],[''Agriculture'']]</f>
        <v>47633.9</v>
      </c>
      <c r="K12" s="11">
        <v>47633.9</v>
      </c>
      <c r="L12" s="15"/>
      <c r="M12" s="15">
        <f>Tableau_Lancer_la_requête_à_partir_de_Excel_Files10256[[#This Row],[''ALPC'']]+Tableau_Lancer_la_requête_à_partir_de_Excel_Files10256[[#This Row],[''AURA'']]+Tableau_Lancer_la_requête_à_partir_de_Excel_Files10256[[#This Row],[''BFC'']]+Tableau_Lancer_la_requête_à_partir_de_Excel_Files10256[[#This Row],[''LRMP'']]</f>
        <v>30000</v>
      </c>
      <c r="N12" s="15">
        <v>30000</v>
      </c>
      <c r="O12" s="15"/>
      <c r="P12" s="15"/>
      <c r="Q12" s="15"/>
      <c r="R12" s="15">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2" s="15"/>
      <c r="T12" s="15"/>
      <c r="U12" s="15"/>
      <c r="V12" s="15"/>
      <c r="W12" s="15"/>
      <c r="X12" s="15"/>
      <c r="Y12" s="15"/>
      <c r="Z12" s="15"/>
      <c r="AA12" s="15"/>
      <c r="AB12" s="15"/>
      <c r="AC12" s="15"/>
      <c r="AD12" s="15"/>
      <c r="AE12" s="15"/>
      <c r="AF12" s="15"/>
      <c r="AG12" s="15"/>
      <c r="AH12" s="15"/>
      <c r="AI12" s="15"/>
      <c r="AJ12" s="15"/>
      <c r="AK12" s="15"/>
      <c r="AL12" s="15"/>
      <c r="AM12" s="15"/>
      <c r="AN12" s="15"/>
      <c r="AO12" s="15">
        <v>0</v>
      </c>
      <c r="AP12" s="11" t="s">
        <v>77</v>
      </c>
      <c r="AR12" s="26"/>
      <c r="BY12" s="4"/>
      <c r="CC12" s="3"/>
    </row>
    <row r="13" spans="1:81" ht="30" x14ac:dyDescent="0.25">
      <c r="A13" s="13" t="s">
        <v>177</v>
      </c>
      <c r="B13" s="12" t="s">
        <v>183</v>
      </c>
      <c r="C13" s="12" t="s">
        <v>181</v>
      </c>
      <c r="D13" s="15">
        <v>14581.71512857143</v>
      </c>
      <c r="E13" s="15">
        <f>Tableau_Lancer_la_requête_à_partir_de_Excel_Files10256[[#This Row],[Aide Massif]]+Tableau_Lancer_la_requête_à_partir_de_Excel_Files10256[[#This Row],[''Autre Public'']]</f>
        <v>11110.39</v>
      </c>
      <c r="F13" s="16">
        <f>Tableau_Lancer_la_requête_à_partir_de_Excel_Files10256[[#This Row],[Aide 
publique]]/Tableau_Lancer_la_requête_à_partir_de_Excel_Files10256[[#This Row],[''Coût total éligible'']]</f>
        <v>0.76193986112307788</v>
      </c>
      <c r="G13" s="1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11110.39</v>
      </c>
      <c r="H13" s="16">
        <f>Tableau_Lancer_la_requête_à_partir_de_Excel_Files10256[[#This Row],[Aide Massif]]/Tableau_Lancer_la_requête_à_partir_de_Excel_Files10256[[#This Row],[''Coût total éligible'']]</f>
        <v>0.76193986112307788</v>
      </c>
      <c r="I13" s="15">
        <v>1066.43</v>
      </c>
      <c r="J13" s="15">
        <f>Tableau_Lancer_la_requête_à_partir_de_Excel_Files10256[[#This Row],[''FNADT '']]+Tableau_Lancer_la_requête_à_partir_de_Excel_Files10256[[#This Row],[''Agriculture'']]</f>
        <v>0</v>
      </c>
      <c r="K13" s="11"/>
      <c r="L13" s="15"/>
      <c r="M13" s="15">
        <f>Tableau_Lancer_la_requête_à_partir_de_Excel_Files10256[[#This Row],[''ALPC'']]+Tableau_Lancer_la_requête_à_partir_de_Excel_Files10256[[#This Row],[''AURA'']]+Tableau_Lancer_la_requête_à_partir_de_Excel_Files10256[[#This Row],[''BFC'']]+Tableau_Lancer_la_requête_à_partir_de_Excel_Files10256[[#This Row],[''LRMP'']]</f>
        <v>10043.959999999999</v>
      </c>
      <c r="N13" s="15"/>
      <c r="O13" s="15">
        <v>10043.959999999999</v>
      </c>
      <c r="P13" s="15"/>
      <c r="Q13" s="15"/>
      <c r="R13" s="15">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3" s="15"/>
      <c r="T13" s="15"/>
      <c r="U13" s="15"/>
      <c r="V13" s="15"/>
      <c r="W13" s="15"/>
      <c r="X13" s="15"/>
      <c r="Y13" s="15"/>
      <c r="Z13" s="15"/>
      <c r="AA13" s="15"/>
      <c r="AB13" s="15"/>
      <c r="AC13" s="15"/>
      <c r="AD13" s="15"/>
      <c r="AE13" s="15"/>
      <c r="AF13" s="15"/>
      <c r="AG13" s="15"/>
      <c r="AH13" s="15"/>
      <c r="AI13" s="15"/>
      <c r="AJ13" s="15"/>
      <c r="AK13" s="15"/>
      <c r="AL13" s="15"/>
      <c r="AM13" s="15"/>
      <c r="AN13" s="15"/>
      <c r="AO13" s="15">
        <v>0</v>
      </c>
      <c r="AP13" s="11" t="s">
        <v>77</v>
      </c>
      <c r="AR13" s="24"/>
      <c r="BY13" s="4"/>
      <c r="CC13" s="3"/>
    </row>
    <row r="14" spans="1:81" x14ac:dyDescent="0.25">
      <c r="A14" s="6" t="s">
        <v>163</v>
      </c>
      <c r="B14" s="5" t="s">
        <v>164</v>
      </c>
      <c r="C14" s="5" t="s">
        <v>165</v>
      </c>
      <c r="D14" s="8">
        <v>170000</v>
      </c>
      <c r="E14" s="8">
        <f>Tableau_Lancer_la_requête_à_partir_de_Excel_Files10256[[#This Row],[Aide Massif]]+Tableau_Lancer_la_requête_à_partir_de_Excel_Files10256[[#This Row],[''Autre Public'']]</f>
        <v>119000</v>
      </c>
      <c r="F14" s="9">
        <f>Tableau_Lancer_la_requête_à_partir_de_Excel_Files10256[[#This Row],[Aide 
publique]]/Tableau_Lancer_la_requête_à_partir_de_Excel_Files10256[[#This Row],[''Coût total éligible'']]</f>
        <v>0.7</v>
      </c>
      <c r="G14" s="1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119000</v>
      </c>
      <c r="H14" s="9">
        <f>Tableau_Lancer_la_requête_à_partir_de_Excel_Files10256[[#This Row],[Aide Massif]]/Tableau_Lancer_la_requête_à_partir_de_Excel_Files10256[[#This Row],[''Coût total éligible'']]</f>
        <v>0.7</v>
      </c>
      <c r="I14" s="8">
        <v>85000</v>
      </c>
      <c r="J14" s="8">
        <f>Tableau_Lancer_la_requête_à_partir_de_Excel_Files10256[[#This Row],[''FNADT '']]+Tableau_Lancer_la_requête_à_partir_de_Excel_Files10256[[#This Row],[''Agriculture'']]</f>
        <v>34000</v>
      </c>
      <c r="K14" s="10">
        <v>34000</v>
      </c>
      <c r="L14" s="8"/>
      <c r="M14" s="8">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14" s="8"/>
      <c r="O14" s="8"/>
      <c r="P14" s="8"/>
      <c r="Q14" s="8"/>
      <c r="R14" s="8">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4" s="8"/>
      <c r="T14" s="8"/>
      <c r="U14" s="8"/>
      <c r="V14" s="8"/>
      <c r="W14" s="8"/>
      <c r="X14" s="8"/>
      <c r="Y14" s="8"/>
      <c r="Z14" s="8"/>
      <c r="AA14" s="8"/>
      <c r="AB14" s="8"/>
      <c r="AC14" s="8"/>
      <c r="AD14" s="8"/>
      <c r="AE14" s="8"/>
      <c r="AF14" s="8"/>
      <c r="AG14" s="8"/>
      <c r="AH14" s="8"/>
      <c r="AI14" s="8"/>
      <c r="AJ14" s="8"/>
      <c r="AK14" s="8"/>
      <c r="AL14" s="8"/>
      <c r="AM14" s="8"/>
      <c r="AN14" s="8"/>
      <c r="AO14" s="8">
        <v>0</v>
      </c>
      <c r="AP14" s="10" t="s">
        <v>77</v>
      </c>
      <c r="AR14" s="25"/>
      <c r="BY14" s="4"/>
      <c r="CC14" s="3"/>
    </row>
    <row r="15" spans="1:81" ht="30" x14ac:dyDescent="0.25">
      <c r="A15" s="13" t="s">
        <v>166</v>
      </c>
      <c r="B15" s="12" t="s">
        <v>79</v>
      </c>
      <c r="C15" s="12" t="s">
        <v>165</v>
      </c>
      <c r="D15" s="15">
        <v>169966.81</v>
      </c>
      <c r="E15" s="15">
        <f>Tableau_Lancer_la_requête_à_partir_de_Excel_Files10256[[#This Row],[Aide Massif]]+Tableau_Lancer_la_requête_à_partir_de_Excel_Files10256[[#This Row],[''Autre Public'']]</f>
        <v>118976.76999999999</v>
      </c>
      <c r="F15" s="16">
        <f>Tableau_Lancer_la_requête_à_partir_de_Excel_Files10256[[#This Row],[Aide 
publique]]/Tableau_Lancer_la_requête_à_partir_de_Excel_Files10256[[#This Row],[''Coût total éligible'']]</f>
        <v>0.70000001765050479</v>
      </c>
      <c r="G15" s="1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118976.76999999999</v>
      </c>
      <c r="H15" s="16">
        <f>Tableau_Lancer_la_requête_à_partir_de_Excel_Files10256[[#This Row],[Aide Massif]]/Tableau_Lancer_la_requête_à_partir_de_Excel_Files10256[[#This Row],[''Coût total éligible'']]</f>
        <v>0.70000001765050479</v>
      </c>
      <c r="I15" s="15">
        <v>84983.4</v>
      </c>
      <c r="J15" s="15">
        <f>Tableau_Lancer_la_requête_à_partir_de_Excel_Files10256[[#This Row],[''FNADT '']]+Tableau_Lancer_la_requête_à_partir_de_Excel_Files10256[[#This Row],[''Agriculture'']]</f>
        <v>33993.370000000003</v>
      </c>
      <c r="K15" s="11">
        <v>33993.370000000003</v>
      </c>
      <c r="L15" s="15"/>
      <c r="M15" s="15">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15" s="15"/>
      <c r="O15" s="15"/>
      <c r="P15" s="15"/>
      <c r="Q15" s="15"/>
      <c r="R15" s="15">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5" s="15"/>
      <c r="T15" s="15"/>
      <c r="U15" s="15"/>
      <c r="V15" s="15"/>
      <c r="W15" s="15"/>
      <c r="X15" s="15"/>
      <c r="Y15" s="15"/>
      <c r="Z15" s="15"/>
      <c r="AA15" s="15"/>
      <c r="AB15" s="15"/>
      <c r="AC15" s="15"/>
      <c r="AD15" s="15"/>
      <c r="AE15" s="15"/>
      <c r="AF15" s="15"/>
      <c r="AG15" s="15"/>
      <c r="AH15" s="15"/>
      <c r="AI15" s="15"/>
      <c r="AJ15" s="15"/>
      <c r="AK15" s="15"/>
      <c r="AL15" s="15"/>
      <c r="AM15" s="15"/>
      <c r="AN15" s="15"/>
      <c r="AO15" s="15">
        <v>0</v>
      </c>
      <c r="AP15" s="11" t="s">
        <v>77</v>
      </c>
      <c r="AR15" s="24"/>
      <c r="BY15" s="4"/>
      <c r="CC15" s="3"/>
    </row>
    <row r="16" spans="1:81" ht="30" x14ac:dyDescent="0.25">
      <c r="A16" s="13" t="s">
        <v>167</v>
      </c>
      <c r="B16" s="12" t="s">
        <v>168</v>
      </c>
      <c r="C16" s="12" t="s">
        <v>165</v>
      </c>
      <c r="D16" s="15">
        <v>229791.1</v>
      </c>
      <c r="E16" s="15">
        <f>Tableau_Lancer_la_requête_à_partir_de_Excel_Files10256[[#This Row],[Aide Massif]]+Tableau_Lancer_la_requête_à_partir_de_Excel_Files10256[[#This Row],[''Autre Public'']]</f>
        <v>160853.77000000002</v>
      </c>
      <c r="F16" s="16">
        <f>Tableau_Lancer_la_requête_à_partir_de_Excel_Files10256[[#This Row],[Aide 
publique]]/Tableau_Lancer_la_requête_à_partir_de_Excel_Files10256[[#This Row],[''Coût total éligible'']]</f>
        <v>0.70000000000000007</v>
      </c>
      <c r="G16" s="1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160853.77000000002</v>
      </c>
      <c r="H16" s="16">
        <f>Tableau_Lancer_la_requête_à_partir_de_Excel_Files10256[[#This Row],[Aide Massif]]/Tableau_Lancer_la_requête_à_partir_de_Excel_Files10256[[#This Row],[''Coût total éligible'']]</f>
        <v>0.70000000000000007</v>
      </c>
      <c r="I16" s="15">
        <v>100703.77</v>
      </c>
      <c r="J16" s="15">
        <f>Tableau_Lancer_la_requête_à_partir_de_Excel_Files10256[[#This Row],[''FNADT '']]+Tableau_Lancer_la_requête_à_partir_de_Excel_Files10256[[#This Row],[''Agriculture'']]</f>
        <v>60150</v>
      </c>
      <c r="K16" s="11">
        <v>60150</v>
      </c>
      <c r="L16" s="15"/>
      <c r="M16" s="15">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16" s="15"/>
      <c r="O16" s="15"/>
      <c r="P16" s="15"/>
      <c r="Q16" s="15"/>
      <c r="R16" s="15">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6" s="15"/>
      <c r="T16" s="15"/>
      <c r="U16" s="15"/>
      <c r="V16" s="15"/>
      <c r="W16" s="15"/>
      <c r="X16" s="15"/>
      <c r="Y16" s="15"/>
      <c r="Z16" s="15"/>
      <c r="AA16" s="15"/>
      <c r="AB16" s="15"/>
      <c r="AC16" s="15"/>
      <c r="AD16" s="15"/>
      <c r="AE16" s="15"/>
      <c r="AF16" s="15"/>
      <c r="AG16" s="15"/>
      <c r="AH16" s="15"/>
      <c r="AI16" s="15"/>
      <c r="AJ16" s="15"/>
      <c r="AK16" s="15"/>
      <c r="AL16" s="15"/>
      <c r="AM16" s="15"/>
      <c r="AN16" s="15"/>
      <c r="AO16" s="15">
        <v>0</v>
      </c>
      <c r="AP16" s="11" t="s">
        <v>77</v>
      </c>
      <c r="AR16" s="26"/>
      <c r="BY16" s="4"/>
      <c r="CC16" s="3"/>
    </row>
    <row r="17" spans="1:81" s="7" customFormat="1" ht="15.75" thickBot="1" x14ac:dyDescent="0.3">
      <c r="A17" s="13" t="s">
        <v>169</v>
      </c>
      <c r="B17" s="12" t="s">
        <v>170</v>
      </c>
      <c r="C17" s="12" t="s">
        <v>165</v>
      </c>
      <c r="D17" s="15">
        <v>170122.71153846153</v>
      </c>
      <c r="E17" s="15">
        <f>Tableau_Lancer_la_requête_à_partir_de_Excel_Files10256[[#This Row],[Aide Massif]]+Tableau_Lancer_la_requête_à_partir_de_Excel_Files10256[[#This Row],[''Autre Public'']]</f>
        <v>116292.37</v>
      </c>
      <c r="F17" s="16">
        <f>Tableau_Lancer_la_requête_à_partir_de_Excel_Files10256[[#This Row],[Aide 
publique]]/Tableau_Lancer_la_requête_à_partir_de_Excel_Files10256[[#This Row],[''Coût total éligible'']]</f>
        <v>0.68357933487151412</v>
      </c>
      <c r="G17" s="15">
        <f>Tableau_Lancer_la_requête_à_partir_de_Excel_Files10256[[#This Row],[''FEDER'']]+Tableau_Lancer_la_requête_à_partir_de_Excel_Files10256[[#This Row],[Total Etat]]+Tableau_Lancer_la_requête_à_partir_de_Excel_Files10256[[#This Row],[Total Régions]]+Tableau_Lancer_la_requête_à_partir_de_Excel_Files10256[[#This Row],[Total Dpts]]</f>
        <v>116292.37</v>
      </c>
      <c r="H17" s="16">
        <f>Tableau_Lancer_la_requête_à_partir_de_Excel_Files10256[[#This Row],[Aide Massif]]/Tableau_Lancer_la_requête_à_partir_de_Excel_Files10256[[#This Row],[''Coût total éligible'']]</f>
        <v>0.68357933487151412</v>
      </c>
      <c r="I17" s="15">
        <v>82206.47</v>
      </c>
      <c r="J17" s="15">
        <f>Tableau_Lancer_la_requête_à_partir_de_Excel_Files10256[[#This Row],[''FNADT '']]+Tableau_Lancer_la_requête_à_partir_de_Excel_Files10256[[#This Row],[''Agriculture'']]</f>
        <v>34085.9</v>
      </c>
      <c r="K17" s="11">
        <v>34085.9</v>
      </c>
      <c r="L17" s="15"/>
      <c r="M17" s="15">
        <f>Tableau_Lancer_la_requête_à_partir_de_Excel_Files10256[[#This Row],[''ALPC'']]+Tableau_Lancer_la_requête_à_partir_de_Excel_Files10256[[#This Row],[''AURA'']]+Tableau_Lancer_la_requête_à_partir_de_Excel_Files10256[[#This Row],[''BFC'']]+Tableau_Lancer_la_requête_à_partir_de_Excel_Files10256[[#This Row],[''LRMP'']]</f>
        <v>0</v>
      </c>
      <c r="N17" s="15"/>
      <c r="O17" s="15"/>
      <c r="P17" s="15"/>
      <c r="Q17" s="15"/>
      <c r="R17" s="15">
        <f>Tableau_Lancer_la_requête_à_partir_de_Excel_Files10256[[#This Row],[''03'']]+Tableau_Lancer_la_requête_à_partir_de_Excel_Files10256[[#This Row],[''07'']]+Tableau_Lancer_la_requête_à_partir_de_Excel_Files10256[[#This Row],[''11'']]+Tableau_Lancer_la_requête_à_partir_de_Excel_Files10256[[#This Row],[''12'']]+Tableau_Lancer_la_requête_à_partir_de_Excel_Files10256[[#This Row],[''15'']]+Tableau_Lancer_la_requête_à_partir_de_Excel_Files10256[[#This Row],[''19'']]+Tableau_Lancer_la_requête_à_partir_de_Excel_Files10256[[#This Row],[''21'']]+Tableau_Lancer_la_requête_à_partir_de_Excel_Files10256[[#This Row],[''23'']]+Tableau_Lancer_la_requête_à_partir_de_Excel_Files10256[[#This Row],[''30'']]+Tableau_Lancer_la_requête_à_partir_de_Excel_Files10256[[#This Row],[''34'']]+Tableau_Lancer_la_requête_à_partir_de_Excel_Files10256[[#This Row],[''42'']]+Tableau_Lancer_la_requête_à_partir_de_Excel_Files10256[[#This Row],[''43'']]+Tableau_Lancer_la_requête_à_partir_de_Excel_Files10256[[#This Row],[''46'']]+Tableau_Lancer_la_requête_à_partir_de_Excel_Files10256[[#This Row],[''48'']]+Tableau_Lancer_la_requête_à_partir_de_Excel_Files10256[[#This Row],[''58'']]+Tableau_Lancer_la_requête_à_partir_de_Excel_Files10256[[#This Row],[''63'']]+Tableau_Lancer_la_requête_à_partir_de_Excel_Files10256[[#This Row],[''69'']]+Tableau_Lancer_la_requête_à_partir_de_Excel_Files10256[[#This Row],[''71'']]+Tableau_Lancer_la_requête_à_partir_de_Excel_Files10256[[#This Row],[''81'']]+Tableau_Lancer_la_requête_à_partir_de_Excel_Files10256[[#This Row],[''82'']]+Tableau_Lancer_la_requête_à_partir_de_Excel_Files10256[[#This Row],[''87'']]+Tableau_Lancer_la_requête_à_partir_de_Excel_Files10256[[#This Row],[''89'']]</f>
        <v>0</v>
      </c>
      <c r="S17" s="15"/>
      <c r="T17" s="15"/>
      <c r="U17" s="15"/>
      <c r="V17" s="15"/>
      <c r="W17" s="15"/>
      <c r="X17" s="15"/>
      <c r="Y17" s="15"/>
      <c r="Z17" s="15"/>
      <c r="AA17" s="15"/>
      <c r="AB17" s="15"/>
      <c r="AC17" s="15"/>
      <c r="AD17" s="15"/>
      <c r="AE17" s="15"/>
      <c r="AF17" s="15"/>
      <c r="AG17" s="15"/>
      <c r="AH17" s="15"/>
      <c r="AI17" s="15"/>
      <c r="AJ17" s="15"/>
      <c r="AK17" s="15"/>
      <c r="AL17" s="15"/>
      <c r="AM17" s="15"/>
      <c r="AN17" s="15"/>
      <c r="AO17" s="15">
        <v>0</v>
      </c>
      <c r="AP17" s="11" t="s">
        <v>77</v>
      </c>
      <c r="AR17" s="24"/>
    </row>
    <row r="18" spans="1:81" s="10" customFormat="1" ht="15.75" thickTop="1" x14ac:dyDescent="0.25">
      <c r="A18" s="83" t="s">
        <v>11</v>
      </c>
      <c r="B18" s="84">
        <f>SUBTOTAL(103,Tableau_Lancer_la_requête_à_partir_de_Excel_Files10256[Nom_MO])</f>
        <v>11</v>
      </c>
      <c r="C18" s="84"/>
      <c r="D18" s="85">
        <f>SUBTOTAL(109,Tableau_Lancer_la_requête_à_partir_de_Excel_Files10256[''Coût total éligible''])</f>
        <v>2186430.7941670334</v>
      </c>
      <c r="E18" s="85">
        <f>SUBTOTAL(109,Tableau_Lancer_la_requête_à_partir_de_Excel_Files10256[Aide 
publique])</f>
        <v>1178183.96</v>
      </c>
      <c r="F18" s="86"/>
      <c r="G18" s="85">
        <f>SUBTOTAL(109,Tableau_Lancer_la_requête_à_partir_de_Excel_Files10256[Aide Massif])</f>
        <v>1140607.96</v>
      </c>
      <c r="H18" s="86"/>
      <c r="I18" s="85">
        <f>SUBTOTAL(109,Tableau_Lancer_la_requête_à_partir_de_Excel_Files10256[''FEDER''])</f>
        <v>474232.53</v>
      </c>
      <c r="J18" s="85">
        <f>SUBTOTAL(109,Tableau_Lancer_la_requête_à_partir_de_Excel_Files10256[Total Etat])</f>
        <v>514863.17000000004</v>
      </c>
      <c r="K18" s="83"/>
      <c r="L18" s="85">
        <f>SUBTOTAL(109,Tableau_Lancer_la_requête_à_partir_de_Excel_Files10256[''Agriculture''])</f>
        <v>0</v>
      </c>
      <c r="M18" s="85">
        <f>SUBTOTAL(109,Tableau_Lancer_la_requête_à_partir_de_Excel_Files10256[Total Régions])</f>
        <v>124058.26000000001</v>
      </c>
      <c r="N18" s="85">
        <f>SUBTOTAL(109,Tableau_Lancer_la_requête_à_partir_de_Excel_Files10256[''ALPC''])</f>
        <v>35000</v>
      </c>
      <c r="O18" s="85">
        <f>SUBTOTAL(109,Tableau_Lancer_la_requête_à_partir_de_Excel_Files10256[''AURA''])</f>
        <v>10043.959999999999</v>
      </c>
      <c r="P18" s="85">
        <f>SUBTOTAL(109,Tableau_Lancer_la_requête_à_partir_de_Excel_Files10256[''BFC''])</f>
        <v>0</v>
      </c>
      <c r="Q18" s="85">
        <f>SUBTOTAL(109,Tableau_Lancer_la_requête_à_partir_de_Excel_Files10256[''LRMP''])</f>
        <v>79014.3</v>
      </c>
      <c r="R18" s="85">
        <f>SUBTOTAL(109,Tableau_Lancer_la_requête_à_partir_de_Excel_Files10256[Total Dpts])</f>
        <v>27454</v>
      </c>
      <c r="S18" s="85">
        <f>SUBTOTAL(109,Tableau_Lancer_la_requête_à_partir_de_Excel_Files10256[''03''])</f>
        <v>0</v>
      </c>
      <c r="T18" s="85">
        <f>SUBTOTAL(109,Tableau_Lancer_la_requête_à_partir_de_Excel_Files10256[''07''])</f>
        <v>0</v>
      </c>
      <c r="U18" s="85">
        <f>SUBTOTAL(109,Tableau_Lancer_la_requête_à_partir_de_Excel_Files10256[''11''])</f>
        <v>0</v>
      </c>
      <c r="V18" s="85">
        <f>SUBTOTAL(109,Tableau_Lancer_la_requête_à_partir_de_Excel_Files10256[''12''])</f>
        <v>0</v>
      </c>
      <c r="W18" s="85">
        <f>SUBTOTAL(109,Tableau_Lancer_la_requête_à_partir_de_Excel_Files10256[''15''])</f>
        <v>0</v>
      </c>
      <c r="X18" s="85">
        <f>SUBTOTAL(109,Tableau_Lancer_la_requête_à_partir_de_Excel_Files10256[''19''])</f>
        <v>4000</v>
      </c>
      <c r="Y18" s="85">
        <f>SUBTOTAL(109,Tableau_Lancer_la_requête_à_partir_de_Excel_Files10256[''21''])</f>
        <v>0</v>
      </c>
      <c r="Z18" s="85">
        <f>SUBTOTAL(109,Tableau_Lancer_la_requête_à_partir_de_Excel_Files10256[''23''])</f>
        <v>0</v>
      </c>
      <c r="AA18" s="85">
        <f>SUBTOTAL(109,Tableau_Lancer_la_requête_à_partir_de_Excel_Files10256[''30''])</f>
        <v>0</v>
      </c>
      <c r="AB18" s="85">
        <f>SUBTOTAL(109,Tableau_Lancer_la_requête_à_partir_de_Excel_Files10256[''34''])</f>
        <v>0</v>
      </c>
      <c r="AC18" s="85">
        <f>SUBTOTAL(109,Tableau_Lancer_la_requête_à_partir_de_Excel_Files10256[''42''])</f>
        <v>0</v>
      </c>
      <c r="AD18" s="85">
        <f>SUBTOTAL(109,Tableau_Lancer_la_requête_à_partir_de_Excel_Files10256[''43''])</f>
        <v>0</v>
      </c>
      <c r="AE18" s="85">
        <f>SUBTOTAL(109,Tableau_Lancer_la_requête_à_partir_de_Excel_Files10256[''46''])</f>
        <v>16500</v>
      </c>
      <c r="AF18" s="85">
        <f>SUBTOTAL(109,Tableau_Lancer_la_requête_à_partir_de_Excel_Files10256[''48''])</f>
        <v>0</v>
      </c>
      <c r="AG18" s="85">
        <f>SUBTOTAL(109,Tableau_Lancer_la_requête_à_partir_de_Excel_Files10256[''58''])</f>
        <v>0</v>
      </c>
      <c r="AH18" s="85">
        <f>SUBTOTAL(109,Tableau_Lancer_la_requête_à_partir_de_Excel_Files10256[''63''])</f>
        <v>0</v>
      </c>
      <c r="AI18" s="85">
        <f>SUBTOTAL(109,Tableau_Lancer_la_requête_à_partir_de_Excel_Files10256[''69''])</f>
        <v>0</v>
      </c>
      <c r="AJ18" s="85">
        <f>SUBTOTAL(109,Tableau_Lancer_la_requête_à_partir_de_Excel_Files10256[''71''])</f>
        <v>0</v>
      </c>
      <c r="AK18" s="85">
        <f>SUBTOTAL(109,Tableau_Lancer_la_requête_à_partir_de_Excel_Files10256[''81''])</f>
        <v>6000</v>
      </c>
      <c r="AL18" s="85">
        <f>SUBTOTAL(109,Tableau_Lancer_la_requête_à_partir_de_Excel_Files10256[''82''])</f>
        <v>954</v>
      </c>
      <c r="AM18" s="85">
        <f>SUBTOTAL(109,Tableau_Lancer_la_requête_à_partir_de_Excel_Files10256[''87''])</f>
        <v>0</v>
      </c>
      <c r="AN18" s="85">
        <f>SUBTOTAL(109,Tableau_Lancer_la_requête_à_partir_de_Excel_Files10256[''89''])</f>
        <v>0</v>
      </c>
      <c r="AO18" s="85">
        <f>SUBTOTAL(109,Tableau_Lancer_la_requête_à_partir_de_Excel_Files10256[''Autre Public''])</f>
        <v>37576</v>
      </c>
      <c r="AP18" s="87"/>
      <c r="AR18" s="29"/>
    </row>
    <row r="19" spans="1:81" x14ac:dyDescent="0.25">
      <c r="CB19" s="4"/>
      <c r="CC19" s="3"/>
    </row>
    <row r="28" spans="1:81" hidden="1" x14ac:dyDescent="0.25">
      <c r="E28" s="3" t="s">
        <v>353</v>
      </c>
      <c r="F28" s="6" t="s">
        <v>351</v>
      </c>
    </row>
    <row r="29" spans="1:81" hidden="1" x14ac:dyDescent="0.25">
      <c r="D29" t="s">
        <v>112</v>
      </c>
      <c r="E29" s="3">
        <f>SUMIF(Tableau_Lancer_la_requête_à_partir_de_Excel_Files10256[Avis Prog],"1-Favorable",Tableau_Lancer_la_requête_à_partir_de_Excel_Files10256[''FEDER''])</f>
        <v>474232.53</v>
      </c>
      <c r="F29" s="3" t="e">
        <f>SUMIF(#REF!,"1-Favorable",Tableau_Lancer_la_requête_à_partir_de_Excel_Files10256[''FEDER''])</f>
        <v>#REF!</v>
      </c>
    </row>
    <row r="30" spans="1:81" hidden="1" x14ac:dyDescent="0.25">
      <c r="D30" t="s">
        <v>56</v>
      </c>
      <c r="E30" s="3">
        <f>SUMIF(Tableau_Lancer_la_requête_à_partir_de_Excel_Files10256[Avis Prog],"1-Favorable",Tableau_Lancer_la_requête_à_partir_de_Excel_Files10256[Total Etat])</f>
        <v>514863.17000000004</v>
      </c>
      <c r="F30" s="3" t="e">
        <f>SUMIF(#REF!,"1-Favorable",Tableau_Lancer_la_requête_à_partir_de_Excel_Files10256[Total Etat])</f>
        <v>#REF!</v>
      </c>
    </row>
    <row r="31" spans="1:81" hidden="1" x14ac:dyDescent="0.25">
      <c r="D31" t="s">
        <v>57</v>
      </c>
      <c r="E31" s="3">
        <f>SUMIF(Tableau_Lancer_la_requête_à_partir_de_Excel_Files10256[Avis Prog],"1-Favorable",Tableau_Lancer_la_requête_à_partir_de_Excel_Files10256[Total Régions])</f>
        <v>124058.26000000001</v>
      </c>
      <c r="F31" s="3" t="e">
        <f>SUMIF(#REF!,"1-Favorable",Tableau_Lancer_la_requête_à_partir_de_Excel_Files10256[Total Régions])</f>
        <v>#REF!</v>
      </c>
    </row>
    <row r="32" spans="1:81" hidden="1" x14ac:dyDescent="0.25">
      <c r="D32" s="3" t="s">
        <v>113</v>
      </c>
      <c r="E32" s="3">
        <f>SUMIF(Tableau_Lancer_la_requête_à_partir_de_Excel_Files10256[Avis Prog],"1-Favorable",Tableau_Lancer_la_requête_à_partir_de_Excel_Files10256[''ALPC''])</f>
        <v>35000</v>
      </c>
      <c r="F32" s="3" t="e">
        <f>SUMIF(#REF!,"1-Favorable",Tableau_Lancer_la_requête_à_partir_de_Excel_Files10256[''ALPC''])</f>
        <v>#REF!</v>
      </c>
    </row>
    <row r="33" spans="4:6" hidden="1" x14ac:dyDescent="0.25">
      <c r="D33" s="3" t="s">
        <v>114</v>
      </c>
      <c r="E33" s="3">
        <f>SUMIF(Tableau_Lancer_la_requête_à_partir_de_Excel_Files10256[Avis Prog],"1-Favorable",Tableau_Lancer_la_requête_à_partir_de_Excel_Files10256[''AURA''])</f>
        <v>10043.959999999999</v>
      </c>
      <c r="F33" s="3" t="e">
        <f>SUMIF(#REF!,"1-Favorable",Tableau_Lancer_la_requête_à_partir_de_Excel_Files10256[''AURA''])</f>
        <v>#REF!</v>
      </c>
    </row>
    <row r="34" spans="4:6" hidden="1" x14ac:dyDescent="0.25">
      <c r="D34" s="3" t="s">
        <v>115</v>
      </c>
      <c r="E34" s="3">
        <f>SUMIF(Tableau_Lancer_la_requête_à_partir_de_Excel_Files10256[Avis Prog],"1-Favorable",Tableau_Lancer_la_requête_à_partir_de_Excel_Files10256[''BFC''])</f>
        <v>0</v>
      </c>
      <c r="F34" s="3" t="e">
        <f>SUMIF(#REF!,"1-Favorable",Tableau_Lancer_la_requête_à_partir_de_Excel_Files10256[''BFC''])</f>
        <v>#REF!</v>
      </c>
    </row>
    <row r="35" spans="4:6" hidden="1" x14ac:dyDescent="0.25">
      <c r="D35" s="3" t="s">
        <v>116</v>
      </c>
      <c r="E35" s="3">
        <f>SUMIF(Tableau_Lancer_la_requête_à_partir_de_Excel_Files10256[Avis Prog],"1-Favorable",Tableau_Lancer_la_requête_à_partir_de_Excel_Files10256[''LRMP''])</f>
        <v>79014.3</v>
      </c>
      <c r="F35" s="3" t="e">
        <f>SUMIF(#REF!,"1-Favorable",Tableau_Lancer_la_requête_à_partir_de_Excel_Files10256[''LRMP''])</f>
        <v>#REF!</v>
      </c>
    </row>
    <row r="36" spans="4:6" hidden="1" x14ac:dyDescent="0.25">
      <c r="D36" t="s">
        <v>58</v>
      </c>
      <c r="E36" s="3">
        <f>SUMIF(Tableau_Lancer_la_requête_à_partir_de_Excel_Files10256[Avis Prog],"1-Favorable",Tableau_Lancer_la_requête_à_partir_de_Excel_Files10256[Total Dpts])</f>
        <v>27454</v>
      </c>
      <c r="F36" s="3" t="e">
        <f>SUMIF(#REF!,"1-Favorable",Tableau_Lancer_la_requête_à_partir_de_Excel_Files10256[Total Dpts])</f>
        <v>#REF!</v>
      </c>
    </row>
    <row r="37" spans="4:6" hidden="1" x14ac:dyDescent="0.25">
      <c r="D37" t="s">
        <v>32</v>
      </c>
      <c r="E37" s="3">
        <f>SUMIF(Tableau_Lancer_la_requête_à_partir_de_Excel_Files10256[Avis Prog],"1-Favorable",Tableau_Lancer_la_requête_à_partir_de_Excel_Files10256[''03''])</f>
        <v>0</v>
      </c>
      <c r="F37" s="3" t="e">
        <f>SUMIF(#REF!,"1-Favorable",Tableau_Lancer_la_requête_à_partir_de_Excel_Files10256[''03''])</f>
        <v>#REF!</v>
      </c>
    </row>
    <row r="38" spans="4:6" hidden="1" x14ac:dyDescent="0.25">
      <c r="D38" t="s">
        <v>33</v>
      </c>
      <c r="E38" s="3">
        <f>SUMIF(Tableau_Lancer_la_requête_à_partir_de_Excel_Files10256[Avis Prog],"1-Favorable",Tableau_Lancer_la_requête_à_partir_de_Excel_Files10256[''07''])</f>
        <v>0</v>
      </c>
      <c r="F38" s="3" t="e">
        <f>SUMIF(#REF!,"1-Favorable",Tableau_Lancer_la_requête_à_partir_de_Excel_Files10256[''07''])</f>
        <v>#REF!</v>
      </c>
    </row>
    <row r="39" spans="4:6" hidden="1" x14ac:dyDescent="0.25">
      <c r="D39" t="s">
        <v>34</v>
      </c>
      <c r="E39" s="3">
        <f>SUMIF(Tableau_Lancer_la_requête_à_partir_de_Excel_Files10256[Avis Prog],"1-Favorable",Tableau_Lancer_la_requête_à_partir_de_Excel_Files10256[''11''])</f>
        <v>0</v>
      </c>
      <c r="F39" s="3" t="e">
        <f>SUMIF(#REF!,"1-Favorable",Tableau_Lancer_la_requête_à_partir_de_Excel_Files10256[''11''])</f>
        <v>#REF!</v>
      </c>
    </row>
    <row r="40" spans="4:6" hidden="1" x14ac:dyDescent="0.25">
      <c r="D40" t="s">
        <v>35</v>
      </c>
      <c r="E40" s="3">
        <f>SUMIF(Tableau_Lancer_la_requête_à_partir_de_Excel_Files10256[Avis Prog],"1-Favorable",Tableau_Lancer_la_requête_à_partir_de_Excel_Files10256[''12''])</f>
        <v>0</v>
      </c>
      <c r="F40" s="3" t="e">
        <f>SUMIF(#REF!,"1-Favorable",Tableau_Lancer_la_requête_à_partir_de_Excel_Files10256[''12''])</f>
        <v>#REF!</v>
      </c>
    </row>
    <row r="41" spans="4:6" hidden="1" x14ac:dyDescent="0.25">
      <c r="D41" t="s">
        <v>36</v>
      </c>
      <c r="E41" s="3">
        <f>SUMIF(Tableau_Lancer_la_requête_à_partir_de_Excel_Files10256[Avis Prog],"1-Favorable",Tableau_Lancer_la_requête_à_partir_de_Excel_Files10256[''15''])</f>
        <v>0</v>
      </c>
      <c r="F41" s="3" t="e">
        <f>SUMIF(#REF!,"1-Favorable",Tableau_Lancer_la_requête_à_partir_de_Excel_Files10256[''15''])</f>
        <v>#REF!</v>
      </c>
    </row>
    <row r="42" spans="4:6" hidden="1" x14ac:dyDescent="0.25">
      <c r="D42" t="s">
        <v>37</v>
      </c>
      <c r="E42" s="3">
        <f>SUMIF(Tableau_Lancer_la_requête_à_partir_de_Excel_Files10256[Avis Prog],"1-Favorable",Tableau_Lancer_la_requête_à_partir_de_Excel_Files10256[''19''])</f>
        <v>4000</v>
      </c>
      <c r="F42" s="3" t="e">
        <f>SUMIF(#REF!,"1-Favorable",Tableau_Lancer_la_requête_à_partir_de_Excel_Files10256[''19''])</f>
        <v>#REF!</v>
      </c>
    </row>
    <row r="43" spans="4:6" hidden="1" x14ac:dyDescent="0.25">
      <c r="D43" t="s">
        <v>38</v>
      </c>
      <c r="E43" s="3">
        <f>SUMIF(Tableau_Lancer_la_requête_à_partir_de_Excel_Files10256[Avis Prog],"1-Favorable",Tableau_Lancer_la_requête_à_partir_de_Excel_Files10256[''21''])</f>
        <v>0</v>
      </c>
      <c r="F43" s="3" t="e">
        <f>SUMIF(#REF!,"1-Favorable",Tableau_Lancer_la_requête_à_partir_de_Excel_Files10256[''21''])</f>
        <v>#REF!</v>
      </c>
    </row>
    <row r="44" spans="4:6" hidden="1" x14ac:dyDescent="0.25">
      <c r="D44" t="s">
        <v>39</v>
      </c>
      <c r="E44" s="3">
        <f>SUMIF(Tableau_Lancer_la_requête_à_partir_de_Excel_Files10256[Avis Prog],"1-Favorable",Tableau_Lancer_la_requête_à_partir_de_Excel_Files10256[''23''])</f>
        <v>0</v>
      </c>
      <c r="F44" s="3" t="e">
        <f>SUMIF(#REF!,"1-Favorable",Tableau_Lancer_la_requête_à_partir_de_Excel_Files10256[''23''])</f>
        <v>#REF!</v>
      </c>
    </row>
    <row r="45" spans="4:6" hidden="1" x14ac:dyDescent="0.25">
      <c r="D45" t="s">
        <v>40</v>
      </c>
      <c r="E45" s="3">
        <f>SUMIF(Tableau_Lancer_la_requête_à_partir_de_Excel_Files10256[Avis Prog],"1-Favorable",Tableau_Lancer_la_requête_à_partir_de_Excel_Files10256[''30''])</f>
        <v>0</v>
      </c>
      <c r="F45" s="3" t="e">
        <f>SUMIF(#REF!,"1-Favorable",Tableau_Lancer_la_requête_à_partir_de_Excel_Files10256[''30''])</f>
        <v>#REF!</v>
      </c>
    </row>
    <row r="46" spans="4:6" hidden="1" x14ac:dyDescent="0.25">
      <c r="D46" t="s">
        <v>41</v>
      </c>
      <c r="E46" s="3">
        <f>SUMIF(Tableau_Lancer_la_requête_à_partir_de_Excel_Files10256[Avis Prog],"1-Favorable",Tableau_Lancer_la_requête_à_partir_de_Excel_Files10256[''34''])</f>
        <v>0</v>
      </c>
      <c r="F46" s="3" t="e">
        <f>SUMIF(#REF!,"1-Favorable",Tableau_Lancer_la_requête_à_partir_de_Excel_Files10256[''34''])</f>
        <v>#REF!</v>
      </c>
    </row>
    <row r="47" spans="4:6" hidden="1" x14ac:dyDescent="0.25">
      <c r="D47" t="s">
        <v>42</v>
      </c>
      <c r="E47" s="3">
        <f>SUMIF(Tableau_Lancer_la_requête_à_partir_de_Excel_Files10256[Avis Prog],"1-Favorable",Tableau_Lancer_la_requête_à_partir_de_Excel_Files10256[''42''])</f>
        <v>0</v>
      </c>
      <c r="F47" s="3" t="e">
        <f>SUMIF(#REF!,"1-Favorable",Tableau_Lancer_la_requête_à_partir_de_Excel_Files10256[''42''])</f>
        <v>#REF!</v>
      </c>
    </row>
    <row r="48" spans="4:6" hidden="1" x14ac:dyDescent="0.25">
      <c r="D48" t="s">
        <v>43</v>
      </c>
      <c r="E48" s="3">
        <f>SUMIF(Tableau_Lancer_la_requête_à_partir_de_Excel_Files10256[Avis Prog],"1-Favorable",Tableau_Lancer_la_requête_à_partir_de_Excel_Files10256[''43''])</f>
        <v>0</v>
      </c>
      <c r="F48" s="3" t="e">
        <f>SUMIF(#REF!,"1-Favorable",Tableau_Lancer_la_requête_à_partir_de_Excel_Files10256[''43''])</f>
        <v>#REF!</v>
      </c>
    </row>
    <row r="49" spans="4:6" hidden="1" x14ac:dyDescent="0.25">
      <c r="D49" t="s">
        <v>44</v>
      </c>
      <c r="E49" s="3">
        <f>SUMIF(Tableau_Lancer_la_requête_à_partir_de_Excel_Files10256[Avis Prog],"1-Favorable",Tableau_Lancer_la_requête_à_partir_de_Excel_Files10256[''46''])</f>
        <v>16500</v>
      </c>
      <c r="F49" s="3" t="e">
        <f>SUMIF(#REF!,"1-Favorable",Tableau_Lancer_la_requête_à_partir_de_Excel_Files10256[''46''])</f>
        <v>#REF!</v>
      </c>
    </row>
    <row r="50" spans="4:6" hidden="1" x14ac:dyDescent="0.25">
      <c r="D50" t="s">
        <v>45</v>
      </c>
      <c r="E50" s="3">
        <f>SUMIF(Tableau_Lancer_la_requête_à_partir_de_Excel_Files10256[Avis Prog],"1-Favorable",Tableau_Lancer_la_requête_à_partir_de_Excel_Files10256[''48''])</f>
        <v>0</v>
      </c>
      <c r="F50" s="3" t="e">
        <f>SUMIF(#REF!,"1-Favorable",Tableau_Lancer_la_requête_à_partir_de_Excel_Files10256[''48''])</f>
        <v>#REF!</v>
      </c>
    </row>
    <row r="51" spans="4:6" hidden="1" x14ac:dyDescent="0.25">
      <c r="D51" t="s">
        <v>46</v>
      </c>
      <c r="E51" s="3">
        <f>SUMIF(Tableau_Lancer_la_requête_à_partir_de_Excel_Files10256[Avis Prog],"1-Favorable",Tableau_Lancer_la_requête_à_partir_de_Excel_Files10256[''58''])</f>
        <v>0</v>
      </c>
      <c r="F51" s="3" t="e">
        <f>SUMIF(#REF!,"1-Favorable",Tableau_Lancer_la_requête_à_partir_de_Excel_Files10256[''58''])</f>
        <v>#REF!</v>
      </c>
    </row>
    <row r="52" spans="4:6" hidden="1" x14ac:dyDescent="0.25">
      <c r="D52" t="s">
        <v>47</v>
      </c>
      <c r="E52" s="3">
        <f>SUMIF(Tableau_Lancer_la_requête_à_partir_de_Excel_Files10256[Avis Prog],"1-Favorable",Tableau_Lancer_la_requête_à_partir_de_Excel_Files10256[''63''])</f>
        <v>0</v>
      </c>
      <c r="F52" s="3" t="e">
        <f>SUMIF(#REF!,"1-Favorable",Tableau_Lancer_la_requête_à_partir_de_Excel_Files10256[''63''])</f>
        <v>#REF!</v>
      </c>
    </row>
    <row r="53" spans="4:6" hidden="1" x14ac:dyDescent="0.25">
      <c r="D53" t="s">
        <v>48</v>
      </c>
      <c r="E53" s="3">
        <f>SUMIF(Tableau_Lancer_la_requête_à_partir_de_Excel_Files10256[Avis Prog],"1-Favorable",Tableau_Lancer_la_requête_à_partir_de_Excel_Files10256[''69''])</f>
        <v>0</v>
      </c>
      <c r="F53" s="3" t="e">
        <f>SUMIF(#REF!,"1-Favorable",Tableau_Lancer_la_requête_à_partir_de_Excel_Files10256[''69''])</f>
        <v>#REF!</v>
      </c>
    </row>
    <row r="54" spans="4:6" hidden="1" x14ac:dyDescent="0.25">
      <c r="D54" t="s">
        <v>49</v>
      </c>
      <c r="E54" s="3">
        <f>SUMIF(Tableau_Lancer_la_requête_à_partir_de_Excel_Files10256[Avis Prog],"1-Favorable",Tableau_Lancer_la_requête_à_partir_de_Excel_Files10256[''71''])</f>
        <v>0</v>
      </c>
      <c r="F54" s="3" t="e">
        <f>SUMIF(#REF!,"1-Favorable",Tableau_Lancer_la_requête_à_partir_de_Excel_Files10256[''71''])</f>
        <v>#REF!</v>
      </c>
    </row>
    <row r="55" spans="4:6" hidden="1" x14ac:dyDescent="0.25">
      <c r="D55" t="s">
        <v>50</v>
      </c>
      <c r="E55" s="3">
        <f>SUMIF(Tableau_Lancer_la_requête_à_partir_de_Excel_Files10256[Avis Prog],"1-Favorable",Tableau_Lancer_la_requête_à_partir_de_Excel_Files10256[''81''])</f>
        <v>6000</v>
      </c>
      <c r="F55" s="3" t="e">
        <f>SUMIF(#REF!,"1-Favorable",Tableau_Lancer_la_requête_à_partir_de_Excel_Files10256[''81''])</f>
        <v>#REF!</v>
      </c>
    </row>
    <row r="56" spans="4:6" hidden="1" x14ac:dyDescent="0.25">
      <c r="D56" t="s">
        <v>51</v>
      </c>
      <c r="E56" s="3">
        <f>SUMIF(Tableau_Lancer_la_requête_à_partir_de_Excel_Files10256[Avis Prog],"1-Favorable",Tableau_Lancer_la_requête_à_partir_de_Excel_Files10256[''82''])</f>
        <v>954</v>
      </c>
      <c r="F56" s="3" t="e">
        <f>SUMIF(#REF!,"1-Favorable",Tableau_Lancer_la_requête_à_partir_de_Excel_Files10256[''82''])</f>
        <v>#REF!</v>
      </c>
    </row>
    <row r="57" spans="4:6" hidden="1" x14ac:dyDescent="0.25">
      <c r="D57" t="s">
        <v>52</v>
      </c>
      <c r="E57" s="3">
        <f>SUMIF(Tableau_Lancer_la_requête_à_partir_de_Excel_Files10256[Avis Prog],"1-Favorable",Tableau_Lancer_la_requête_à_partir_de_Excel_Files10256[''87''])</f>
        <v>0</v>
      </c>
      <c r="F57" s="3" t="e">
        <f>SUMIF(#REF!,"1-Favorable",Tableau_Lancer_la_requête_à_partir_de_Excel_Files10256[''87''])</f>
        <v>#REF!</v>
      </c>
    </row>
    <row r="58" spans="4:6" hidden="1" x14ac:dyDescent="0.25">
      <c r="D58" t="s">
        <v>53</v>
      </c>
      <c r="E58" s="3">
        <f>SUMIF(Tableau_Lancer_la_requête_à_partir_de_Excel_Files10256[Avis Prog],"1-Favorable",Tableau_Lancer_la_requête_à_partir_de_Excel_Files10256[''89''])</f>
        <v>0</v>
      </c>
      <c r="F58" s="3" t="e">
        <f>SUMIF(#REF!,"1-Favorable",Tableau_Lancer_la_requête_à_partir_de_Excel_Files10256[''89''])</f>
        <v>#REF!</v>
      </c>
    </row>
  </sheetData>
  <conditionalFormatting sqref="K7:K17 AP7:AP17">
    <cfRule type="cellIs" dxfId="652" priority="5" operator="equal">
      <formula>"6-Retiré/Abandon"</formula>
    </cfRule>
    <cfRule type="cellIs" dxfId="651" priority="6" operator="equal">
      <formula>"5-Défavorable"</formula>
    </cfRule>
    <cfRule type="cellIs" dxfId="650" priority="7" operator="equal">
      <formula>"4-Ajournement"</formula>
    </cfRule>
    <cfRule type="cellIs" dxfId="649" priority="8" operator="equal">
      <formula>"1-Favorable"</formula>
    </cfRule>
  </conditionalFormatting>
  <conditionalFormatting sqref="AR7 AR16:AR17 AR9:AR13">
    <cfRule type="cellIs" dxfId="648" priority="1" operator="equal">
      <formula>"6-Retiré/Abandon"</formula>
    </cfRule>
    <cfRule type="cellIs" dxfId="647" priority="2" operator="equal">
      <formula>"5-Défavorable"</formula>
    </cfRule>
    <cfRule type="cellIs" dxfId="646" priority="3" operator="equal">
      <formula>"4-Ajournement"</formula>
    </cfRule>
    <cfRule type="cellIs" dxfId="645" priority="4" operator="equal">
      <formula>"1-Favorable"</formula>
    </cfRule>
  </conditionalFormatting>
  <dataValidations count="1">
    <dataValidation type="list" allowBlank="1" showInputMessage="1" showErrorMessage="1" sqref="AP7:AP17">
      <formula1>"1-Favorable,4-Ajournement,5-Défavorable,6-Retiré/Abandon"</formula1>
    </dataValidation>
  </dataValidations>
  <printOptions horizontalCentered="1" verticalCentered="1"/>
  <pageMargins left="0.25" right="0.25" top="0.75" bottom="0.75" header="0.3" footer="0.3"/>
  <pageSetup paperSize="8" scale="63"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62"/>
  <sheetViews>
    <sheetView view="pageBreakPreview" topLeftCell="E3" zoomScale="80" zoomScaleNormal="60" zoomScaleSheetLayoutView="80" workbookViewId="0">
      <selection activeCell="AS14" sqref="AS14"/>
    </sheetView>
  </sheetViews>
  <sheetFormatPr baseColWidth="10" defaultRowHeight="15" outlineLevelCol="1" x14ac:dyDescent="0.25"/>
  <cols>
    <col min="1" max="1" width="17" style="3" customWidth="1"/>
    <col min="2" max="2" width="15.85546875" style="4" customWidth="1"/>
    <col min="3" max="3" width="48" style="5" customWidth="1"/>
    <col min="4" max="4" width="63.140625" style="3" customWidth="1"/>
    <col min="5" max="5" width="19.85546875" style="3" customWidth="1"/>
    <col min="6" max="6" width="19.7109375" style="6" bestFit="1" customWidth="1"/>
    <col min="7" max="7" width="13.5703125" style="3" customWidth="1"/>
    <col min="8" max="8" width="18.42578125" style="6" customWidth="1"/>
    <col min="9" max="9" width="14.5703125" style="3" customWidth="1"/>
    <col min="10" max="10" width="15" style="3" bestFit="1" customWidth="1"/>
    <col min="11" max="11" width="21.85546875" style="3" bestFit="1" customWidth="1"/>
    <col min="12" max="12" width="16.5703125" style="3" hidden="1" customWidth="1" outlineLevel="1"/>
    <col min="13" max="13" width="13.7109375" style="3" hidden="1" customWidth="1" outlineLevel="1"/>
    <col min="14" max="14" width="19.42578125" style="3" bestFit="1" customWidth="1" collapsed="1"/>
    <col min="15" max="15" width="18.28515625" style="3" hidden="1" customWidth="1" outlineLevel="1"/>
    <col min="16" max="16" width="18.42578125" style="3" hidden="1" customWidth="1" outlineLevel="1"/>
    <col min="17" max="17" width="11.7109375" style="3" hidden="1" customWidth="1" outlineLevel="1"/>
    <col min="18" max="18" width="16.140625" style="3" hidden="1" customWidth="1" outlineLevel="1"/>
    <col min="19" max="19" width="16.140625" style="3" bestFit="1" customWidth="1" collapsed="1"/>
    <col min="20" max="40" width="8.7109375" style="3" hidden="1" customWidth="1" outlineLevel="1"/>
    <col min="41" max="41" width="14.7109375" style="3" hidden="1" customWidth="1" outlineLevel="1"/>
    <col min="42" max="42" width="15.85546875" style="3" customWidth="1" collapsed="1"/>
    <col min="43" max="43" width="11.5703125" style="3" customWidth="1"/>
    <col min="44" max="44" width="15.42578125" style="3" hidden="1" customWidth="1"/>
    <col min="45" max="45" width="70.42578125" style="3" customWidth="1"/>
    <col min="46" max="46" width="15.42578125" style="3" bestFit="1" customWidth="1"/>
    <col min="47" max="47" width="17.28515625" style="3" bestFit="1" customWidth="1"/>
    <col min="48" max="48" width="9.42578125" style="3" customWidth="1"/>
    <col min="49" max="63" width="9.7109375" style="3" customWidth="1"/>
    <col min="64" max="64" width="15.140625" style="3" customWidth="1"/>
    <col min="65" max="65" width="14.5703125" style="3" customWidth="1"/>
    <col min="66" max="66" width="18.5703125" style="3" customWidth="1"/>
    <col min="67" max="67" width="12.5703125" style="3" customWidth="1"/>
    <col min="68" max="68" width="20.42578125" style="3" customWidth="1"/>
    <col min="69" max="69" width="12.7109375" style="3" customWidth="1"/>
    <col min="70" max="70" width="9.28515625" style="3" customWidth="1"/>
    <col min="71" max="71" width="14.28515625" style="3" customWidth="1"/>
    <col min="72" max="72" width="11.42578125" style="3" customWidth="1"/>
    <col min="73" max="73" width="9" style="3" customWidth="1"/>
    <col min="74" max="74" width="9.5703125" style="3" customWidth="1"/>
    <col min="75" max="75" width="11" style="3" customWidth="1"/>
    <col min="76" max="76" width="12.7109375" style="3" customWidth="1"/>
    <col min="77" max="79" width="9.7109375" style="3" customWidth="1"/>
    <col min="80" max="80" width="15.140625" style="3" customWidth="1"/>
    <col min="81" max="81" width="17.28515625" style="3" customWidth="1"/>
    <col min="82" max="82" width="49.28515625" style="4" customWidth="1"/>
    <col min="83" max="83" width="17.28515625" style="3" customWidth="1"/>
    <col min="84" max="16384" width="11.42578125" style="3"/>
  </cols>
  <sheetData>
    <row r="1" spans="1:82" ht="18.75" x14ac:dyDescent="0.3">
      <c r="A1" s="107" t="s">
        <v>250</v>
      </c>
      <c r="B1" s="107"/>
      <c r="C1" s="22">
        <v>42523</v>
      </c>
    </row>
    <row r="5" spans="1:82" x14ac:dyDescent="0.25">
      <c r="A5" s="1" t="s">
        <v>246</v>
      </c>
      <c r="B5" s="2"/>
    </row>
    <row r="6" spans="1:82" s="7" customFormat="1" ht="30" x14ac:dyDescent="0.25">
      <c r="A6" s="7" t="s">
        <v>261</v>
      </c>
      <c r="B6" s="7" t="s">
        <v>10</v>
      </c>
      <c r="C6" s="7" t="s">
        <v>1</v>
      </c>
      <c r="D6" s="7" t="s">
        <v>2</v>
      </c>
      <c r="E6" s="7" t="s">
        <v>72</v>
      </c>
      <c r="F6" s="7" t="s">
        <v>108</v>
      </c>
      <c r="G6" s="7" t="s">
        <v>73</v>
      </c>
      <c r="H6" s="7" t="s">
        <v>70</v>
      </c>
      <c r="I6" s="7" t="s">
        <v>109</v>
      </c>
      <c r="J6" s="7" t="s">
        <v>54</v>
      </c>
      <c r="K6" s="7" t="s">
        <v>129</v>
      </c>
      <c r="L6" s="7" t="s">
        <v>159</v>
      </c>
      <c r="M6" s="7" t="s">
        <v>27</v>
      </c>
      <c r="N6" s="7" t="s">
        <v>130</v>
      </c>
      <c r="O6" s="7" t="s">
        <v>30</v>
      </c>
      <c r="P6" s="7" t="s">
        <v>28</v>
      </c>
      <c r="Q6" s="7" t="s">
        <v>29</v>
      </c>
      <c r="R6" s="7" t="s">
        <v>31</v>
      </c>
      <c r="S6" s="7" t="s">
        <v>131</v>
      </c>
      <c r="T6" s="7" t="s">
        <v>32</v>
      </c>
      <c r="U6" s="7" t="s">
        <v>33</v>
      </c>
      <c r="V6" s="7" t="s">
        <v>34</v>
      </c>
      <c r="W6" s="7" t="s">
        <v>35</v>
      </c>
      <c r="X6" s="7" t="s">
        <v>36</v>
      </c>
      <c r="Y6" s="7" t="s">
        <v>37</v>
      </c>
      <c r="Z6" s="7" t="s">
        <v>38</v>
      </c>
      <c r="AA6" s="7" t="s">
        <v>39</v>
      </c>
      <c r="AB6" s="7" t="s">
        <v>40</v>
      </c>
      <c r="AC6" s="7" t="s">
        <v>41</v>
      </c>
      <c r="AD6" s="7" t="s">
        <v>42</v>
      </c>
      <c r="AE6" s="7" t="s">
        <v>43</v>
      </c>
      <c r="AF6" s="7" t="s">
        <v>44</v>
      </c>
      <c r="AG6" s="7" t="s">
        <v>45</v>
      </c>
      <c r="AH6" s="7" t="s">
        <v>46</v>
      </c>
      <c r="AI6" s="7" t="s">
        <v>47</v>
      </c>
      <c r="AJ6" s="7" t="s">
        <v>48</v>
      </c>
      <c r="AK6" s="7" t="s">
        <v>49</v>
      </c>
      <c r="AL6" s="7" t="s">
        <v>50</v>
      </c>
      <c r="AM6" s="7" t="s">
        <v>51</v>
      </c>
      <c r="AN6" s="7" t="s">
        <v>52</v>
      </c>
      <c r="AO6" s="7" t="s">
        <v>53</v>
      </c>
      <c r="AP6" s="7" t="s">
        <v>55</v>
      </c>
      <c r="AQ6" s="17" t="s">
        <v>110</v>
      </c>
      <c r="AS6" s="31" t="s">
        <v>128</v>
      </c>
    </row>
    <row r="7" spans="1:82" s="10" customFormat="1" ht="30" x14ac:dyDescent="0.25">
      <c r="A7" s="68" t="s">
        <v>258</v>
      </c>
      <c r="B7" s="13" t="s">
        <v>185</v>
      </c>
      <c r="C7" s="12" t="s">
        <v>186</v>
      </c>
      <c r="D7" s="12" t="s">
        <v>187</v>
      </c>
      <c r="E7" s="15">
        <v>212389.26</v>
      </c>
      <c r="F7" s="15">
        <f>Tableau_Lancer_la_requête_à_partir_de_Excel_Files102567[[#This Row],[Aide Massif]]+Tableau_Lancer_la_requête_à_partir_de_Excel_Files102567[[#This Row],[''Autre Public'']]</f>
        <v>186521.95</v>
      </c>
      <c r="G7" s="16">
        <f>Tableau_Lancer_la_requête_à_partir_de_Excel_Files102567[[#This Row],[Aide 
publique]]/Tableau_Lancer_la_requête_à_partir_de_Excel_Files102567[[#This Row],[''Coût total éligible'']]</f>
        <v>0.87820801296638074</v>
      </c>
      <c r="H7" s="15">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186521.95</v>
      </c>
      <c r="I7" s="16">
        <f>Tableau_Lancer_la_requête_à_partir_de_Excel_Files102567[[#This Row],[Aide Massif]]/Tableau_Lancer_la_requête_à_partir_de_Excel_Files102567[[#This Row],[''Coût total éligible'']]</f>
        <v>0.87820801296638074</v>
      </c>
      <c r="J7" s="15">
        <v>104519.63</v>
      </c>
      <c r="K7" s="15">
        <f>Tableau_Lancer_la_requête_à_partir_de_Excel_Files102567[[#This Row],[''FNADT '']]+Tableau_Lancer_la_requête_à_partir_de_Excel_Files102567[[#This Row],[''Agriculture'']]</f>
        <v>19500</v>
      </c>
      <c r="L7" s="11">
        <v>19500</v>
      </c>
      <c r="M7" s="15"/>
      <c r="N7" s="15">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50502.32</v>
      </c>
      <c r="O7" s="15"/>
      <c r="P7" s="15">
        <v>50502.32</v>
      </c>
      <c r="Q7" s="15"/>
      <c r="R7" s="15"/>
      <c r="S7" s="15">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12000</v>
      </c>
      <c r="T7" s="15"/>
      <c r="U7" s="15">
        <v>12000</v>
      </c>
      <c r="V7" s="15"/>
      <c r="W7" s="15"/>
      <c r="X7" s="15"/>
      <c r="Y7" s="15"/>
      <c r="Z7" s="15"/>
      <c r="AA7" s="15"/>
      <c r="AB7" s="15"/>
      <c r="AC7" s="15"/>
      <c r="AD7" s="15"/>
      <c r="AE7" s="15"/>
      <c r="AF7" s="15"/>
      <c r="AG7" s="15"/>
      <c r="AH7" s="15"/>
      <c r="AI7" s="15"/>
      <c r="AJ7" s="15"/>
      <c r="AK7" s="15"/>
      <c r="AL7" s="15"/>
      <c r="AM7" s="15"/>
      <c r="AN7" s="15"/>
      <c r="AO7" s="15"/>
      <c r="AP7" s="15">
        <v>0</v>
      </c>
      <c r="AQ7" s="11" t="s">
        <v>77</v>
      </c>
      <c r="AS7" s="24" t="s">
        <v>415</v>
      </c>
    </row>
    <row r="8" spans="1:82" s="10" customFormat="1" ht="30" x14ac:dyDescent="0.25">
      <c r="A8" s="69" t="s">
        <v>258</v>
      </c>
      <c r="B8" s="6" t="s">
        <v>185</v>
      </c>
      <c r="C8" s="5" t="s">
        <v>188</v>
      </c>
      <c r="D8" s="5" t="s">
        <v>189</v>
      </c>
      <c r="E8" s="8">
        <v>24998.12</v>
      </c>
      <c r="F8" s="8">
        <f>Tableau_Lancer_la_requête_à_partir_de_Excel_Files102567[[#This Row],[Aide Massif]]+Tableau_Lancer_la_requête_à_partir_de_Excel_Files102567[[#This Row],[''Autre Public'']]</f>
        <v>19748.059999999998</v>
      </c>
      <c r="G8" s="9">
        <f>Tableau_Lancer_la_requête_à_partir_de_Excel_Files102567[[#This Row],[Aide 
publique]]/Tableau_Lancer_la_requête_à_partir_de_Excel_Files102567[[#This Row],[''Coût total éligible'']]</f>
        <v>0.78998180663185869</v>
      </c>
      <c r="H8" s="15">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19748.059999999998</v>
      </c>
      <c r="I8" s="9">
        <f>Tableau_Lancer_la_requête_à_partir_de_Excel_Files102567[[#This Row],[Aide Massif]]/Tableau_Lancer_la_requête_à_partir_de_Excel_Files102567[[#This Row],[''Coût total éligible'']]</f>
        <v>0.78998180663185869</v>
      </c>
      <c r="J8" s="8">
        <v>12249.06</v>
      </c>
      <c r="K8" s="8">
        <f>Tableau_Lancer_la_requête_à_partir_de_Excel_Files102567[[#This Row],[''FNADT '']]+Tableau_Lancer_la_requête_à_partir_de_Excel_Files102567[[#This Row],[''Agriculture'']]</f>
        <v>7499</v>
      </c>
      <c r="L8" s="10">
        <v>7499</v>
      </c>
      <c r="M8" s="8"/>
      <c r="N8" s="8">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8" s="8"/>
      <c r="P8" s="8"/>
      <c r="Q8" s="8"/>
      <c r="R8" s="8"/>
      <c r="S8" s="8">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8" s="8"/>
      <c r="U8" s="8"/>
      <c r="V8" s="8"/>
      <c r="W8" s="8"/>
      <c r="X8" s="8"/>
      <c r="Y8" s="8"/>
      <c r="Z8" s="8"/>
      <c r="AA8" s="8"/>
      <c r="AB8" s="8"/>
      <c r="AC8" s="8"/>
      <c r="AD8" s="8"/>
      <c r="AE8" s="8"/>
      <c r="AF8" s="8"/>
      <c r="AG8" s="8"/>
      <c r="AH8" s="8"/>
      <c r="AI8" s="8"/>
      <c r="AJ8" s="8"/>
      <c r="AK8" s="8"/>
      <c r="AL8" s="8"/>
      <c r="AM8" s="8"/>
      <c r="AN8" s="8"/>
      <c r="AO8" s="8"/>
      <c r="AP8" s="8">
        <v>0</v>
      </c>
      <c r="AQ8" s="10" t="s">
        <v>77</v>
      </c>
      <c r="AS8" s="24" t="s">
        <v>415</v>
      </c>
    </row>
    <row r="9" spans="1:82" s="10" customFormat="1" ht="30" x14ac:dyDescent="0.25">
      <c r="A9" s="68" t="s">
        <v>258</v>
      </c>
      <c r="B9" s="13" t="s">
        <v>201</v>
      </c>
      <c r="C9" s="12" t="s">
        <v>202</v>
      </c>
      <c r="D9" s="12" t="s">
        <v>203</v>
      </c>
      <c r="E9" s="15">
        <v>183505.01</v>
      </c>
      <c r="F9" s="15">
        <f>Tableau_Lancer_la_requête_à_partir_de_Excel_Files102567[[#This Row],[Aide Massif]]+Tableau_Lancer_la_requête_à_partir_de_Excel_Files102567[[#This Row],[''Autre Public'']]</f>
        <v>144179.44</v>
      </c>
      <c r="G9" s="16">
        <f>Tableau_Lancer_la_requête_à_partir_de_Excel_Files102567[[#This Row],[Aide 
publique]]/Tableau_Lancer_la_requête_à_partir_de_Excel_Files102567[[#This Row],[''Coût total éligible'']]</f>
        <v>0.78569756760319509</v>
      </c>
      <c r="H9" s="15">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144179.44</v>
      </c>
      <c r="I9" s="16">
        <f>Tableau_Lancer_la_requête_à_partir_de_Excel_Files102567[[#This Row],[Aide Massif]]/Tableau_Lancer_la_requête_à_partir_de_Excel_Files102567[[#This Row],[''Coût total éligible'']]</f>
        <v>0.78569756760319509</v>
      </c>
      <c r="J9" s="15">
        <v>91750.5</v>
      </c>
      <c r="K9" s="15">
        <f>Tableau_Lancer_la_requête_à_partir_de_Excel_Files102567[[#This Row],[''FNADT '']]+Tableau_Lancer_la_requête_à_partir_de_Excel_Files102567[[#This Row],[''Agriculture'']]</f>
        <v>20464</v>
      </c>
      <c r="L9" s="11">
        <v>20464</v>
      </c>
      <c r="M9" s="15"/>
      <c r="N9" s="15">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31964.94</v>
      </c>
      <c r="O9" s="15">
        <v>31964.94</v>
      </c>
      <c r="P9" s="15"/>
      <c r="Q9" s="15"/>
      <c r="R9" s="15"/>
      <c r="S9" s="15">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9" s="15"/>
      <c r="U9" s="15"/>
      <c r="V9" s="15"/>
      <c r="W9" s="15"/>
      <c r="X9" s="15"/>
      <c r="Y9" s="15"/>
      <c r="Z9" s="15"/>
      <c r="AA9" s="15"/>
      <c r="AB9" s="15"/>
      <c r="AC9" s="15"/>
      <c r="AD9" s="15"/>
      <c r="AE9" s="15"/>
      <c r="AF9" s="15"/>
      <c r="AG9" s="15"/>
      <c r="AH9" s="15"/>
      <c r="AI9" s="15"/>
      <c r="AJ9" s="15"/>
      <c r="AK9" s="15"/>
      <c r="AL9" s="15"/>
      <c r="AM9" s="15"/>
      <c r="AN9" s="15"/>
      <c r="AO9" s="15"/>
      <c r="AP9" s="15">
        <v>0</v>
      </c>
      <c r="AQ9" s="11" t="s">
        <v>77</v>
      </c>
      <c r="AS9" s="24" t="s">
        <v>415</v>
      </c>
    </row>
    <row r="10" spans="1:82" s="10" customFormat="1" ht="30" x14ac:dyDescent="0.25">
      <c r="A10" s="69" t="s">
        <v>258</v>
      </c>
      <c r="B10" s="6" t="s">
        <v>207</v>
      </c>
      <c r="C10" s="5" t="s">
        <v>120</v>
      </c>
      <c r="D10" s="5" t="s">
        <v>208</v>
      </c>
      <c r="E10" s="8">
        <v>194470</v>
      </c>
      <c r="F10" s="8">
        <f>Tableau_Lancer_la_requête_à_partir_de_Excel_Files102567[[#This Row],[Aide Massif]]+Tableau_Lancer_la_requête_à_partir_de_Excel_Files102567[[#This Row],[''Autre Public'']]</f>
        <v>0</v>
      </c>
      <c r="G10" s="9">
        <f>Tableau_Lancer_la_requête_à_partir_de_Excel_Files102567[[#This Row],[Aide 
publique]]/Tableau_Lancer_la_requête_à_partir_de_Excel_Files102567[[#This Row],[''Coût total éligible'']]</f>
        <v>0</v>
      </c>
      <c r="H10" s="8">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0</v>
      </c>
      <c r="I10" s="9">
        <f>Tableau_Lancer_la_requête_à_partir_de_Excel_Files102567[[#This Row],[Aide Massif]]/Tableau_Lancer_la_requête_à_partir_de_Excel_Files102567[[#This Row],[''Coût total éligible'']]</f>
        <v>0</v>
      </c>
      <c r="J10" s="8">
        <v>0</v>
      </c>
      <c r="K10" s="8">
        <f>Tableau_Lancer_la_requête_à_partir_de_Excel_Files102567[[#This Row],[''FNADT '']]+Tableau_Lancer_la_requête_à_partir_de_Excel_Files102567[[#This Row],[''Agriculture'']]</f>
        <v>0</v>
      </c>
      <c r="L10" s="8"/>
      <c r="M10" s="8"/>
      <c r="N10" s="8">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0" s="8"/>
      <c r="P10" s="8"/>
      <c r="Q10" s="8">
        <v>0</v>
      </c>
      <c r="R10" s="8"/>
      <c r="S10" s="8">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0" s="8"/>
      <c r="U10" s="8"/>
      <c r="V10" s="8"/>
      <c r="W10" s="8"/>
      <c r="X10" s="8"/>
      <c r="Y10" s="8"/>
      <c r="Z10" s="8"/>
      <c r="AA10" s="8"/>
      <c r="AB10" s="8"/>
      <c r="AC10" s="8"/>
      <c r="AD10" s="8"/>
      <c r="AE10" s="8"/>
      <c r="AF10" s="8"/>
      <c r="AG10" s="8"/>
      <c r="AH10" s="8"/>
      <c r="AI10" s="8"/>
      <c r="AJ10" s="8"/>
      <c r="AK10" s="8"/>
      <c r="AL10" s="8"/>
      <c r="AM10" s="8"/>
      <c r="AN10" s="8"/>
      <c r="AO10" s="8"/>
      <c r="AP10" s="8">
        <v>0</v>
      </c>
      <c r="AQ10" s="8" t="s">
        <v>111</v>
      </c>
      <c r="AS10" s="26" t="s">
        <v>252</v>
      </c>
    </row>
    <row r="11" spans="1:82" s="10" customFormat="1" ht="30" x14ac:dyDescent="0.25">
      <c r="A11" s="69" t="s">
        <v>258</v>
      </c>
      <c r="B11" s="6" t="s">
        <v>190</v>
      </c>
      <c r="C11" s="5" t="s">
        <v>191</v>
      </c>
      <c r="D11" s="5" t="s">
        <v>192</v>
      </c>
      <c r="E11" s="8">
        <v>47562.400000000001</v>
      </c>
      <c r="F11" s="8">
        <f>Tableau_Lancer_la_requête_à_partir_de_Excel_Files102567[[#This Row],[Aide Massif]]+Tableau_Lancer_la_requête_à_partir_de_Excel_Files102567[[#This Row],[''Autre Public'']]</f>
        <v>23781.200000000001</v>
      </c>
      <c r="G11" s="9">
        <f>Tableau_Lancer_la_requête_à_partir_de_Excel_Files102567[[#This Row],[Aide 
publique]]/Tableau_Lancer_la_requête_à_partir_de_Excel_Files102567[[#This Row],[''Coût total éligible'']]</f>
        <v>0.5</v>
      </c>
      <c r="H11" s="8">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23781.200000000001</v>
      </c>
      <c r="I11" s="9">
        <f>Tableau_Lancer_la_requête_à_partir_de_Excel_Files102567[[#This Row],[Aide Massif]]/Tableau_Lancer_la_requête_à_partir_de_Excel_Files102567[[#This Row],[''Coût total éligible'']]</f>
        <v>0.5</v>
      </c>
      <c r="J11" s="8">
        <v>23781.200000000001</v>
      </c>
      <c r="K11" s="8">
        <f>Tableau_Lancer_la_requête_à_partir_de_Excel_Files102567[[#This Row],[''FNADT '']]+Tableau_Lancer_la_requête_à_partir_de_Excel_Files102567[[#This Row],[''Agriculture'']]</f>
        <v>0</v>
      </c>
      <c r="L11" s="8"/>
      <c r="M11" s="8"/>
      <c r="N11" s="8">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1" s="8"/>
      <c r="P11" s="8"/>
      <c r="Q11" s="8"/>
      <c r="R11" s="8"/>
      <c r="S11" s="8">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1" s="8"/>
      <c r="U11" s="8"/>
      <c r="V11" s="8"/>
      <c r="W11" s="8"/>
      <c r="X11" s="8"/>
      <c r="Y11" s="8"/>
      <c r="Z11" s="8"/>
      <c r="AA11" s="8"/>
      <c r="AB11" s="8"/>
      <c r="AC11" s="8"/>
      <c r="AD11" s="8"/>
      <c r="AE11" s="8"/>
      <c r="AF11" s="8"/>
      <c r="AG11" s="8"/>
      <c r="AH11" s="8"/>
      <c r="AI11" s="8"/>
      <c r="AJ11" s="8"/>
      <c r="AK11" s="8"/>
      <c r="AL11" s="8"/>
      <c r="AM11" s="8"/>
      <c r="AN11" s="8"/>
      <c r="AO11" s="8"/>
      <c r="AP11" s="8">
        <v>0</v>
      </c>
      <c r="AQ11" s="8" t="s">
        <v>111</v>
      </c>
      <c r="AS11" s="24" t="s">
        <v>253</v>
      </c>
    </row>
    <row r="12" spans="1:82" ht="30" x14ac:dyDescent="0.25">
      <c r="A12" s="69" t="s">
        <v>258</v>
      </c>
      <c r="B12" s="6" t="s">
        <v>193</v>
      </c>
      <c r="C12" s="5" t="s">
        <v>194</v>
      </c>
      <c r="D12" s="5" t="s">
        <v>195</v>
      </c>
      <c r="E12" s="8">
        <v>112000</v>
      </c>
      <c r="F12" s="8">
        <f>Tableau_Lancer_la_requête_à_partir_de_Excel_Files102567[[#This Row],[Aide Massif]]+Tableau_Lancer_la_requête_à_partir_de_Excel_Files102567[[#This Row],[''Autre Public'']]</f>
        <v>89600</v>
      </c>
      <c r="G12" s="9">
        <f>Tableau_Lancer_la_requête_à_partir_de_Excel_Files102567[[#This Row],[Aide 
publique]]/Tableau_Lancer_la_requête_à_partir_de_Excel_Files102567[[#This Row],[''Coût total éligible'']]</f>
        <v>0.8</v>
      </c>
      <c r="H12" s="8">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89600</v>
      </c>
      <c r="I12" s="9">
        <f>Tableau_Lancer_la_requête_à_partir_de_Excel_Files102567[[#This Row],[Aide Massif]]/Tableau_Lancer_la_requête_à_partir_de_Excel_Files102567[[#This Row],[''Coût total éligible'']]</f>
        <v>0.8</v>
      </c>
      <c r="J12" s="8">
        <v>56000</v>
      </c>
      <c r="K12" s="8">
        <f>Tableau_Lancer_la_requête_à_partir_de_Excel_Files102567[[#This Row],[''FNADT '']]+Tableau_Lancer_la_requête_à_partir_de_Excel_Files102567[[#This Row],[''Agriculture'']]</f>
        <v>0</v>
      </c>
      <c r="L12" s="8"/>
      <c r="M12" s="8"/>
      <c r="N12" s="8">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33600</v>
      </c>
      <c r="O12" s="8"/>
      <c r="P12" s="8">
        <v>33600</v>
      </c>
      <c r="Q12" s="8"/>
      <c r="R12" s="8"/>
      <c r="S12" s="8">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2" s="8"/>
      <c r="U12" s="8"/>
      <c r="V12" s="8"/>
      <c r="W12" s="8"/>
      <c r="X12" s="8"/>
      <c r="Y12" s="8"/>
      <c r="Z12" s="8"/>
      <c r="AA12" s="8"/>
      <c r="AB12" s="8"/>
      <c r="AC12" s="8"/>
      <c r="AD12" s="8"/>
      <c r="AE12" s="8"/>
      <c r="AF12" s="8"/>
      <c r="AG12" s="8"/>
      <c r="AH12" s="8"/>
      <c r="AI12" s="8"/>
      <c r="AJ12" s="8"/>
      <c r="AK12" s="8"/>
      <c r="AL12" s="8"/>
      <c r="AM12" s="8"/>
      <c r="AN12" s="8"/>
      <c r="AO12" s="8"/>
      <c r="AP12" s="8">
        <v>0</v>
      </c>
      <c r="AQ12" s="8" t="s">
        <v>111</v>
      </c>
      <c r="AS12" s="26" t="s">
        <v>253</v>
      </c>
      <c r="BY12" s="4"/>
      <c r="CD12" s="3"/>
    </row>
    <row r="13" spans="1:82" ht="30" x14ac:dyDescent="0.25">
      <c r="A13" s="69" t="s">
        <v>258</v>
      </c>
      <c r="B13" s="6" t="s">
        <v>204</v>
      </c>
      <c r="C13" s="5" t="s">
        <v>205</v>
      </c>
      <c r="D13" s="5" t="s">
        <v>206</v>
      </c>
      <c r="E13" s="8">
        <v>128056.29</v>
      </c>
      <c r="F13" s="8">
        <f>Tableau_Lancer_la_requête_à_partir_de_Excel_Files102567[[#This Row],[Aide Massif]]+Tableau_Lancer_la_requête_à_partir_de_Excel_Files102567[[#This Row],[''Autre Public'']]</f>
        <v>91547.33</v>
      </c>
      <c r="G13" s="9">
        <f>Tableau_Lancer_la_requête_à_partir_de_Excel_Files102567[[#This Row],[Aide 
publique]]/Tableau_Lancer_la_requête_à_partir_de_Excel_Files102567[[#This Row],[''Coût total éligible'']]</f>
        <v>0.71489912756335516</v>
      </c>
      <c r="H13" s="8">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91547.33</v>
      </c>
      <c r="I13" s="9">
        <f>Tableau_Lancer_la_requête_à_partir_de_Excel_Files102567[[#This Row],[Aide Massif]]/Tableau_Lancer_la_requête_à_partir_de_Excel_Files102567[[#This Row],[''Coût total éligible'']]</f>
        <v>0.71489912756335516</v>
      </c>
      <c r="J13" s="8">
        <v>53125.33</v>
      </c>
      <c r="K13" s="8">
        <f>Tableau_Lancer_la_requête_à_partir_de_Excel_Files102567[[#This Row],[''FNADT '']]+Tableau_Lancer_la_requête_à_partir_de_Excel_Files102567[[#This Row],[''Agriculture'']]</f>
        <v>20682</v>
      </c>
      <c r="L13" s="8">
        <v>20682</v>
      </c>
      <c r="M13" s="8"/>
      <c r="N13" s="8">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17740</v>
      </c>
      <c r="O13" s="8"/>
      <c r="P13" s="8">
        <v>17740</v>
      </c>
      <c r="Q13" s="8"/>
      <c r="R13" s="8"/>
      <c r="S13" s="8">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3" s="8"/>
      <c r="U13" s="8"/>
      <c r="V13" s="8"/>
      <c r="W13" s="8"/>
      <c r="X13" s="8"/>
      <c r="Y13" s="8"/>
      <c r="Z13" s="8"/>
      <c r="AA13" s="8"/>
      <c r="AB13" s="8"/>
      <c r="AC13" s="8"/>
      <c r="AD13" s="8"/>
      <c r="AE13" s="8"/>
      <c r="AF13" s="8"/>
      <c r="AG13" s="8"/>
      <c r="AH13" s="8"/>
      <c r="AI13" s="8"/>
      <c r="AJ13" s="8"/>
      <c r="AK13" s="8"/>
      <c r="AL13" s="8"/>
      <c r="AM13" s="8"/>
      <c r="AN13" s="8"/>
      <c r="AO13" s="8"/>
      <c r="AP13" s="8">
        <v>0</v>
      </c>
      <c r="AQ13" s="8" t="s">
        <v>77</v>
      </c>
      <c r="AS13" s="24" t="s">
        <v>415</v>
      </c>
      <c r="BY13" s="4"/>
      <c r="CD13" s="3"/>
    </row>
    <row r="14" spans="1:82" ht="30" x14ac:dyDescent="0.25">
      <c r="A14" s="68" t="s">
        <v>259</v>
      </c>
      <c r="B14" s="13" t="s">
        <v>243</v>
      </c>
      <c r="C14" s="12" t="s">
        <v>244</v>
      </c>
      <c r="D14" s="106" t="s">
        <v>245</v>
      </c>
      <c r="E14" s="65">
        <v>77064.34</v>
      </c>
      <c r="F14" s="65">
        <f>Tableau_Lancer_la_requête_à_partir_de_Excel_Files102567[[#This Row],[Aide Massif]]+Tableau_Lancer_la_requête_à_partir_de_Excel_Files102567[[#This Row],[''Autre Public'']]</f>
        <v>43900</v>
      </c>
      <c r="G14" s="66">
        <f>Tableau_Lancer_la_requête_à_partir_de_Excel_Files102567[[#This Row],[Aide 
publique]]/Tableau_Lancer_la_requête_à_partir_de_Excel_Files102567[[#This Row],[''Coût total éligible'']]</f>
        <v>0.5696538762286163</v>
      </c>
      <c r="H14" s="65">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43900</v>
      </c>
      <c r="I14" s="66">
        <f>Tableau_Lancer_la_requête_à_partir_de_Excel_Files102567[[#This Row],[Aide Massif]]/Tableau_Lancer_la_requête_à_partir_de_Excel_Files102567[[#This Row],[''Coût total éligible'']]</f>
        <v>0.5696538762286163</v>
      </c>
      <c r="J14" s="65">
        <v>0</v>
      </c>
      <c r="K14" s="65">
        <f>Tableau_Lancer_la_requête_à_partir_de_Excel_Files102567[[#This Row],[''FNADT '']]+Tableau_Lancer_la_requête_à_partir_de_Excel_Files102567[[#This Row],[''Agriculture'']]</f>
        <v>28900</v>
      </c>
      <c r="L14" s="67">
        <v>28900</v>
      </c>
      <c r="M14" s="65"/>
      <c r="N14" s="65">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15000</v>
      </c>
      <c r="O14" s="65">
        <v>5000</v>
      </c>
      <c r="P14" s="65">
        <v>5000</v>
      </c>
      <c r="Q14" s="65"/>
      <c r="R14" s="65">
        <v>5000</v>
      </c>
      <c r="S14" s="65">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4" s="65"/>
      <c r="U14" s="65"/>
      <c r="V14" s="65"/>
      <c r="W14" s="65"/>
      <c r="X14" s="65"/>
      <c r="Y14" s="65"/>
      <c r="Z14" s="65"/>
      <c r="AA14" s="65"/>
      <c r="AB14" s="65"/>
      <c r="AC14" s="65"/>
      <c r="AD14" s="65"/>
      <c r="AE14" s="65"/>
      <c r="AF14" s="65"/>
      <c r="AG14" s="65"/>
      <c r="AH14" s="65"/>
      <c r="AI14" s="65"/>
      <c r="AJ14" s="65"/>
      <c r="AK14" s="65"/>
      <c r="AL14" s="65"/>
      <c r="AM14" s="65"/>
      <c r="AN14" s="65"/>
      <c r="AO14" s="65"/>
      <c r="AP14" s="65">
        <v>0</v>
      </c>
      <c r="AQ14" s="11" t="s">
        <v>77</v>
      </c>
      <c r="AS14" s="27"/>
      <c r="AT14" s="3" t="s">
        <v>345</v>
      </c>
      <c r="BY14" s="4"/>
      <c r="CD14" s="3"/>
    </row>
    <row r="15" spans="1:82" ht="30" x14ac:dyDescent="0.25">
      <c r="A15" s="68" t="s">
        <v>259</v>
      </c>
      <c r="B15" s="13" t="s">
        <v>235</v>
      </c>
      <c r="C15" s="12" t="s">
        <v>236</v>
      </c>
      <c r="D15" s="12" t="s">
        <v>237</v>
      </c>
      <c r="E15" s="15">
        <v>65604.92</v>
      </c>
      <c r="F15" s="15">
        <f>Tableau_Lancer_la_requête_à_partir_de_Excel_Files102567[[#This Row],[Aide Massif]]+Tableau_Lancer_la_requête_à_partir_de_Excel_Files102567[[#This Row],[''Autre Public'']]</f>
        <v>47010.46</v>
      </c>
      <c r="G15" s="16">
        <f>Tableau_Lancer_la_requête_à_partir_de_Excel_Files102567[[#This Row],[Aide 
publique]]/Tableau_Lancer_la_requête_à_partir_de_Excel_Files102567[[#This Row],[''Coût total éligible'']]</f>
        <v>0.71656912316942079</v>
      </c>
      <c r="H15" s="15">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47010.46</v>
      </c>
      <c r="I15" s="16">
        <f>Tableau_Lancer_la_requête_à_partir_de_Excel_Files102567[[#This Row],[Aide Massif]]/Tableau_Lancer_la_requête_à_partir_de_Excel_Files102567[[#This Row],[''Coût total éligible'']]</f>
        <v>0.71656912316942079</v>
      </c>
      <c r="J15" s="15">
        <v>32802.46</v>
      </c>
      <c r="K15" s="15">
        <f>Tableau_Lancer_la_requête_à_partir_de_Excel_Files102567[[#This Row],[''FNADT '']]+Tableau_Lancer_la_requête_à_partir_de_Excel_Files102567[[#This Row],[''Agriculture'']]</f>
        <v>0</v>
      </c>
      <c r="L15" s="11"/>
      <c r="M15" s="15"/>
      <c r="N15" s="15">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14208</v>
      </c>
      <c r="O15" s="15"/>
      <c r="P15" s="15"/>
      <c r="Q15" s="15"/>
      <c r="R15" s="15">
        <v>14208</v>
      </c>
      <c r="S15" s="15">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5" s="15"/>
      <c r="U15" s="15"/>
      <c r="V15" s="15"/>
      <c r="W15" s="15"/>
      <c r="X15" s="15"/>
      <c r="Y15" s="15"/>
      <c r="Z15" s="15"/>
      <c r="AA15" s="15"/>
      <c r="AB15" s="15"/>
      <c r="AC15" s="15"/>
      <c r="AD15" s="15"/>
      <c r="AE15" s="15"/>
      <c r="AF15" s="15"/>
      <c r="AG15" s="15"/>
      <c r="AH15" s="15"/>
      <c r="AI15" s="15"/>
      <c r="AJ15" s="15"/>
      <c r="AK15" s="15"/>
      <c r="AL15" s="15"/>
      <c r="AM15" s="15"/>
      <c r="AN15" s="15"/>
      <c r="AO15" s="15"/>
      <c r="AP15" s="15">
        <v>0</v>
      </c>
      <c r="AQ15" s="11" t="s">
        <v>77</v>
      </c>
      <c r="AS15" s="28"/>
      <c r="BY15" s="4"/>
      <c r="CD15" s="3"/>
    </row>
    <row r="16" spans="1:82" ht="45" x14ac:dyDescent="0.25">
      <c r="A16" s="68" t="s">
        <v>259</v>
      </c>
      <c r="B16" s="13" t="s">
        <v>232</v>
      </c>
      <c r="C16" s="12" t="s">
        <v>233</v>
      </c>
      <c r="D16" s="12" t="s">
        <v>234</v>
      </c>
      <c r="E16" s="15">
        <v>32561.43</v>
      </c>
      <c r="F16" s="15">
        <f>Tableau_Lancer_la_requête_à_partir_de_Excel_Files102567[[#This Row],[Aide Massif]]+Tableau_Lancer_la_requête_à_partir_de_Excel_Files102567[[#This Row],[''Autre Public'']]</f>
        <v>30932.93</v>
      </c>
      <c r="G16" s="16">
        <f>Tableau_Lancer_la_requête_à_partir_de_Excel_Files102567[[#This Row],[Aide 
publique]]/Tableau_Lancer_la_requête_à_partir_de_Excel_Files102567[[#This Row],[''Coût total éligible'']]</f>
        <v>0.94998684025855129</v>
      </c>
      <c r="H16" s="15">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30932.93</v>
      </c>
      <c r="I16" s="16">
        <f>Tableau_Lancer_la_requête_à_partir_de_Excel_Files102567[[#This Row],[Aide Massif]]/Tableau_Lancer_la_requête_à_partir_de_Excel_Files102567[[#This Row],[''Coût total éligible'']]</f>
        <v>0.94998684025855129</v>
      </c>
      <c r="J16" s="15">
        <v>16280.72</v>
      </c>
      <c r="K16" s="15">
        <f>Tableau_Lancer_la_requête_à_partir_de_Excel_Files102567[[#This Row],[''FNADT '']]+Tableau_Lancer_la_requête_à_partir_de_Excel_Files102567[[#This Row],[''Agriculture'']]</f>
        <v>9768</v>
      </c>
      <c r="L16" s="11">
        <v>9768</v>
      </c>
      <c r="M16" s="15"/>
      <c r="N16" s="15">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4884.21</v>
      </c>
      <c r="O16" s="15"/>
      <c r="P16" s="15"/>
      <c r="Q16" s="15"/>
      <c r="R16" s="15">
        <v>4884.21</v>
      </c>
      <c r="S16" s="15">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6" s="15"/>
      <c r="U16" s="15"/>
      <c r="V16" s="15"/>
      <c r="W16" s="15"/>
      <c r="X16" s="15"/>
      <c r="Y16" s="15"/>
      <c r="Z16" s="15"/>
      <c r="AA16" s="15"/>
      <c r="AB16" s="15"/>
      <c r="AC16" s="15"/>
      <c r="AD16" s="15"/>
      <c r="AE16" s="15"/>
      <c r="AF16" s="15"/>
      <c r="AG16" s="15"/>
      <c r="AH16" s="15"/>
      <c r="AI16" s="15"/>
      <c r="AJ16" s="15"/>
      <c r="AK16" s="15"/>
      <c r="AL16" s="15"/>
      <c r="AM16" s="15"/>
      <c r="AN16" s="15"/>
      <c r="AO16" s="15"/>
      <c r="AP16" s="15">
        <v>0</v>
      </c>
      <c r="AQ16" s="11" t="s">
        <v>77</v>
      </c>
      <c r="AS16" s="24" t="s">
        <v>415</v>
      </c>
      <c r="BY16" s="4"/>
      <c r="CD16" s="3"/>
    </row>
    <row r="17" spans="1:82" s="7" customFormat="1" ht="30" x14ac:dyDescent="0.25">
      <c r="A17" s="68" t="s">
        <v>259</v>
      </c>
      <c r="B17" s="13" t="s">
        <v>240</v>
      </c>
      <c r="C17" s="12" t="s">
        <v>241</v>
      </c>
      <c r="D17" s="12" t="s">
        <v>242</v>
      </c>
      <c r="E17" s="15">
        <v>54076.697150927139</v>
      </c>
      <c r="F17" s="15">
        <f>Tableau_Lancer_la_requête_à_partir_de_Excel_Files102567[[#This Row],[Aide Massif]]+Tableau_Lancer_la_requête_à_partir_de_Excel_Files102567[[#This Row],[''Autre Public'']]</f>
        <v>43261.36</v>
      </c>
      <c r="G17" s="16">
        <f>Tableau_Lancer_la_requête_à_partir_de_Excel_Files102567[[#This Row],[Aide 
publique]]/Tableau_Lancer_la_requête_à_partir_de_Excel_Files102567[[#This Row],[''Coût total éligible'']]</f>
        <v>0.80000004214862241</v>
      </c>
      <c r="H17" s="15">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37853.69</v>
      </c>
      <c r="I17" s="16">
        <f>Tableau_Lancer_la_requête_à_partir_de_Excel_Files102567[[#This Row],[Aide Massif]]/Tableau_Lancer_la_requête_à_partir_de_Excel_Files102567[[#This Row],[''Coût total éligible'']]</f>
        <v>0.70000003688004464</v>
      </c>
      <c r="J17" s="15">
        <v>27038.35</v>
      </c>
      <c r="K17" s="15">
        <f>Tableau_Lancer_la_requête_à_partir_de_Excel_Files102567[[#This Row],[''FNADT '']]+Tableau_Lancer_la_requête_à_partir_de_Excel_Files102567[[#This Row],[''Agriculture'']]</f>
        <v>10815.34</v>
      </c>
      <c r="L17" s="11">
        <v>10815.34</v>
      </c>
      <c r="M17" s="15">
        <v>0</v>
      </c>
      <c r="N17" s="15">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7" s="15"/>
      <c r="P17" s="15"/>
      <c r="Q17" s="15"/>
      <c r="R17" s="15"/>
      <c r="S17" s="15">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7" s="15"/>
      <c r="U17" s="15"/>
      <c r="V17" s="15"/>
      <c r="W17" s="15"/>
      <c r="X17" s="15"/>
      <c r="Y17" s="15"/>
      <c r="Z17" s="15"/>
      <c r="AA17" s="15"/>
      <c r="AB17" s="15"/>
      <c r="AC17" s="15"/>
      <c r="AD17" s="15"/>
      <c r="AE17" s="15"/>
      <c r="AF17" s="15"/>
      <c r="AG17" s="15"/>
      <c r="AH17" s="15"/>
      <c r="AI17" s="15"/>
      <c r="AJ17" s="15"/>
      <c r="AK17" s="15"/>
      <c r="AL17" s="15"/>
      <c r="AM17" s="15"/>
      <c r="AN17" s="15"/>
      <c r="AO17" s="15"/>
      <c r="AP17" s="15">
        <v>5407.67</v>
      </c>
      <c r="AQ17" s="11" t="s">
        <v>77</v>
      </c>
      <c r="AS17" s="24" t="s">
        <v>415</v>
      </c>
    </row>
    <row r="18" spans="1:82" s="10" customFormat="1" ht="30" x14ac:dyDescent="0.25">
      <c r="A18" s="68" t="s">
        <v>259</v>
      </c>
      <c r="B18" s="13" t="s">
        <v>238</v>
      </c>
      <c r="C18" s="12" t="s">
        <v>205</v>
      </c>
      <c r="D18" s="12" t="s">
        <v>239</v>
      </c>
      <c r="E18" s="15">
        <v>45000</v>
      </c>
      <c r="F18" s="15">
        <f>Tableau_Lancer_la_requête_à_partir_de_Excel_Files102567[[#This Row],[Aide Massif]]+Tableau_Lancer_la_requête_à_partir_de_Excel_Files102567[[#This Row],[''Autre Public'']]</f>
        <v>40500</v>
      </c>
      <c r="G18" s="16">
        <f>Tableau_Lancer_la_requête_à_partir_de_Excel_Files102567[[#This Row],[Aide 
publique]]/Tableau_Lancer_la_requête_à_partir_de_Excel_Files102567[[#This Row],[''Coût total éligible'']]</f>
        <v>0.9</v>
      </c>
      <c r="H18" s="15">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40500</v>
      </c>
      <c r="I18" s="16">
        <f>Tableau_Lancer_la_requête_à_partir_de_Excel_Files102567[[#This Row],[Aide Massif]]/Tableau_Lancer_la_requête_à_partir_de_Excel_Files102567[[#This Row],[''Coût total éligible'']]</f>
        <v>0.9</v>
      </c>
      <c r="J18" s="15">
        <v>18000</v>
      </c>
      <c r="K18" s="15">
        <f>Tableau_Lancer_la_requête_à_partir_de_Excel_Files102567[[#This Row],[''FNADT '']]+Tableau_Lancer_la_requête_à_partir_de_Excel_Files102567[[#This Row],[''Agriculture'']]</f>
        <v>0</v>
      </c>
      <c r="L18" s="11"/>
      <c r="M18" s="15"/>
      <c r="N18" s="15">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22500</v>
      </c>
      <c r="O18" s="15"/>
      <c r="P18" s="15">
        <v>22500</v>
      </c>
      <c r="Q18" s="15"/>
      <c r="R18" s="15"/>
      <c r="S18" s="15">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8" s="15"/>
      <c r="U18" s="15"/>
      <c r="V18" s="15"/>
      <c r="W18" s="15"/>
      <c r="X18" s="15"/>
      <c r="Y18" s="15"/>
      <c r="Z18" s="15"/>
      <c r="AA18" s="15"/>
      <c r="AB18" s="15"/>
      <c r="AC18" s="15"/>
      <c r="AD18" s="15"/>
      <c r="AE18" s="15"/>
      <c r="AF18" s="15"/>
      <c r="AG18" s="15"/>
      <c r="AH18" s="15"/>
      <c r="AI18" s="15"/>
      <c r="AJ18" s="15"/>
      <c r="AK18" s="15"/>
      <c r="AL18" s="15"/>
      <c r="AM18" s="15"/>
      <c r="AN18" s="15"/>
      <c r="AO18" s="15"/>
      <c r="AP18" s="15">
        <v>0</v>
      </c>
      <c r="AQ18" s="11" t="s">
        <v>77</v>
      </c>
      <c r="AS18" s="26"/>
    </row>
    <row r="19" spans="1:82" ht="30" x14ac:dyDescent="0.25">
      <c r="A19" s="69" t="s">
        <v>259</v>
      </c>
      <c r="B19" s="6" t="s">
        <v>229</v>
      </c>
      <c r="C19" s="5" t="s">
        <v>230</v>
      </c>
      <c r="D19" s="5" t="s">
        <v>231</v>
      </c>
      <c r="E19" s="8">
        <v>155950.94652229047</v>
      </c>
      <c r="F19" s="8">
        <f>Tableau_Lancer_la_requête_à_partir_de_Excel_Files102567[[#This Row],[Aide Massif]]+Tableau_Lancer_la_requête_à_partir_de_Excel_Files102567[[#This Row],[''Autre Public'']]</f>
        <v>77975.47</v>
      </c>
      <c r="G19" s="9">
        <f>Tableau_Lancer_la_requête_à_partir_de_Excel_Files102567[[#This Row],[Aide 
publique]]/Tableau_Lancer_la_requête_à_partir_de_Excel_Files102567[[#This Row],[''Coût total éligible'']]</f>
        <v>0.49999997908864741</v>
      </c>
      <c r="H19" s="8">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77975.47</v>
      </c>
      <c r="I19" s="9">
        <f>Tableau_Lancer_la_requête_à_partir_de_Excel_Files102567[[#This Row],[Aide Massif]]/Tableau_Lancer_la_requête_à_partir_de_Excel_Files102567[[#This Row],[''Coût total éligible'']]</f>
        <v>0.49999997908864741</v>
      </c>
      <c r="J19" s="8">
        <v>77975.47</v>
      </c>
      <c r="K19" s="8">
        <f>Tableau_Lancer_la_requête_à_partir_de_Excel_Files102567[[#This Row],[''FNADT '']]+Tableau_Lancer_la_requête_à_partir_de_Excel_Files102567[[#This Row],[''Agriculture'']]</f>
        <v>0</v>
      </c>
      <c r="L19" s="8"/>
      <c r="M19" s="8"/>
      <c r="N19" s="8">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19" s="8"/>
      <c r="P19" s="8"/>
      <c r="Q19" s="8"/>
      <c r="R19" s="8"/>
      <c r="S19" s="8">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19" s="8"/>
      <c r="U19" s="8"/>
      <c r="V19" s="8"/>
      <c r="W19" s="8"/>
      <c r="X19" s="8"/>
      <c r="Y19" s="8"/>
      <c r="Z19" s="8"/>
      <c r="AA19" s="8"/>
      <c r="AB19" s="8"/>
      <c r="AC19" s="8"/>
      <c r="AD19" s="8"/>
      <c r="AE19" s="8"/>
      <c r="AF19" s="8"/>
      <c r="AG19" s="8"/>
      <c r="AH19" s="8"/>
      <c r="AI19" s="8"/>
      <c r="AJ19" s="8"/>
      <c r="AK19" s="8"/>
      <c r="AL19" s="8"/>
      <c r="AM19" s="8"/>
      <c r="AN19" s="8"/>
      <c r="AO19" s="8"/>
      <c r="AP19" s="8">
        <v>0</v>
      </c>
      <c r="AQ19" s="8" t="s">
        <v>77</v>
      </c>
      <c r="AS19" s="24"/>
      <c r="CA19" s="4"/>
      <c r="CD19" s="3"/>
    </row>
    <row r="20" spans="1:82" ht="45" x14ac:dyDescent="0.25">
      <c r="A20" s="68" t="s">
        <v>260</v>
      </c>
      <c r="B20" s="13" t="s">
        <v>196</v>
      </c>
      <c r="C20" s="12" t="s">
        <v>197</v>
      </c>
      <c r="D20" s="12" t="s">
        <v>198</v>
      </c>
      <c r="E20" s="15">
        <v>55233.630000000005</v>
      </c>
      <c r="F20" s="15">
        <f>Tableau_Lancer_la_requête_à_partir_de_Excel_Files102567[[#This Row],[Aide Massif]]+Tableau_Lancer_la_requête_à_partir_de_Excel_Files102567[[#This Row],[''Autre Public'']]</f>
        <v>54843.630000000005</v>
      </c>
      <c r="G20" s="16">
        <f>Tableau_Lancer_la_requête_à_partir_de_Excel_Files102567[[#This Row],[Aide 
publique]]/Tableau_Lancer_la_requête_à_partir_de_Excel_Files102567[[#This Row],[''Coût total éligible'']]</f>
        <v>0.99293908439477907</v>
      </c>
      <c r="H20" s="15">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25086.57</v>
      </c>
      <c r="I20" s="16">
        <f>Tableau_Lancer_la_requête_à_partir_de_Excel_Files102567[[#This Row],[Aide Massif]]/Tableau_Lancer_la_requête_à_partir_de_Excel_Files102567[[#This Row],[''Coût total éligible'']]</f>
        <v>0.45419013742171205</v>
      </c>
      <c r="J20" s="15">
        <v>25086.57</v>
      </c>
      <c r="K20" s="15">
        <f>Tableau_Lancer_la_requête_à_partir_de_Excel_Files102567[[#This Row],[''FNADT '']]+Tableau_Lancer_la_requête_à_partir_de_Excel_Files102567[[#This Row],[''Agriculture'']]</f>
        <v>0</v>
      </c>
      <c r="L20" s="11"/>
      <c r="M20" s="15"/>
      <c r="N20" s="15">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20" s="15"/>
      <c r="P20" s="15"/>
      <c r="Q20" s="15"/>
      <c r="R20" s="15"/>
      <c r="S20" s="15">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0</v>
      </c>
      <c r="T20" s="15"/>
      <c r="U20" s="15"/>
      <c r="V20" s="15"/>
      <c r="W20" s="15"/>
      <c r="X20" s="15"/>
      <c r="Y20" s="15"/>
      <c r="Z20" s="15"/>
      <c r="AA20" s="15"/>
      <c r="AB20" s="15"/>
      <c r="AC20" s="15"/>
      <c r="AD20" s="15"/>
      <c r="AE20" s="15"/>
      <c r="AF20" s="15"/>
      <c r="AG20" s="15"/>
      <c r="AH20" s="15"/>
      <c r="AI20" s="15"/>
      <c r="AJ20" s="15"/>
      <c r="AK20" s="15"/>
      <c r="AL20" s="15"/>
      <c r="AM20" s="15"/>
      <c r="AN20" s="15"/>
      <c r="AO20" s="15"/>
      <c r="AP20" s="15">
        <v>29757.06</v>
      </c>
      <c r="AQ20" s="11" t="s">
        <v>77</v>
      </c>
      <c r="AS20" s="26"/>
      <c r="CB20" s="4"/>
      <c r="CD20" s="3"/>
    </row>
    <row r="21" spans="1:82" ht="30.75" thickBot="1" x14ac:dyDescent="0.3">
      <c r="A21" s="69" t="s">
        <v>260</v>
      </c>
      <c r="B21" s="6" t="s">
        <v>199</v>
      </c>
      <c r="C21" s="5" t="s">
        <v>197</v>
      </c>
      <c r="D21" s="5" t="s">
        <v>200</v>
      </c>
      <c r="E21" s="8">
        <v>141100.63</v>
      </c>
      <c r="F21" s="8">
        <f>Tableau_Lancer_la_requête_à_partir_de_Excel_Files102567[[#This Row],[Aide Massif]]+Tableau_Lancer_la_requête_à_partir_de_Excel_Files102567[[#This Row],[''Autre Public'']]</f>
        <v>128529.2</v>
      </c>
      <c r="G21" s="9">
        <f>Tableau_Lancer_la_requête_à_partir_de_Excel_Files102567[[#This Row],[Aide 
publique]]/Tableau_Lancer_la_requête_à_partir_de_Excel_Files102567[[#This Row],[''Coût total éligible'']]</f>
        <v>0.91090450836399517</v>
      </c>
      <c r="H21" s="8">
        <f>Tableau_Lancer_la_requête_à_partir_de_Excel_Files102567[[#This Row],[''FEDER'']]+Tableau_Lancer_la_requête_à_partir_de_Excel_Files102567[[#This Row],[Total Etat]]+Tableau_Lancer_la_requête_à_partir_de_Excel_Files102567[[#This Row],[Total Régions]]+Tableau_Lancer_la_requête_à_partir_de_Excel_Files102567[[#This Row],[Total Dpts]]</f>
        <v>53136.2</v>
      </c>
      <c r="I21" s="9">
        <f>Tableau_Lancer_la_requête_à_partir_de_Excel_Files102567[[#This Row],[Aide Massif]]/Tableau_Lancer_la_requête_à_partir_de_Excel_Files102567[[#This Row],[''Coût total éligible'']]</f>
        <v>0.37658371900961746</v>
      </c>
      <c r="J21" s="8">
        <v>51136.2</v>
      </c>
      <c r="K21" s="8">
        <f>Tableau_Lancer_la_requête_à_partir_de_Excel_Files102567[[#This Row],[''FNADT '']]+Tableau_Lancer_la_requête_à_partir_de_Excel_Files102567[[#This Row],[''Agriculture'']]</f>
        <v>0</v>
      </c>
      <c r="L21" s="8"/>
      <c r="M21" s="8"/>
      <c r="N21" s="8">
        <f>Tableau_Lancer_la_requête_à_partir_de_Excel_Files102567[[#This Row],[''ALPC'']]+Tableau_Lancer_la_requête_à_partir_de_Excel_Files102567[[#This Row],[''AURA'']]+Tableau_Lancer_la_requête_à_partir_de_Excel_Files102567[[#This Row],[''BFC'']]+Tableau_Lancer_la_requête_à_partir_de_Excel_Files102567[[#This Row],[''LRMP'']]</f>
        <v>0</v>
      </c>
      <c r="O21" s="8"/>
      <c r="P21" s="8"/>
      <c r="Q21" s="8"/>
      <c r="R21" s="8"/>
      <c r="S21" s="8">
        <f>Tableau_Lancer_la_requête_à_partir_de_Excel_Files102567[[#This Row],[''03'']]+Tableau_Lancer_la_requête_à_partir_de_Excel_Files102567[[#This Row],[''07'']]+Tableau_Lancer_la_requête_à_partir_de_Excel_Files102567[[#This Row],[''11'']]+Tableau_Lancer_la_requête_à_partir_de_Excel_Files102567[[#This Row],[''12'']]+Tableau_Lancer_la_requête_à_partir_de_Excel_Files102567[[#This Row],[''15'']]+Tableau_Lancer_la_requête_à_partir_de_Excel_Files102567[[#This Row],[''19'']]+Tableau_Lancer_la_requête_à_partir_de_Excel_Files102567[[#This Row],[''21'']]+Tableau_Lancer_la_requête_à_partir_de_Excel_Files102567[[#This Row],[''23'']]+Tableau_Lancer_la_requête_à_partir_de_Excel_Files102567[[#This Row],[''30'']]+Tableau_Lancer_la_requête_à_partir_de_Excel_Files102567[[#This Row],[''34'']]+Tableau_Lancer_la_requête_à_partir_de_Excel_Files102567[[#This Row],[''42'']]+Tableau_Lancer_la_requête_à_partir_de_Excel_Files102567[[#This Row],[''43'']]+Tableau_Lancer_la_requête_à_partir_de_Excel_Files102567[[#This Row],[''46'']]+Tableau_Lancer_la_requête_à_partir_de_Excel_Files102567[[#This Row],[''48'']]+Tableau_Lancer_la_requête_à_partir_de_Excel_Files102567[[#This Row],[''58'']]+Tableau_Lancer_la_requête_à_partir_de_Excel_Files102567[[#This Row],[''63'']]+Tableau_Lancer_la_requête_à_partir_de_Excel_Files102567[[#This Row],[''69'']]+Tableau_Lancer_la_requête_à_partir_de_Excel_Files102567[[#This Row],[''71'']]+Tableau_Lancer_la_requête_à_partir_de_Excel_Files102567[[#This Row],[''81'']]+Tableau_Lancer_la_requête_à_partir_de_Excel_Files102567[[#This Row],[''82'']]+Tableau_Lancer_la_requête_à_partir_de_Excel_Files102567[[#This Row],[''87'']]+Tableau_Lancer_la_requête_à_partir_de_Excel_Files102567[[#This Row],[''89'']]</f>
        <v>2000</v>
      </c>
      <c r="T21" s="8"/>
      <c r="U21" s="8"/>
      <c r="V21" s="8"/>
      <c r="W21" s="8"/>
      <c r="X21" s="8"/>
      <c r="Y21" s="8"/>
      <c r="Z21" s="8"/>
      <c r="AA21" s="8"/>
      <c r="AB21" s="8"/>
      <c r="AC21" s="8"/>
      <c r="AD21" s="8"/>
      <c r="AE21" s="8"/>
      <c r="AF21" s="8"/>
      <c r="AG21" s="8">
        <v>2000</v>
      </c>
      <c r="AH21" s="8"/>
      <c r="AI21" s="8"/>
      <c r="AJ21" s="8"/>
      <c r="AK21" s="8"/>
      <c r="AL21" s="8"/>
      <c r="AM21" s="8"/>
      <c r="AN21" s="8"/>
      <c r="AO21" s="8"/>
      <c r="AP21" s="8">
        <v>75393</v>
      </c>
      <c r="AQ21" s="8" t="s">
        <v>77</v>
      </c>
      <c r="AS21" s="24"/>
      <c r="CB21" s="4"/>
      <c r="CD21" s="3"/>
    </row>
    <row r="22" spans="1:82" ht="15.75" thickTop="1" x14ac:dyDescent="0.25">
      <c r="A22" s="70"/>
      <c r="B22" s="70" t="s">
        <v>11</v>
      </c>
      <c r="C22" s="71">
        <f>SUBTOTAL(103,Tableau_Lancer_la_requête_à_partir_de_Excel_Files102567[Nom_MO])</f>
        <v>15</v>
      </c>
      <c r="D22" s="71"/>
      <c r="E22" s="72">
        <f>SUBTOTAL(109,Tableau_Lancer_la_requête_à_partir_de_Excel_Files102567[''Coût total éligible''])</f>
        <v>1529573.6736732172</v>
      </c>
      <c r="F22" s="72">
        <f>SUBTOTAL(109,Tableau_Lancer_la_requête_à_partir_de_Excel_Files102567[Aide 
publique])</f>
        <v>1022331.0299999999</v>
      </c>
      <c r="G22" s="73"/>
      <c r="H22" s="72">
        <f>SUBTOTAL(109,Tableau_Lancer_la_requête_à_partir_de_Excel_Files102567[Aide Massif])</f>
        <v>911773.29999999993</v>
      </c>
      <c r="I22" s="73"/>
      <c r="J22" s="72">
        <f>SUBTOTAL(109,Tableau_Lancer_la_requête_à_partir_de_Excel_Files102567[''FEDER''])</f>
        <v>589745.48999999987</v>
      </c>
      <c r="K22" s="72">
        <f>SUBTOTAL(109,Tableau_Lancer_la_requête_à_partir_de_Excel_Files102567[Total Etat])</f>
        <v>117628.34</v>
      </c>
      <c r="L22" s="70"/>
      <c r="M22" s="72">
        <f>SUBTOTAL(109,Tableau_Lancer_la_requête_à_partir_de_Excel_Files102567[''Agriculture''])</f>
        <v>0</v>
      </c>
      <c r="N22" s="72">
        <f>SUBTOTAL(109,Tableau_Lancer_la_requête_à_partir_de_Excel_Files102567[Total Régions])</f>
        <v>190399.47</v>
      </c>
      <c r="O22" s="72">
        <f>SUBTOTAL(109,Tableau_Lancer_la_requête_à_partir_de_Excel_Files102567[''ALPC''])</f>
        <v>36964.94</v>
      </c>
      <c r="P22" s="72">
        <f>SUBTOTAL(109,Tableau_Lancer_la_requête_à_partir_de_Excel_Files102567[''AURA''])</f>
        <v>129342.32</v>
      </c>
      <c r="Q22" s="72">
        <f>SUBTOTAL(109,Tableau_Lancer_la_requête_à_partir_de_Excel_Files102567[''BFC''])</f>
        <v>0</v>
      </c>
      <c r="R22" s="72">
        <f>SUBTOTAL(109,Tableau_Lancer_la_requête_à_partir_de_Excel_Files102567[''LRMP''])</f>
        <v>24092.21</v>
      </c>
      <c r="S22" s="72">
        <f>SUBTOTAL(109,Tableau_Lancer_la_requête_à_partir_de_Excel_Files102567[Total Dpts])</f>
        <v>14000</v>
      </c>
      <c r="T22" s="72">
        <f>SUBTOTAL(109,Tableau_Lancer_la_requête_à_partir_de_Excel_Files102567[''03''])</f>
        <v>0</v>
      </c>
      <c r="U22" s="72">
        <f>SUBTOTAL(109,Tableau_Lancer_la_requête_à_partir_de_Excel_Files102567[''07''])</f>
        <v>12000</v>
      </c>
      <c r="V22" s="72">
        <f>SUBTOTAL(109,Tableau_Lancer_la_requête_à_partir_de_Excel_Files102567[''11''])</f>
        <v>0</v>
      </c>
      <c r="W22" s="72">
        <f>SUBTOTAL(109,Tableau_Lancer_la_requête_à_partir_de_Excel_Files102567[''12''])</f>
        <v>0</v>
      </c>
      <c r="X22" s="72">
        <f>SUBTOTAL(109,Tableau_Lancer_la_requête_à_partir_de_Excel_Files102567[''15''])</f>
        <v>0</v>
      </c>
      <c r="Y22" s="72">
        <f>SUBTOTAL(109,Tableau_Lancer_la_requête_à_partir_de_Excel_Files102567[''19''])</f>
        <v>0</v>
      </c>
      <c r="Z22" s="72">
        <f>SUBTOTAL(109,Tableau_Lancer_la_requête_à_partir_de_Excel_Files102567[''21''])</f>
        <v>0</v>
      </c>
      <c r="AA22" s="72">
        <f>SUBTOTAL(109,Tableau_Lancer_la_requête_à_partir_de_Excel_Files102567[''23''])</f>
        <v>0</v>
      </c>
      <c r="AB22" s="72">
        <f>SUBTOTAL(109,Tableau_Lancer_la_requête_à_partir_de_Excel_Files102567[''30''])</f>
        <v>0</v>
      </c>
      <c r="AC22" s="72">
        <f>SUBTOTAL(109,Tableau_Lancer_la_requête_à_partir_de_Excel_Files102567[''34''])</f>
        <v>0</v>
      </c>
      <c r="AD22" s="72">
        <f>SUBTOTAL(109,Tableau_Lancer_la_requête_à_partir_de_Excel_Files102567[''42''])</f>
        <v>0</v>
      </c>
      <c r="AE22" s="72">
        <f>SUBTOTAL(109,Tableau_Lancer_la_requête_à_partir_de_Excel_Files102567[''43''])</f>
        <v>0</v>
      </c>
      <c r="AF22" s="72">
        <f>SUBTOTAL(109,Tableau_Lancer_la_requête_à_partir_de_Excel_Files102567[''46''])</f>
        <v>0</v>
      </c>
      <c r="AG22" s="72">
        <f>SUBTOTAL(109,Tableau_Lancer_la_requête_à_partir_de_Excel_Files102567[''48''])</f>
        <v>2000</v>
      </c>
      <c r="AH22" s="72">
        <f>SUBTOTAL(109,Tableau_Lancer_la_requête_à_partir_de_Excel_Files102567[''58''])</f>
        <v>0</v>
      </c>
      <c r="AI22" s="72">
        <f>SUBTOTAL(109,Tableau_Lancer_la_requête_à_partir_de_Excel_Files102567[''63''])</f>
        <v>0</v>
      </c>
      <c r="AJ22" s="72">
        <f>SUBTOTAL(109,Tableau_Lancer_la_requête_à_partir_de_Excel_Files102567[''69''])</f>
        <v>0</v>
      </c>
      <c r="AK22" s="72">
        <f>SUBTOTAL(109,Tableau_Lancer_la_requête_à_partir_de_Excel_Files102567[''71''])</f>
        <v>0</v>
      </c>
      <c r="AL22" s="72">
        <f>SUBTOTAL(109,Tableau_Lancer_la_requête_à_partir_de_Excel_Files102567[''81''])</f>
        <v>0</v>
      </c>
      <c r="AM22" s="72">
        <f>SUBTOTAL(109,Tableau_Lancer_la_requête_à_partir_de_Excel_Files102567[''82''])</f>
        <v>0</v>
      </c>
      <c r="AN22" s="72">
        <f>SUBTOTAL(109,Tableau_Lancer_la_requête_à_partir_de_Excel_Files102567[''87''])</f>
        <v>0</v>
      </c>
      <c r="AO22" s="72">
        <f>SUBTOTAL(109,Tableau_Lancer_la_requête_à_partir_de_Excel_Files102567[''89''])</f>
        <v>0</v>
      </c>
      <c r="AP22" s="72">
        <f>SUBTOTAL(109,Tableau_Lancer_la_requête_à_partir_de_Excel_Files102567[''Autre Public''])</f>
        <v>110557.73000000001</v>
      </c>
      <c r="AQ22" s="74"/>
      <c r="AS22" s="29"/>
      <c r="CB22" s="4"/>
      <c r="CD22" s="3"/>
    </row>
    <row r="32" spans="1:82" x14ac:dyDescent="0.25">
      <c r="E32" s="3" t="s">
        <v>353</v>
      </c>
      <c r="F32" s="6" t="s">
        <v>354</v>
      </c>
    </row>
    <row r="33" spans="4:6" x14ac:dyDescent="0.25">
      <c r="D33" t="s">
        <v>112</v>
      </c>
      <c r="E33" s="3">
        <f>SUMIF(Tableau_Lancer_la_requête_à_partir_de_Excel_Files102567[Avis Prog],"1-Favorable",Tableau_Lancer_la_requête_à_partir_de_Excel_Files102567[''FEDER''])</f>
        <v>509964.29000000004</v>
      </c>
      <c r="F33" s="3" t="e">
        <f>SUMIF(#REF!,"1-Favorable",Tableau_Lancer_la_requête_à_partir_de_Excel_Files102567[''FEDER''])</f>
        <v>#REF!</v>
      </c>
    </row>
    <row r="34" spans="4:6" x14ac:dyDescent="0.25">
      <c r="D34" t="s">
        <v>56</v>
      </c>
      <c r="E34" s="3">
        <f>SUMIF(Tableau_Lancer_la_requête_à_partir_de_Excel_Files102567[Avis Prog],"1-Favorable",Tableau_Lancer_la_requête_à_partir_de_Excel_Files102567[Total Etat])</f>
        <v>117628.34</v>
      </c>
      <c r="F34" s="3" t="e">
        <f>SUMIF(#REF!,"1-Favorable",Tableau_Lancer_la_requête_à_partir_de_Excel_Files102567[Total Etat])</f>
        <v>#REF!</v>
      </c>
    </row>
    <row r="35" spans="4:6" x14ac:dyDescent="0.25">
      <c r="D35" t="s">
        <v>57</v>
      </c>
      <c r="E35" s="3">
        <f>SUMIF(Tableau_Lancer_la_requête_à_partir_de_Excel_Files102567[Avis Prog],"1-Favorable",Tableau_Lancer_la_requête_à_partir_de_Excel_Files102567[Total Régions])</f>
        <v>156799.47</v>
      </c>
      <c r="F35" s="3" t="e">
        <f>SUMIF(#REF!,"1-Favorable",Tableau_Lancer_la_requête_à_partir_de_Excel_Files102567[Total Régions])</f>
        <v>#REF!</v>
      </c>
    </row>
    <row r="36" spans="4:6" x14ac:dyDescent="0.25">
      <c r="D36" s="3" t="s">
        <v>113</v>
      </c>
      <c r="E36" s="3">
        <f>SUMIF(Tableau_Lancer_la_requête_à_partir_de_Excel_Files102567[Avis Prog],"1-Favorable",Tableau_Lancer_la_requête_à_partir_de_Excel_Files102567[''ALPC''])</f>
        <v>36964.94</v>
      </c>
      <c r="F36" s="3" t="e">
        <f>SUMIF(#REF!,"1-Favorable",Tableau_Lancer_la_requête_à_partir_de_Excel_Files102567[''ALPC''])</f>
        <v>#REF!</v>
      </c>
    </row>
    <row r="37" spans="4:6" x14ac:dyDescent="0.25">
      <c r="D37" s="3" t="s">
        <v>114</v>
      </c>
      <c r="E37" s="3">
        <f>SUMIF(Tableau_Lancer_la_requête_à_partir_de_Excel_Files102567[Avis Prog],"1-Favorable",Tableau_Lancer_la_requête_à_partir_de_Excel_Files102567[''AURA''])</f>
        <v>95742.32</v>
      </c>
      <c r="F37" s="3" t="e">
        <f>SUMIF(#REF!,"1-Favorable",Tableau_Lancer_la_requête_à_partir_de_Excel_Files102567[''AURA''])</f>
        <v>#REF!</v>
      </c>
    </row>
    <row r="38" spans="4:6" x14ac:dyDescent="0.25">
      <c r="D38" s="3" t="s">
        <v>115</v>
      </c>
      <c r="E38" s="3">
        <f>SUMIF(Tableau_Lancer_la_requête_à_partir_de_Excel_Files102567[Avis Prog],"1-Favorable",Tableau_Lancer_la_requête_à_partir_de_Excel_Files102567[''BFC''])</f>
        <v>0</v>
      </c>
      <c r="F38" s="3" t="e">
        <f>SUMIF(#REF!,"1-Favorable",Tableau_Lancer_la_requête_à_partir_de_Excel_Files102567[''BFC''])</f>
        <v>#REF!</v>
      </c>
    </row>
    <row r="39" spans="4:6" x14ac:dyDescent="0.25">
      <c r="D39" s="3" t="s">
        <v>116</v>
      </c>
      <c r="E39" s="3">
        <f>SUMIF(Tableau_Lancer_la_requête_à_partir_de_Excel_Files102567[Avis Prog],"1-Favorable",Tableau_Lancer_la_requête_à_partir_de_Excel_Files102567[''LRMP''])</f>
        <v>24092.21</v>
      </c>
      <c r="F39" s="3" t="e">
        <f>SUMIF(#REF!,"1-Favorable",Tableau_Lancer_la_requête_à_partir_de_Excel_Files102567[''LRMP''])</f>
        <v>#REF!</v>
      </c>
    </row>
    <row r="40" spans="4:6" x14ac:dyDescent="0.25">
      <c r="D40" t="s">
        <v>58</v>
      </c>
      <c r="E40" s="3">
        <f>SUMIF(Tableau_Lancer_la_requête_à_partir_de_Excel_Files102567[Avis Prog],"1-Favorable",Tableau_Lancer_la_requête_à_partir_de_Excel_Files102567[Total Dpts])</f>
        <v>14000</v>
      </c>
      <c r="F40" s="3" t="e">
        <f>SUMIF(#REF!,"1-Favorable",Tableau_Lancer_la_requête_à_partir_de_Excel_Files102567[Total Dpts])</f>
        <v>#REF!</v>
      </c>
    </row>
    <row r="41" spans="4:6" x14ac:dyDescent="0.25">
      <c r="D41" t="s">
        <v>32</v>
      </c>
      <c r="E41" s="3">
        <f>SUMIF(Tableau_Lancer_la_requête_à_partir_de_Excel_Files102567[Avis Prog],"1-Favorable",Tableau_Lancer_la_requête_à_partir_de_Excel_Files102567[''03''])</f>
        <v>0</v>
      </c>
      <c r="F41" s="3" t="e">
        <f>SUMIF(#REF!,"1-Favorable",Tableau_Lancer_la_requête_à_partir_de_Excel_Files102567[''03''])</f>
        <v>#REF!</v>
      </c>
    </row>
    <row r="42" spans="4:6" x14ac:dyDescent="0.25">
      <c r="D42" t="s">
        <v>33</v>
      </c>
      <c r="E42" s="3">
        <f>SUMIF(Tableau_Lancer_la_requête_à_partir_de_Excel_Files102567[Avis Prog],"1-Favorable",Tableau_Lancer_la_requête_à_partir_de_Excel_Files102567[''07''])</f>
        <v>12000</v>
      </c>
      <c r="F42" s="3" t="e">
        <f>SUMIF(#REF!,"1-Favorable",Tableau_Lancer_la_requête_à_partir_de_Excel_Files102567[''07''])</f>
        <v>#REF!</v>
      </c>
    </row>
    <row r="43" spans="4:6" x14ac:dyDescent="0.25">
      <c r="D43" t="s">
        <v>34</v>
      </c>
      <c r="E43" s="3">
        <f>SUMIF(Tableau_Lancer_la_requête_à_partir_de_Excel_Files102567[Avis Prog],"1-Favorable",Tableau_Lancer_la_requête_à_partir_de_Excel_Files102567[''11''])</f>
        <v>0</v>
      </c>
      <c r="F43" s="3" t="e">
        <f>SUMIF(#REF!,"1-Favorable",Tableau_Lancer_la_requête_à_partir_de_Excel_Files102567[''11''])</f>
        <v>#REF!</v>
      </c>
    </row>
    <row r="44" spans="4:6" x14ac:dyDescent="0.25">
      <c r="D44" t="s">
        <v>35</v>
      </c>
      <c r="E44" s="3">
        <f>SUMIF(Tableau_Lancer_la_requête_à_partir_de_Excel_Files102567[Avis Prog],"1-Favorable",Tableau_Lancer_la_requête_à_partir_de_Excel_Files102567[''12''])</f>
        <v>0</v>
      </c>
      <c r="F44" s="3" t="e">
        <f>SUMIF(#REF!,"1-Favorable",Tableau_Lancer_la_requête_à_partir_de_Excel_Files102567[''12''])</f>
        <v>#REF!</v>
      </c>
    </row>
    <row r="45" spans="4:6" x14ac:dyDescent="0.25">
      <c r="D45" t="s">
        <v>36</v>
      </c>
      <c r="E45" s="3">
        <f>SUMIF(Tableau_Lancer_la_requête_à_partir_de_Excel_Files102567[Avis Prog],"1-Favorable",Tableau_Lancer_la_requête_à_partir_de_Excel_Files102567[''15''])</f>
        <v>0</v>
      </c>
      <c r="F45" s="3" t="e">
        <f>SUMIF(#REF!,"1-Favorable",Tableau_Lancer_la_requête_à_partir_de_Excel_Files102567[''15''])</f>
        <v>#REF!</v>
      </c>
    </row>
    <row r="46" spans="4:6" x14ac:dyDescent="0.25">
      <c r="D46" t="s">
        <v>37</v>
      </c>
      <c r="E46" s="3">
        <f>SUMIF(Tableau_Lancer_la_requête_à_partir_de_Excel_Files102567[Avis Prog],"1-Favorable",Tableau_Lancer_la_requête_à_partir_de_Excel_Files102567[''19''])</f>
        <v>0</v>
      </c>
      <c r="F46" s="3" t="e">
        <f>SUMIF(#REF!,"1-Favorable",Tableau_Lancer_la_requête_à_partir_de_Excel_Files102567[''19''])</f>
        <v>#REF!</v>
      </c>
    </row>
    <row r="47" spans="4:6" x14ac:dyDescent="0.25">
      <c r="D47" t="s">
        <v>38</v>
      </c>
      <c r="E47" s="3">
        <f>SUMIF(Tableau_Lancer_la_requête_à_partir_de_Excel_Files102567[Avis Prog],"1-Favorable",Tableau_Lancer_la_requête_à_partir_de_Excel_Files102567[''21''])</f>
        <v>0</v>
      </c>
      <c r="F47" s="3" t="e">
        <f>SUMIF(#REF!,"1-Favorable",Tableau_Lancer_la_requête_à_partir_de_Excel_Files102567[''21''])</f>
        <v>#REF!</v>
      </c>
    </row>
    <row r="48" spans="4:6" x14ac:dyDescent="0.25">
      <c r="D48" t="s">
        <v>39</v>
      </c>
      <c r="E48" s="3">
        <f>SUMIF(Tableau_Lancer_la_requête_à_partir_de_Excel_Files102567[Avis Prog],"1-Favorable",Tableau_Lancer_la_requête_à_partir_de_Excel_Files102567[''23''])</f>
        <v>0</v>
      </c>
      <c r="F48" s="3" t="e">
        <f>SUMIF(#REF!,"1-Favorable",Tableau_Lancer_la_requête_à_partir_de_Excel_Files102567[''23''])</f>
        <v>#REF!</v>
      </c>
    </row>
    <row r="49" spans="4:6" x14ac:dyDescent="0.25">
      <c r="D49" t="s">
        <v>40</v>
      </c>
      <c r="E49" s="3">
        <f>SUMIF(Tableau_Lancer_la_requête_à_partir_de_Excel_Files102567[Avis Prog],"1-Favorable",Tableau_Lancer_la_requête_à_partir_de_Excel_Files102567[''30''])</f>
        <v>0</v>
      </c>
      <c r="F49" s="3" t="e">
        <f>SUMIF(#REF!,"1-Favorable",Tableau_Lancer_la_requête_à_partir_de_Excel_Files102567[''30''])</f>
        <v>#REF!</v>
      </c>
    </row>
    <row r="50" spans="4:6" x14ac:dyDescent="0.25">
      <c r="D50" t="s">
        <v>41</v>
      </c>
      <c r="E50" s="3">
        <f>SUMIF(Tableau_Lancer_la_requête_à_partir_de_Excel_Files102567[Avis Prog],"1-Favorable",Tableau_Lancer_la_requête_à_partir_de_Excel_Files102567[''34''])</f>
        <v>0</v>
      </c>
      <c r="F50" s="3" t="e">
        <f>SUMIF(#REF!,"1-Favorable",Tableau_Lancer_la_requête_à_partir_de_Excel_Files102567[''34''])</f>
        <v>#REF!</v>
      </c>
    </row>
    <row r="51" spans="4:6" x14ac:dyDescent="0.25">
      <c r="D51" t="s">
        <v>42</v>
      </c>
      <c r="E51" s="3">
        <f>SUMIF(Tableau_Lancer_la_requête_à_partir_de_Excel_Files102567[Avis Prog],"1-Favorable",Tableau_Lancer_la_requête_à_partir_de_Excel_Files102567[''42''])</f>
        <v>0</v>
      </c>
      <c r="F51" s="3" t="e">
        <f>SUMIF(#REF!,"1-Favorable",Tableau_Lancer_la_requête_à_partir_de_Excel_Files102567[''42''])</f>
        <v>#REF!</v>
      </c>
    </row>
    <row r="52" spans="4:6" x14ac:dyDescent="0.25">
      <c r="D52" t="s">
        <v>43</v>
      </c>
      <c r="E52" s="3">
        <f>SUMIF(Tableau_Lancer_la_requête_à_partir_de_Excel_Files102567[Avis Prog],"1-Favorable",Tableau_Lancer_la_requête_à_partir_de_Excel_Files102567[''43''])</f>
        <v>0</v>
      </c>
      <c r="F52" s="3" t="e">
        <f>SUMIF(#REF!,"1-Favorable",Tableau_Lancer_la_requête_à_partir_de_Excel_Files102567[''43''])</f>
        <v>#REF!</v>
      </c>
    </row>
    <row r="53" spans="4:6" x14ac:dyDescent="0.25">
      <c r="D53" t="s">
        <v>44</v>
      </c>
      <c r="E53" s="3">
        <f>SUMIF(Tableau_Lancer_la_requête_à_partir_de_Excel_Files102567[Avis Prog],"1-Favorable",Tableau_Lancer_la_requête_à_partir_de_Excel_Files102567[''46''])</f>
        <v>0</v>
      </c>
      <c r="F53" s="3" t="e">
        <f>SUMIF(#REF!,"1-Favorable",Tableau_Lancer_la_requête_à_partir_de_Excel_Files102567[''46''])</f>
        <v>#REF!</v>
      </c>
    </row>
    <row r="54" spans="4:6" x14ac:dyDescent="0.25">
      <c r="D54" t="s">
        <v>45</v>
      </c>
      <c r="E54" s="3">
        <f>SUMIF(Tableau_Lancer_la_requête_à_partir_de_Excel_Files102567[Avis Prog],"1-Favorable",Tableau_Lancer_la_requête_à_partir_de_Excel_Files102567[''48''])</f>
        <v>2000</v>
      </c>
      <c r="F54" s="3" t="e">
        <f>SUMIF(#REF!,"1-Favorable",Tableau_Lancer_la_requête_à_partir_de_Excel_Files102567[''48''])</f>
        <v>#REF!</v>
      </c>
    </row>
    <row r="55" spans="4:6" x14ac:dyDescent="0.25">
      <c r="D55" t="s">
        <v>46</v>
      </c>
      <c r="E55" s="3">
        <f>SUMIF(Tableau_Lancer_la_requête_à_partir_de_Excel_Files102567[Avis Prog],"1-Favorable",Tableau_Lancer_la_requête_à_partir_de_Excel_Files102567[''58''])</f>
        <v>0</v>
      </c>
      <c r="F55" s="3" t="e">
        <f>SUMIF(#REF!,"1-Favorable",Tableau_Lancer_la_requête_à_partir_de_Excel_Files102567[''58''])</f>
        <v>#REF!</v>
      </c>
    </row>
    <row r="56" spans="4:6" x14ac:dyDescent="0.25">
      <c r="D56" t="s">
        <v>47</v>
      </c>
      <c r="E56" s="3">
        <f>SUMIF(Tableau_Lancer_la_requête_à_partir_de_Excel_Files102567[Avis Prog],"1-Favorable",Tableau_Lancer_la_requête_à_partir_de_Excel_Files102567[''63''])</f>
        <v>0</v>
      </c>
      <c r="F56" s="3" t="e">
        <f>SUMIF(#REF!,"1-Favorable",Tableau_Lancer_la_requête_à_partir_de_Excel_Files102567[''63''])</f>
        <v>#REF!</v>
      </c>
    </row>
    <row r="57" spans="4:6" x14ac:dyDescent="0.25">
      <c r="D57" t="s">
        <v>48</v>
      </c>
      <c r="E57" s="3">
        <f>SUMIF(Tableau_Lancer_la_requête_à_partir_de_Excel_Files102567[Avis Prog],"1-Favorable",Tableau_Lancer_la_requête_à_partir_de_Excel_Files102567[''69''])</f>
        <v>0</v>
      </c>
      <c r="F57" s="3" t="e">
        <f>SUMIF(#REF!,"1-Favorable",Tableau_Lancer_la_requête_à_partir_de_Excel_Files102567[''69''])</f>
        <v>#REF!</v>
      </c>
    </row>
    <row r="58" spans="4:6" x14ac:dyDescent="0.25">
      <c r="D58" t="s">
        <v>49</v>
      </c>
      <c r="E58" s="3">
        <f>SUMIF(Tableau_Lancer_la_requête_à_partir_de_Excel_Files102567[Avis Prog],"1-Favorable",Tableau_Lancer_la_requête_à_partir_de_Excel_Files102567[''71''])</f>
        <v>0</v>
      </c>
      <c r="F58" s="3" t="e">
        <f>SUMIF(#REF!,"1-Favorable",Tableau_Lancer_la_requête_à_partir_de_Excel_Files102567[''71''])</f>
        <v>#REF!</v>
      </c>
    </row>
    <row r="59" spans="4:6" x14ac:dyDescent="0.25">
      <c r="D59" t="s">
        <v>50</v>
      </c>
      <c r="E59" s="3">
        <f>SUMIF(Tableau_Lancer_la_requête_à_partir_de_Excel_Files102567[Avis Prog],"1-Favorable",Tableau_Lancer_la_requête_à_partir_de_Excel_Files102567[''81''])</f>
        <v>0</v>
      </c>
      <c r="F59" s="3" t="e">
        <f>SUMIF(#REF!,"1-Favorable",Tableau_Lancer_la_requête_à_partir_de_Excel_Files102567[''81''])</f>
        <v>#REF!</v>
      </c>
    </row>
    <row r="60" spans="4:6" x14ac:dyDescent="0.25">
      <c r="D60" t="s">
        <v>51</v>
      </c>
      <c r="E60" s="3">
        <f>SUMIF(Tableau_Lancer_la_requête_à_partir_de_Excel_Files102567[Avis Prog],"1-Favorable",Tableau_Lancer_la_requête_à_partir_de_Excel_Files102567[''82''])</f>
        <v>0</v>
      </c>
      <c r="F60" s="3" t="e">
        <f>SUMIF(#REF!,"1-Favorable",Tableau_Lancer_la_requête_à_partir_de_Excel_Files102567[''82''])</f>
        <v>#REF!</v>
      </c>
    </row>
    <row r="61" spans="4:6" x14ac:dyDescent="0.25">
      <c r="D61" t="s">
        <v>52</v>
      </c>
      <c r="E61" s="3">
        <f>SUMIF(Tableau_Lancer_la_requête_à_partir_de_Excel_Files102567[Avis Prog],"1-Favorable",Tableau_Lancer_la_requête_à_partir_de_Excel_Files102567[''87''])</f>
        <v>0</v>
      </c>
      <c r="F61" s="3" t="e">
        <f>SUMIF(#REF!,"1-Favorable",Tableau_Lancer_la_requête_à_partir_de_Excel_Files102567[''87''])</f>
        <v>#REF!</v>
      </c>
    </row>
    <row r="62" spans="4:6" x14ac:dyDescent="0.25">
      <c r="D62" t="s">
        <v>53</v>
      </c>
      <c r="E62" s="3">
        <f>SUMIF(Tableau_Lancer_la_requête_à_partir_de_Excel_Files102567[Avis Prog],"1-Favorable",Tableau_Lancer_la_requête_à_partir_de_Excel_Files102567[''89''])</f>
        <v>0</v>
      </c>
      <c r="F62" s="3" t="e">
        <f>SUMIF(#REF!,"1-Favorable",Tableau_Lancer_la_requête_à_partir_de_Excel_Files102567[''89''])</f>
        <v>#REF!</v>
      </c>
    </row>
  </sheetData>
  <mergeCells count="1">
    <mergeCell ref="A1:B1"/>
  </mergeCells>
  <conditionalFormatting sqref="L7:L21 A7:A21 AQ7:AQ21">
    <cfRule type="cellIs" dxfId="557" priority="5" operator="equal">
      <formula>"6-Retiré/Abandon"</formula>
    </cfRule>
    <cfRule type="cellIs" dxfId="556" priority="6" operator="equal">
      <formula>"5-Défavorable"</formula>
    </cfRule>
    <cfRule type="cellIs" dxfId="555" priority="7" operator="equal">
      <formula>"4-Ajournement"</formula>
    </cfRule>
    <cfRule type="cellIs" dxfId="554" priority="8" operator="equal">
      <formula>"1-Favorable"</formula>
    </cfRule>
  </conditionalFormatting>
  <conditionalFormatting sqref="AS7:AS13 AS16:AS21">
    <cfRule type="cellIs" dxfId="553" priority="1" operator="equal">
      <formula>"6-Retiré/Abandon"</formula>
    </cfRule>
    <cfRule type="cellIs" dxfId="552" priority="2" operator="equal">
      <formula>"5-Défavorable"</formula>
    </cfRule>
    <cfRule type="cellIs" dxfId="551" priority="3" operator="equal">
      <formula>"4-Ajournement"</formula>
    </cfRule>
    <cfRule type="cellIs" dxfId="550" priority="4" operator="equal">
      <formula>"1-Favorable"</formula>
    </cfRule>
  </conditionalFormatting>
  <dataValidations count="1">
    <dataValidation type="list" allowBlank="1" showInputMessage="1" showErrorMessage="1" sqref="AQ7:AQ21">
      <formula1>"1-Favorable,4-Ajournement,5-Défavorable,6-Retiré/Abandon"</formula1>
    </dataValidation>
  </dataValidations>
  <printOptions horizontalCentered="1" verticalCentered="1"/>
  <pageMargins left="0.25" right="0.25" top="0.75" bottom="0.75" header="0.3" footer="0.3"/>
  <pageSetup paperSize="8" scale="51"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48"/>
  <sheetViews>
    <sheetView view="pageBreakPreview" zoomScale="80" zoomScaleNormal="60" zoomScaleSheetLayoutView="80" workbookViewId="0"/>
  </sheetViews>
  <sheetFormatPr baseColWidth="10" defaultRowHeight="15" outlineLevelCol="1" x14ac:dyDescent="0.25"/>
  <cols>
    <col min="1" max="1" width="13.85546875" style="3" customWidth="1"/>
    <col min="2" max="2" width="35" style="4" customWidth="1"/>
    <col min="3" max="3" width="48" style="5" customWidth="1"/>
    <col min="4" max="4" width="14.85546875" style="3" bestFit="1" customWidth="1"/>
    <col min="5" max="5" width="13.5703125" style="3" bestFit="1" customWidth="1"/>
    <col min="6" max="6" width="12" style="6" customWidth="1"/>
    <col min="7" max="7" width="16" style="3" bestFit="1" customWidth="1"/>
    <col min="8" max="8" width="11.28515625" style="6" customWidth="1"/>
    <col min="9" max="9" width="13.85546875" style="3" bestFit="1"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1.5703125" style="3" bestFit="1" customWidth="1" collapsed="1"/>
    <col min="42" max="42" width="15.42578125" style="3" bestFit="1" customWidth="1"/>
    <col min="43" max="43" width="15.42578125" style="3" hidden="1" customWidth="1"/>
    <col min="44" max="44" width="61.85546875" style="3" customWidth="1"/>
    <col min="45" max="45" width="15.42578125" style="3" bestFit="1" customWidth="1"/>
    <col min="46" max="46" width="17.28515625" style="3" bestFit="1" customWidth="1"/>
    <col min="47" max="47" width="9.42578125" style="3" customWidth="1"/>
    <col min="48" max="62" width="9.7109375" style="3" customWidth="1"/>
    <col min="63" max="63" width="15.140625" style="3" customWidth="1"/>
    <col min="64" max="64" width="14.5703125" style="3" customWidth="1"/>
    <col min="65" max="65" width="18.5703125" style="3" customWidth="1"/>
    <col min="66" max="66" width="12.5703125" style="3" customWidth="1"/>
    <col min="67" max="67" width="20.42578125" style="3" customWidth="1"/>
    <col min="68" max="68" width="12.7109375" style="3" customWidth="1"/>
    <col min="69" max="69" width="9.28515625" style="3" customWidth="1"/>
    <col min="70" max="70" width="14.28515625" style="3" customWidth="1"/>
    <col min="71" max="71" width="11.42578125" style="3" customWidth="1"/>
    <col min="72" max="72" width="9" style="3" customWidth="1"/>
    <col min="73" max="73" width="9.5703125" style="3" customWidth="1"/>
    <col min="74" max="74" width="11" style="3" customWidth="1"/>
    <col min="75" max="75" width="12.7109375" style="3" customWidth="1"/>
    <col min="76" max="78" width="9.7109375" style="3" customWidth="1"/>
    <col min="79" max="79" width="15.140625" style="3" customWidth="1"/>
    <col min="80" max="80" width="17.28515625" style="3" customWidth="1"/>
    <col min="81" max="81" width="49.28515625" style="4" customWidth="1"/>
    <col min="82" max="82" width="17.28515625" style="3" customWidth="1"/>
    <col min="83" max="16384" width="11.42578125" style="3"/>
  </cols>
  <sheetData>
    <row r="1" spans="1:81" ht="18.75" x14ac:dyDescent="0.3">
      <c r="B1" s="21" t="s">
        <v>250</v>
      </c>
      <c r="C1" s="22">
        <v>42523</v>
      </c>
    </row>
    <row r="5" spans="1:81" x14ac:dyDescent="0.25">
      <c r="A5" s="1" t="s">
        <v>217</v>
      </c>
      <c r="B5" s="2"/>
    </row>
    <row r="6" spans="1:81" s="7" customFormat="1" ht="30" x14ac:dyDescent="0.25">
      <c r="A6" s="7" t="s">
        <v>10</v>
      </c>
      <c r="B6" s="7" t="s">
        <v>1</v>
      </c>
      <c r="C6" s="7" t="s">
        <v>2</v>
      </c>
      <c r="D6" s="7" t="s">
        <v>72</v>
      </c>
      <c r="E6" s="7" t="s">
        <v>108</v>
      </c>
      <c r="F6" s="7" t="s">
        <v>73</v>
      </c>
      <c r="G6" s="7" t="s">
        <v>70</v>
      </c>
      <c r="H6" s="7" t="s">
        <v>109</v>
      </c>
      <c r="I6" s="7" t="s">
        <v>54</v>
      </c>
      <c r="J6" s="7" t="s">
        <v>129</v>
      </c>
      <c r="K6" s="7" t="s">
        <v>159</v>
      </c>
      <c r="L6" s="7" t="s">
        <v>27</v>
      </c>
      <c r="M6" s="7" t="s">
        <v>130</v>
      </c>
      <c r="N6" s="7" t="s">
        <v>30</v>
      </c>
      <c r="O6" s="7" t="s">
        <v>28</v>
      </c>
      <c r="P6" s="7" t="s">
        <v>29</v>
      </c>
      <c r="Q6" s="7" t="s">
        <v>31</v>
      </c>
      <c r="R6" s="7" t="s">
        <v>131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c r="AJ6" s="7" t="s">
        <v>49</v>
      </c>
      <c r="AK6" s="7" t="s">
        <v>50</v>
      </c>
      <c r="AL6" s="7" t="s">
        <v>51</v>
      </c>
      <c r="AM6" s="7" t="s">
        <v>52</v>
      </c>
      <c r="AN6" s="7" t="s">
        <v>53</v>
      </c>
      <c r="AO6" s="7" t="s">
        <v>55</v>
      </c>
      <c r="AP6" s="17" t="s">
        <v>110</v>
      </c>
      <c r="AR6" s="31" t="s">
        <v>128</v>
      </c>
    </row>
    <row r="7" spans="1:81" s="10" customFormat="1" ht="30.75" thickBot="1" x14ac:dyDescent="0.3">
      <c r="A7" s="13" t="s">
        <v>223</v>
      </c>
      <c r="B7" s="12" t="s">
        <v>224</v>
      </c>
      <c r="C7" s="12" t="s">
        <v>225</v>
      </c>
      <c r="D7" s="15">
        <v>128659.76582278483</v>
      </c>
      <c r="E7" s="15">
        <f>Tableau_Lancer_la_requête_à_partir_de_Excel_Files1025678[[#This Row],[Aide Massif]]+Tableau_Lancer_la_requête_à_partir_de_Excel_Files1025678[[#This Row],[''Autre Public'']]</f>
        <v>90061.84</v>
      </c>
      <c r="F7" s="16">
        <f>Tableau_Lancer_la_requête_à_partir_de_Excel_Files1025678[[#This Row],[Aide 
publique]]/Tableau_Lancer_la_requête_à_partir_de_Excel_Files1025678[[#This Row],[''Coût total éligible'']]</f>
        <v>0.70000003049943849</v>
      </c>
      <c r="G7" s="15">
        <f>Tableau_Lancer_la_requête_à_partir_de_Excel_Files1025678[[#This Row],[''FEDER'']]+Tableau_Lancer_la_requête_à_partir_de_Excel_Files1025678[[#This Row],[Total Etat]]+Tableau_Lancer_la_requête_à_partir_de_Excel_Files1025678[[#This Row],[Total Régions]]+Tableau_Lancer_la_requête_à_partir_de_Excel_Files1025678[[#This Row],[Total Dpts]]</f>
        <v>90061.84</v>
      </c>
      <c r="H7" s="16">
        <f>Tableau_Lancer_la_requête_à_partir_de_Excel_Files1025678[[#This Row],[Aide Massif]]/Tableau_Lancer_la_requête_à_partir_de_Excel_Files1025678[[#This Row],[''Coût total éligible'']]</f>
        <v>0.70000003049943849</v>
      </c>
      <c r="I7" s="15">
        <v>0</v>
      </c>
      <c r="J7" s="15">
        <f>Tableau_Lancer_la_requête_à_partir_de_Excel_Files1025678[[#This Row],[''FNADT '']]+Tableau_Lancer_la_requête_à_partir_de_Excel_Files1025678[[#This Row],[''Agriculture'']]</f>
        <v>90061.84</v>
      </c>
      <c r="K7" s="11"/>
      <c r="L7" s="15">
        <v>90061.84</v>
      </c>
      <c r="M7" s="15">
        <f>Tableau_Lancer_la_requête_à_partir_de_Excel_Files1025678[[#This Row],[''ALPC'']]+Tableau_Lancer_la_requête_à_partir_de_Excel_Files1025678[[#This Row],[''AURA'']]+Tableau_Lancer_la_requête_à_partir_de_Excel_Files1025678[[#This Row],[''BFC'']]+Tableau_Lancer_la_requête_à_partir_de_Excel_Files1025678[[#This Row],[''LRMP'']]</f>
        <v>0</v>
      </c>
      <c r="N7" s="15"/>
      <c r="O7" s="15"/>
      <c r="P7" s="15"/>
      <c r="Q7" s="15"/>
      <c r="R7" s="15">
        <f>Tableau_Lancer_la_requête_à_partir_de_Excel_Files1025678[[#This Row],[''03'']]+Tableau_Lancer_la_requête_à_partir_de_Excel_Files1025678[[#This Row],[''07'']]+Tableau_Lancer_la_requête_à_partir_de_Excel_Files1025678[[#This Row],[''11'']]+Tableau_Lancer_la_requête_à_partir_de_Excel_Files1025678[[#This Row],[''12'']]+Tableau_Lancer_la_requête_à_partir_de_Excel_Files1025678[[#This Row],[''15'']]+Tableau_Lancer_la_requête_à_partir_de_Excel_Files1025678[[#This Row],[''19'']]+Tableau_Lancer_la_requête_à_partir_de_Excel_Files1025678[[#This Row],[''21'']]+Tableau_Lancer_la_requête_à_partir_de_Excel_Files1025678[[#This Row],[''23'']]+Tableau_Lancer_la_requête_à_partir_de_Excel_Files1025678[[#This Row],[''30'']]+Tableau_Lancer_la_requête_à_partir_de_Excel_Files1025678[[#This Row],[''34'']]+Tableau_Lancer_la_requête_à_partir_de_Excel_Files1025678[[#This Row],[''42'']]+Tableau_Lancer_la_requête_à_partir_de_Excel_Files1025678[[#This Row],[''43'']]+Tableau_Lancer_la_requête_à_partir_de_Excel_Files1025678[[#This Row],[''46'']]+Tableau_Lancer_la_requête_à_partir_de_Excel_Files1025678[[#This Row],[''48'']]+Tableau_Lancer_la_requête_à_partir_de_Excel_Files1025678[[#This Row],[''58'']]+Tableau_Lancer_la_requête_à_partir_de_Excel_Files1025678[[#This Row],[''63'']]+Tableau_Lancer_la_requête_à_partir_de_Excel_Files1025678[[#This Row],[''69'']]+Tableau_Lancer_la_requête_à_partir_de_Excel_Files1025678[[#This Row],[''71'']]+Tableau_Lancer_la_requête_à_partir_de_Excel_Files1025678[[#This Row],[''81'']]+Tableau_Lancer_la_requête_à_partir_de_Excel_Files1025678[[#This Row],[''82'']]+Tableau_Lancer_la_requête_à_partir_de_Excel_Files1025678[[#This Row],[''87'']]+Tableau_Lancer_la_requête_à_partir_de_Excel_Files1025678[[#This Row],[''89'']]</f>
        <v>0</v>
      </c>
      <c r="S7" s="15"/>
      <c r="T7" s="15"/>
      <c r="U7" s="15"/>
      <c r="V7" s="15"/>
      <c r="W7" s="15"/>
      <c r="X7" s="15"/>
      <c r="Y7" s="15"/>
      <c r="Z7" s="15"/>
      <c r="AA7" s="15"/>
      <c r="AB7" s="15"/>
      <c r="AC7" s="15"/>
      <c r="AD7" s="15"/>
      <c r="AE7" s="15"/>
      <c r="AF7" s="15"/>
      <c r="AG7" s="15"/>
      <c r="AH7" s="15"/>
      <c r="AI7" s="15"/>
      <c r="AJ7" s="15"/>
      <c r="AK7" s="15"/>
      <c r="AL7" s="15"/>
      <c r="AM7" s="15"/>
      <c r="AN7" s="15"/>
      <c r="AO7" s="15">
        <v>0</v>
      </c>
      <c r="AP7" s="11" t="s">
        <v>77</v>
      </c>
      <c r="AR7" s="24" t="s">
        <v>257</v>
      </c>
      <c r="AS7" s="10" t="s">
        <v>346</v>
      </c>
    </row>
    <row r="8" spans="1:81" s="10" customFormat="1" ht="15.75" thickTop="1" x14ac:dyDescent="0.25">
      <c r="A8" s="70" t="s">
        <v>11</v>
      </c>
      <c r="B8" s="71">
        <f>SUBTOTAL(103,Tableau_Lancer_la_requête_à_partir_de_Excel_Files1025678[Nom_MO])</f>
        <v>1</v>
      </c>
      <c r="C8" s="71"/>
      <c r="D8" s="72">
        <f>SUBTOTAL(109,Tableau_Lancer_la_requête_à_partir_de_Excel_Files1025678[''Coût total éligible''])</f>
        <v>128659.76582278483</v>
      </c>
      <c r="E8" s="72">
        <f>SUBTOTAL(109,Tableau_Lancer_la_requête_à_partir_de_Excel_Files1025678[Aide 
publique])</f>
        <v>90061.84</v>
      </c>
      <c r="F8" s="73"/>
      <c r="G8" s="72">
        <f>SUBTOTAL(109,Tableau_Lancer_la_requête_à_partir_de_Excel_Files1025678[Aide Massif])</f>
        <v>90061.84</v>
      </c>
      <c r="H8" s="73"/>
      <c r="I8" s="72">
        <f>SUBTOTAL(109,Tableau_Lancer_la_requête_à_partir_de_Excel_Files1025678[''FEDER''])</f>
        <v>0</v>
      </c>
      <c r="J8" s="72">
        <f>SUBTOTAL(109,Tableau_Lancer_la_requête_à_partir_de_Excel_Files1025678[Total Etat])</f>
        <v>90061.84</v>
      </c>
      <c r="K8" s="70"/>
      <c r="L8" s="72">
        <f>SUBTOTAL(109,Tableau_Lancer_la_requête_à_partir_de_Excel_Files1025678[''Agriculture''])</f>
        <v>90061.84</v>
      </c>
      <c r="M8" s="72">
        <f>SUBTOTAL(109,Tableau_Lancer_la_requête_à_partir_de_Excel_Files1025678[Total Régions])</f>
        <v>0</v>
      </c>
      <c r="N8" s="72">
        <f>SUBTOTAL(109,Tableau_Lancer_la_requête_à_partir_de_Excel_Files1025678[''ALPC''])</f>
        <v>0</v>
      </c>
      <c r="O8" s="72">
        <f>SUBTOTAL(109,Tableau_Lancer_la_requête_à_partir_de_Excel_Files1025678[''AURA''])</f>
        <v>0</v>
      </c>
      <c r="P8" s="72">
        <f>SUBTOTAL(109,Tableau_Lancer_la_requête_à_partir_de_Excel_Files1025678[''BFC''])</f>
        <v>0</v>
      </c>
      <c r="Q8" s="72">
        <f>SUBTOTAL(109,Tableau_Lancer_la_requête_à_partir_de_Excel_Files1025678[''LRMP''])</f>
        <v>0</v>
      </c>
      <c r="R8" s="72">
        <f>SUBTOTAL(109,Tableau_Lancer_la_requête_à_partir_de_Excel_Files1025678[Total Dpts])</f>
        <v>0</v>
      </c>
      <c r="S8" s="72">
        <f>SUBTOTAL(109,Tableau_Lancer_la_requête_à_partir_de_Excel_Files1025678[''03''])</f>
        <v>0</v>
      </c>
      <c r="T8" s="72">
        <f>SUBTOTAL(109,Tableau_Lancer_la_requête_à_partir_de_Excel_Files1025678[''07''])</f>
        <v>0</v>
      </c>
      <c r="U8" s="72">
        <f>SUBTOTAL(109,Tableau_Lancer_la_requête_à_partir_de_Excel_Files1025678[''11''])</f>
        <v>0</v>
      </c>
      <c r="V8" s="72">
        <f>SUBTOTAL(109,Tableau_Lancer_la_requête_à_partir_de_Excel_Files1025678[''12''])</f>
        <v>0</v>
      </c>
      <c r="W8" s="72">
        <f>SUBTOTAL(109,Tableau_Lancer_la_requête_à_partir_de_Excel_Files1025678[''15''])</f>
        <v>0</v>
      </c>
      <c r="X8" s="72">
        <f>SUBTOTAL(109,Tableau_Lancer_la_requête_à_partir_de_Excel_Files1025678[''19''])</f>
        <v>0</v>
      </c>
      <c r="Y8" s="72">
        <f>SUBTOTAL(109,Tableau_Lancer_la_requête_à_partir_de_Excel_Files1025678[''21''])</f>
        <v>0</v>
      </c>
      <c r="Z8" s="72">
        <f>SUBTOTAL(109,Tableau_Lancer_la_requête_à_partir_de_Excel_Files1025678[''23''])</f>
        <v>0</v>
      </c>
      <c r="AA8" s="72">
        <f>SUBTOTAL(109,Tableau_Lancer_la_requête_à_partir_de_Excel_Files1025678[''30''])</f>
        <v>0</v>
      </c>
      <c r="AB8" s="72">
        <f>SUBTOTAL(109,Tableau_Lancer_la_requête_à_partir_de_Excel_Files1025678[''34''])</f>
        <v>0</v>
      </c>
      <c r="AC8" s="72">
        <f>SUBTOTAL(109,Tableau_Lancer_la_requête_à_partir_de_Excel_Files1025678[''42''])</f>
        <v>0</v>
      </c>
      <c r="AD8" s="72">
        <f>SUBTOTAL(109,Tableau_Lancer_la_requête_à_partir_de_Excel_Files1025678[''43''])</f>
        <v>0</v>
      </c>
      <c r="AE8" s="72">
        <f>SUBTOTAL(109,Tableau_Lancer_la_requête_à_partir_de_Excel_Files1025678[''46''])</f>
        <v>0</v>
      </c>
      <c r="AF8" s="72">
        <f>SUBTOTAL(109,Tableau_Lancer_la_requête_à_partir_de_Excel_Files1025678[''48''])</f>
        <v>0</v>
      </c>
      <c r="AG8" s="72">
        <f>SUBTOTAL(109,Tableau_Lancer_la_requête_à_partir_de_Excel_Files1025678[''58''])</f>
        <v>0</v>
      </c>
      <c r="AH8" s="72">
        <f>SUBTOTAL(109,Tableau_Lancer_la_requête_à_partir_de_Excel_Files1025678[''63''])</f>
        <v>0</v>
      </c>
      <c r="AI8" s="72">
        <f>SUBTOTAL(109,Tableau_Lancer_la_requête_à_partir_de_Excel_Files1025678[''69''])</f>
        <v>0</v>
      </c>
      <c r="AJ8" s="72">
        <f>SUBTOTAL(109,Tableau_Lancer_la_requête_à_partir_de_Excel_Files1025678[''71''])</f>
        <v>0</v>
      </c>
      <c r="AK8" s="72">
        <f>SUBTOTAL(109,Tableau_Lancer_la_requête_à_partir_de_Excel_Files1025678[''81''])</f>
        <v>0</v>
      </c>
      <c r="AL8" s="72">
        <f>SUBTOTAL(109,Tableau_Lancer_la_requête_à_partir_de_Excel_Files1025678[''82''])</f>
        <v>0</v>
      </c>
      <c r="AM8" s="72">
        <f>SUBTOTAL(109,Tableau_Lancer_la_requête_à_partir_de_Excel_Files1025678[''87''])</f>
        <v>0</v>
      </c>
      <c r="AN8" s="72">
        <f>SUBTOTAL(109,Tableau_Lancer_la_requête_à_partir_de_Excel_Files1025678[''89''])</f>
        <v>0</v>
      </c>
      <c r="AO8" s="72">
        <f>SUBTOTAL(109,Tableau_Lancer_la_requête_à_partir_de_Excel_Files1025678[''Autre Public''])</f>
        <v>0</v>
      </c>
      <c r="AP8" s="74"/>
      <c r="AR8" s="29"/>
    </row>
    <row r="9" spans="1:81" s="10" customFormat="1" x14ac:dyDescent="0.25">
      <c r="A9" s="3"/>
      <c r="B9" s="4"/>
      <c r="C9" s="5"/>
      <c r="D9" s="3"/>
      <c r="E9" s="3"/>
      <c r="F9" s="6"/>
      <c r="G9" s="3"/>
      <c r="H9" s="6"/>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pans="1:81" s="10" customFormat="1" x14ac:dyDescent="0.25">
      <c r="A10" s="3"/>
      <c r="B10" s="4"/>
      <c r="C10" s="5"/>
      <c r="D10" s="3"/>
      <c r="E10" s="3"/>
      <c r="F10" s="6"/>
      <c r="G10" s="3"/>
      <c r="H10" s="6"/>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81" s="10" customFormat="1" x14ac:dyDescent="0.25">
      <c r="A11" s="3"/>
      <c r="B11" s="4"/>
      <c r="C11" s="5"/>
      <c r="D11" s="3"/>
      <c r="E11" s="3"/>
      <c r="F11" s="6"/>
      <c r="G11" s="3"/>
      <c r="H11" s="6"/>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81" x14ac:dyDescent="0.25">
      <c r="BZ12" s="4"/>
      <c r="CC12" s="3"/>
    </row>
    <row r="13" spans="1:81" x14ac:dyDescent="0.25">
      <c r="BZ13" s="4"/>
      <c r="CC13" s="3"/>
    </row>
    <row r="14" spans="1:81" x14ac:dyDescent="0.25">
      <c r="BZ14" s="4"/>
      <c r="CC14" s="3"/>
    </row>
    <row r="15" spans="1:81" x14ac:dyDescent="0.25">
      <c r="BZ15" s="4"/>
      <c r="CC15" s="3"/>
    </row>
    <row r="16" spans="1:81" x14ac:dyDescent="0.25">
      <c r="BZ16" s="4"/>
      <c r="CC16" s="3"/>
    </row>
    <row r="17" spans="1:81" s="7" customFormat="1" x14ac:dyDescent="0.25">
      <c r="A17" s="3"/>
      <c r="B17" s="4"/>
      <c r="C17" s="5"/>
      <c r="D17" s="3"/>
      <c r="E17" s="3"/>
      <c r="F17" s="6"/>
      <c r="G17" s="3"/>
      <c r="H17" s="6"/>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row>
    <row r="18" spans="1:81" s="10" customFormat="1" hidden="1" x14ac:dyDescent="0.25">
      <c r="A18" s="3"/>
      <c r="B18" s="4"/>
      <c r="C18" s="5"/>
      <c r="D18" s="3"/>
      <c r="E18" s="3" t="s">
        <v>353</v>
      </c>
      <c r="F18" s="6" t="s">
        <v>354</v>
      </c>
      <c r="G18" s="3"/>
      <c r="H18" s="6"/>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row>
    <row r="19" spans="1:81" hidden="1" x14ac:dyDescent="0.25">
      <c r="D19" t="s">
        <v>112</v>
      </c>
      <c r="E19" s="3">
        <f>SUMIF(Tableau_Lancer_la_requête_à_partir_de_Excel_Files1025678[Avis Prog],"1-Favorable",Tableau_Lancer_la_requête_à_partir_de_Excel_Files1025678[''FEDER''])</f>
        <v>0</v>
      </c>
      <c r="F19" s="3" t="e">
        <f>SUMIF(#REF!,"1-Favorable",Tableau_Lancer_la_requête_à_partir_de_Excel_Files1025678[''FEDER''])</f>
        <v>#REF!</v>
      </c>
      <c r="CB19" s="4"/>
      <c r="CC19" s="3"/>
    </row>
    <row r="20" spans="1:81" hidden="1" x14ac:dyDescent="0.25">
      <c r="D20" t="s">
        <v>56</v>
      </c>
      <c r="E20" s="3">
        <f>SUMIF(Tableau_Lancer_la_requête_à_partir_de_Excel_Files1025678[Avis Prog],"1-Favorable",Tableau_Lancer_la_requête_à_partir_de_Excel_Files1025678[Total Etat])</f>
        <v>90061.84</v>
      </c>
      <c r="F20" s="3" t="e">
        <f>SUMIF(#REF!,"1-Favorable",Tableau_Lancer_la_requête_à_partir_de_Excel_Files1025678[Total Etat])</f>
        <v>#REF!</v>
      </c>
    </row>
    <row r="21" spans="1:81" hidden="1" x14ac:dyDescent="0.25">
      <c r="D21" t="s">
        <v>57</v>
      </c>
      <c r="E21" s="3">
        <f>SUMIF(Tableau_Lancer_la_requête_à_partir_de_Excel_Files1025678[Avis Prog],"1-Favorable",Tableau_Lancer_la_requête_à_partir_de_Excel_Files1025678[Total Régions])</f>
        <v>0</v>
      </c>
      <c r="F21" s="3" t="e">
        <f>SUMIF(#REF!,"1-Favorable",Tableau_Lancer_la_requête_à_partir_de_Excel_Files1025678[Total Régions])</f>
        <v>#REF!</v>
      </c>
    </row>
    <row r="22" spans="1:81" hidden="1" x14ac:dyDescent="0.25">
      <c r="D22" s="3" t="s">
        <v>113</v>
      </c>
      <c r="E22" s="3">
        <f>SUMIF(Tableau_Lancer_la_requête_à_partir_de_Excel_Files1025678[Avis Prog],"1-Favorable",Tableau_Lancer_la_requête_à_partir_de_Excel_Files1025678[''ALPC''])</f>
        <v>0</v>
      </c>
      <c r="F22" s="3" t="e">
        <f>SUMIF(#REF!,"1-Favorable",Tableau_Lancer_la_requête_à_partir_de_Excel_Files1025678[''ALPC''])</f>
        <v>#REF!</v>
      </c>
    </row>
    <row r="23" spans="1:81" hidden="1" x14ac:dyDescent="0.25">
      <c r="D23" s="3" t="s">
        <v>114</v>
      </c>
      <c r="E23" s="3">
        <f>SUMIF(Tableau_Lancer_la_requête_à_partir_de_Excel_Files1025678[Avis Prog],"1-Favorable",Tableau_Lancer_la_requête_à_partir_de_Excel_Files1025678[''AURA''])</f>
        <v>0</v>
      </c>
      <c r="F23" s="3" t="e">
        <f>SUMIF(#REF!,"1-Favorable",Tableau_Lancer_la_requête_à_partir_de_Excel_Files1025678[''AURA''])</f>
        <v>#REF!</v>
      </c>
    </row>
    <row r="24" spans="1:81" hidden="1" x14ac:dyDescent="0.25">
      <c r="D24" s="3" t="s">
        <v>115</v>
      </c>
      <c r="E24" s="3">
        <f>SUMIF(Tableau_Lancer_la_requête_à_partir_de_Excel_Files1025678[Avis Prog],"1-Favorable",Tableau_Lancer_la_requête_à_partir_de_Excel_Files1025678[''BFC''])</f>
        <v>0</v>
      </c>
      <c r="F24" s="3" t="e">
        <f>SUMIF(#REF!,"1-Favorable",Tableau_Lancer_la_requête_à_partir_de_Excel_Files1025678[''BFC''])</f>
        <v>#REF!</v>
      </c>
    </row>
    <row r="25" spans="1:81" hidden="1" x14ac:dyDescent="0.25">
      <c r="D25" s="3" t="s">
        <v>116</v>
      </c>
      <c r="E25" s="3">
        <f>SUMIF(Tableau_Lancer_la_requête_à_partir_de_Excel_Files1025678[Avis Prog],"1-Favorable",Tableau_Lancer_la_requête_à_partir_de_Excel_Files1025678[''LRMP''])</f>
        <v>0</v>
      </c>
      <c r="F25" s="3" t="e">
        <f>SUMIF(#REF!,"1-Favorable",Tableau_Lancer_la_requête_à_partir_de_Excel_Files1025678[''LRMP''])</f>
        <v>#REF!</v>
      </c>
    </row>
    <row r="26" spans="1:81" hidden="1" x14ac:dyDescent="0.25">
      <c r="D26" t="s">
        <v>58</v>
      </c>
      <c r="E26" s="3">
        <f>SUMIF(Tableau_Lancer_la_requête_à_partir_de_Excel_Files1025678[Avis Prog],"1-Favorable",Tableau_Lancer_la_requête_à_partir_de_Excel_Files1025678[Total Dpts])</f>
        <v>0</v>
      </c>
      <c r="F26" s="3" t="e">
        <f>SUMIF(#REF!,"1-Favorable",Tableau_Lancer_la_requête_à_partir_de_Excel_Files1025678[Total Dpts])</f>
        <v>#REF!</v>
      </c>
    </row>
    <row r="27" spans="1:81" hidden="1" x14ac:dyDescent="0.25">
      <c r="D27" t="s">
        <v>32</v>
      </c>
      <c r="E27" s="3">
        <f>SUMIF(Tableau_Lancer_la_requête_à_partir_de_Excel_Files1025678[Avis Prog],"1-Favorable",Tableau_Lancer_la_requête_à_partir_de_Excel_Files1025678[''03''])</f>
        <v>0</v>
      </c>
      <c r="F27" s="3" t="e">
        <f>SUMIF(#REF!,"1-Favorable",Tableau_Lancer_la_requête_à_partir_de_Excel_Files1025678[''03''])</f>
        <v>#REF!</v>
      </c>
    </row>
    <row r="28" spans="1:81" hidden="1" x14ac:dyDescent="0.25">
      <c r="D28" t="s">
        <v>33</v>
      </c>
      <c r="E28" s="3">
        <f>SUMIF(Tableau_Lancer_la_requête_à_partir_de_Excel_Files1025678[Avis Prog],"1-Favorable",Tableau_Lancer_la_requête_à_partir_de_Excel_Files1025678[''07''])</f>
        <v>0</v>
      </c>
      <c r="F28" s="3" t="e">
        <f>SUMIF(#REF!,"1-Favorable",Tableau_Lancer_la_requête_à_partir_de_Excel_Files1025678[''07''])</f>
        <v>#REF!</v>
      </c>
    </row>
    <row r="29" spans="1:81" hidden="1" x14ac:dyDescent="0.25">
      <c r="D29" t="s">
        <v>34</v>
      </c>
      <c r="E29" s="3">
        <f>SUMIF(Tableau_Lancer_la_requête_à_partir_de_Excel_Files1025678[Avis Prog],"1-Favorable",Tableau_Lancer_la_requête_à_partir_de_Excel_Files1025678[''11''])</f>
        <v>0</v>
      </c>
      <c r="F29" s="3" t="e">
        <f>SUMIF(#REF!,"1-Favorable",Tableau_Lancer_la_requête_à_partir_de_Excel_Files1025678[''11''])</f>
        <v>#REF!</v>
      </c>
    </row>
    <row r="30" spans="1:81" hidden="1" x14ac:dyDescent="0.25">
      <c r="D30" t="s">
        <v>35</v>
      </c>
      <c r="E30" s="3">
        <f>SUMIF(Tableau_Lancer_la_requête_à_partir_de_Excel_Files1025678[Avis Prog],"1-Favorable",Tableau_Lancer_la_requête_à_partir_de_Excel_Files1025678[''12''])</f>
        <v>0</v>
      </c>
      <c r="F30" s="3" t="e">
        <f>SUMIF(#REF!,"1-Favorable",Tableau_Lancer_la_requête_à_partir_de_Excel_Files1025678[''12''])</f>
        <v>#REF!</v>
      </c>
    </row>
    <row r="31" spans="1:81" hidden="1" x14ac:dyDescent="0.25">
      <c r="D31" t="s">
        <v>36</v>
      </c>
      <c r="E31" s="3">
        <f>SUMIF(Tableau_Lancer_la_requête_à_partir_de_Excel_Files1025678[Avis Prog],"1-Favorable",Tableau_Lancer_la_requête_à_partir_de_Excel_Files1025678[''15''])</f>
        <v>0</v>
      </c>
      <c r="F31" s="3" t="e">
        <f>SUMIF(#REF!,"1-Favorable",Tableau_Lancer_la_requête_à_partir_de_Excel_Files1025678[''15''])</f>
        <v>#REF!</v>
      </c>
    </row>
    <row r="32" spans="1:81" hidden="1" x14ac:dyDescent="0.25">
      <c r="D32" t="s">
        <v>37</v>
      </c>
      <c r="E32" s="3">
        <f>SUMIF(Tableau_Lancer_la_requête_à_partir_de_Excel_Files1025678[Avis Prog],"1-Favorable",Tableau_Lancer_la_requête_à_partir_de_Excel_Files1025678[''19''])</f>
        <v>0</v>
      </c>
      <c r="F32" s="3" t="e">
        <f>SUMIF(#REF!,"1-Favorable",Tableau_Lancer_la_requête_à_partir_de_Excel_Files1025678[''19''])</f>
        <v>#REF!</v>
      </c>
    </row>
    <row r="33" spans="4:6" hidden="1" x14ac:dyDescent="0.25">
      <c r="D33" t="s">
        <v>38</v>
      </c>
      <c r="E33" s="3">
        <f>SUMIF(Tableau_Lancer_la_requête_à_partir_de_Excel_Files1025678[Avis Prog],"1-Favorable",Tableau_Lancer_la_requête_à_partir_de_Excel_Files1025678[''21''])</f>
        <v>0</v>
      </c>
      <c r="F33" s="3" t="e">
        <f>SUMIF(#REF!,"1-Favorable",Tableau_Lancer_la_requête_à_partir_de_Excel_Files1025678[''21''])</f>
        <v>#REF!</v>
      </c>
    </row>
    <row r="34" spans="4:6" hidden="1" x14ac:dyDescent="0.25">
      <c r="D34" t="s">
        <v>39</v>
      </c>
      <c r="E34" s="3">
        <f>SUMIF(Tableau_Lancer_la_requête_à_partir_de_Excel_Files1025678[Avis Prog],"1-Favorable",Tableau_Lancer_la_requête_à_partir_de_Excel_Files1025678[''23''])</f>
        <v>0</v>
      </c>
      <c r="F34" s="3" t="e">
        <f>SUMIF(#REF!,"1-Favorable",Tableau_Lancer_la_requête_à_partir_de_Excel_Files1025678[''23''])</f>
        <v>#REF!</v>
      </c>
    </row>
    <row r="35" spans="4:6" hidden="1" x14ac:dyDescent="0.25">
      <c r="D35" t="s">
        <v>40</v>
      </c>
      <c r="E35" s="3">
        <f>SUMIF(Tableau_Lancer_la_requête_à_partir_de_Excel_Files1025678[Avis Prog],"1-Favorable",Tableau_Lancer_la_requête_à_partir_de_Excel_Files1025678[''30''])</f>
        <v>0</v>
      </c>
      <c r="F35" s="3" t="e">
        <f>SUMIF(#REF!,"1-Favorable",Tableau_Lancer_la_requête_à_partir_de_Excel_Files1025678[''30''])</f>
        <v>#REF!</v>
      </c>
    </row>
    <row r="36" spans="4:6" hidden="1" x14ac:dyDescent="0.25">
      <c r="D36" t="s">
        <v>41</v>
      </c>
      <c r="E36" s="3">
        <f>SUMIF(Tableau_Lancer_la_requête_à_partir_de_Excel_Files1025678[Avis Prog],"1-Favorable",Tableau_Lancer_la_requête_à_partir_de_Excel_Files1025678[''34''])</f>
        <v>0</v>
      </c>
      <c r="F36" s="3" t="e">
        <f>SUMIF(#REF!,"1-Favorable",Tableau_Lancer_la_requête_à_partir_de_Excel_Files1025678[''34''])</f>
        <v>#REF!</v>
      </c>
    </row>
    <row r="37" spans="4:6" hidden="1" x14ac:dyDescent="0.25">
      <c r="D37" t="s">
        <v>42</v>
      </c>
      <c r="E37" s="3">
        <f>SUMIF(Tableau_Lancer_la_requête_à_partir_de_Excel_Files1025678[Avis Prog],"1-Favorable",Tableau_Lancer_la_requête_à_partir_de_Excel_Files1025678[''42''])</f>
        <v>0</v>
      </c>
      <c r="F37" s="3" t="e">
        <f>SUMIF(#REF!,"1-Favorable",Tableau_Lancer_la_requête_à_partir_de_Excel_Files1025678[''42''])</f>
        <v>#REF!</v>
      </c>
    </row>
    <row r="38" spans="4:6" hidden="1" x14ac:dyDescent="0.25">
      <c r="D38" t="s">
        <v>43</v>
      </c>
      <c r="E38" s="3">
        <f>SUMIF(Tableau_Lancer_la_requête_à_partir_de_Excel_Files1025678[Avis Prog],"1-Favorable",Tableau_Lancer_la_requête_à_partir_de_Excel_Files1025678[''43''])</f>
        <v>0</v>
      </c>
      <c r="F38" s="3" t="e">
        <f>SUMIF(#REF!,"1-Favorable",Tableau_Lancer_la_requête_à_partir_de_Excel_Files1025678[''43''])</f>
        <v>#REF!</v>
      </c>
    </row>
    <row r="39" spans="4:6" hidden="1" x14ac:dyDescent="0.25">
      <c r="D39" t="s">
        <v>44</v>
      </c>
      <c r="E39" s="3">
        <f>SUMIF(Tableau_Lancer_la_requête_à_partir_de_Excel_Files1025678[Avis Prog],"1-Favorable",Tableau_Lancer_la_requête_à_partir_de_Excel_Files1025678[''46''])</f>
        <v>0</v>
      </c>
      <c r="F39" s="3" t="e">
        <f>SUMIF(#REF!,"1-Favorable",Tableau_Lancer_la_requête_à_partir_de_Excel_Files1025678[''46''])</f>
        <v>#REF!</v>
      </c>
    </row>
    <row r="40" spans="4:6" hidden="1" x14ac:dyDescent="0.25">
      <c r="D40" t="s">
        <v>45</v>
      </c>
      <c r="E40" s="3">
        <f>SUMIF(Tableau_Lancer_la_requête_à_partir_de_Excel_Files1025678[Avis Prog],"1-Favorable",Tableau_Lancer_la_requête_à_partir_de_Excel_Files1025678[''48''])</f>
        <v>0</v>
      </c>
      <c r="F40" s="3" t="e">
        <f>SUMIF(#REF!,"1-Favorable",Tableau_Lancer_la_requête_à_partir_de_Excel_Files1025678[''48''])</f>
        <v>#REF!</v>
      </c>
    </row>
    <row r="41" spans="4:6" hidden="1" x14ac:dyDescent="0.25">
      <c r="D41" t="s">
        <v>46</v>
      </c>
      <c r="E41" s="3">
        <f>SUMIF(Tableau_Lancer_la_requête_à_partir_de_Excel_Files1025678[Avis Prog],"1-Favorable",Tableau_Lancer_la_requête_à_partir_de_Excel_Files1025678[''58''])</f>
        <v>0</v>
      </c>
      <c r="F41" s="3" t="e">
        <f>SUMIF(#REF!,"1-Favorable",Tableau_Lancer_la_requête_à_partir_de_Excel_Files1025678[''58''])</f>
        <v>#REF!</v>
      </c>
    </row>
    <row r="42" spans="4:6" hidden="1" x14ac:dyDescent="0.25">
      <c r="D42" t="s">
        <v>47</v>
      </c>
      <c r="E42" s="3">
        <f>SUMIF(Tableau_Lancer_la_requête_à_partir_de_Excel_Files1025678[Avis Prog],"1-Favorable",Tableau_Lancer_la_requête_à_partir_de_Excel_Files1025678[''63''])</f>
        <v>0</v>
      </c>
      <c r="F42" s="3" t="e">
        <f>SUMIF(#REF!,"1-Favorable",Tableau_Lancer_la_requête_à_partir_de_Excel_Files1025678[''63''])</f>
        <v>#REF!</v>
      </c>
    </row>
    <row r="43" spans="4:6" hidden="1" x14ac:dyDescent="0.25">
      <c r="D43" t="s">
        <v>48</v>
      </c>
      <c r="E43" s="3">
        <f>SUMIF(Tableau_Lancer_la_requête_à_partir_de_Excel_Files1025678[Avis Prog],"1-Favorable",Tableau_Lancer_la_requête_à_partir_de_Excel_Files1025678[''69''])</f>
        <v>0</v>
      </c>
      <c r="F43" s="3" t="e">
        <f>SUMIF(#REF!,"1-Favorable",Tableau_Lancer_la_requête_à_partir_de_Excel_Files1025678[''69''])</f>
        <v>#REF!</v>
      </c>
    </row>
    <row r="44" spans="4:6" hidden="1" x14ac:dyDescent="0.25">
      <c r="D44" t="s">
        <v>49</v>
      </c>
      <c r="E44" s="3">
        <f>SUMIF(Tableau_Lancer_la_requête_à_partir_de_Excel_Files1025678[Avis Prog],"1-Favorable",Tableau_Lancer_la_requête_à_partir_de_Excel_Files1025678[''71''])</f>
        <v>0</v>
      </c>
      <c r="F44" s="3" t="e">
        <f>SUMIF(#REF!,"1-Favorable",Tableau_Lancer_la_requête_à_partir_de_Excel_Files1025678[''71''])</f>
        <v>#REF!</v>
      </c>
    </row>
    <row r="45" spans="4:6" hidden="1" x14ac:dyDescent="0.25">
      <c r="D45" t="s">
        <v>50</v>
      </c>
      <c r="E45" s="3">
        <f>SUMIF(Tableau_Lancer_la_requête_à_partir_de_Excel_Files1025678[Avis Prog],"1-Favorable",Tableau_Lancer_la_requête_à_partir_de_Excel_Files1025678[''81''])</f>
        <v>0</v>
      </c>
      <c r="F45" s="3" t="e">
        <f>SUMIF(#REF!,"1-Favorable",Tableau_Lancer_la_requête_à_partir_de_Excel_Files1025678[''81''])</f>
        <v>#REF!</v>
      </c>
    </row>
    <row r="46" spans="4:6" hidden="1" x14ac:dyDescent="0.25">
      <c r="D46" t="s">
        <v>51</v>
      </c>
      <c r="E46" s="3">
        <f>SUMIF(Tableau_Lancer_la_requête_à_partir_de_Excel_Files1025678[Avis Prog],"1-Favorable",Tableau_Lancer_la_requête_à_partir_de_Excel_Files1025678[''82''])</f>
        <v>0</v>
      </c>
      <c r="F46" s="3" t="e">
        <f>SUMIF(#REF!,"1-Favorable",Tableau_Lancer_la_requête_à_partir_de_Excel_Files1025678[''82''])</f>
        <v>#REF!</v>
      </c>
    </row>
    <row r="47" spans="4:6" hidden="1" x14ac:dyDescent="0.25">
      <c r="D47" t="s">
        <v>52</v>
      </c>
      <c r="E47" s="3">
        <f>SUMIF(Tableau_Lancer_la_requête_à_partir_de_Excel_Files1025678[Avis Prog],"1-Favorable",Tableau_Lancer_la_requête_à_partir_de_Excel_Files1025678[''87''])</f>
        <v>0</v>
      </c>
      <c r="F47" s="3" t="e">
        <f>SUMIF(#REF!,"1-Favorable",Tableau_Lancer_la_requête_à_partir_de_Excel_Files1025678[''87''])</f>
        <v>#REF!</v>
      </c>
    </row>
    <row r="48" spans="4:6" hidden="1" x14ac:dyDescent="0.25">
      <c r="D48" t="s">
        <v>53</v>
      </c>
      <c r="E48" s="3">
        <f>SUMIF(Tableau_Lancer_la_requête_à_partir_de_Excel_Files1025678[Avis Prog],"1-Favorable",Tableau_Lancer_la_requête_à_partir_de_Excel_Files1025678[''89''])</f>
        <v>0</v>
      </c>
      <c r="F48" s="3" t="e">
        <f>SUMIF(#REF!,"1-Favorable",Tableau_Lancer_la_requête_à_partir_de_Excel_Files1025678[''89''])</f>
        <v>#REF!</v>
      </c>
    </row>
  </sheetData>
  <conditionalFormatting sqref="K7 AP7">
    <cfRule type="cellIs" dxfId="460" priority="5" operator="equal">
      <formula>"6-Retiré/Abandon"</formula>
    </cfRule>
    <cfRule type="cellIs" dxfId="459" priority="6" operator="equal">
      <formula>"5-Défavorable"</formula>
    </cfRule>
    <cfRule type="cellIs" dxfId="458" priority="7" operator="equal">
      <formula>"4-Ajournement"</formula>
    </cfRule>
    <cfRule type="cellIs" dxfId="457" priority="8" operator="equal">
      <formula>"1-Favorable"</formula>
    </cfRule>
  </conditionalFormatting>
  <conditionalFormatting sqref="AR7">
    <cfRule type="cellIs" dxfId="456" priority="1" operator="equal">
      <formula>"6-Retiré/Abandon"</formula>
    </cfRule>
    <cfRule type="cellIs" dxfId="455" priority="2" operator="equal">
      <formula>"5-Défavorable"</formula>
    </cfRule>
    <cfRule type="cellIs" dxfId="454" priority="3" operator="equal">
      <formula>"4-Ajournement"</formula>
    </cfRule>
    <cfRule type="cellIs" dxfId="453" priority="4" operator="equal">
      <formula>"1-Favorable"</formula>
    </cfRule>
  </conditionalFormatting>
  <dataValidations count="1">
    <dataValidation type="list" allowBlank="1" showInputMessage="1" showErrorMessage="1" sqref="AP7">
      <formula1>"1-Favorable,4-Ajournement,5-Défavorable,6-Retiré/Abandon"</formula1>
    </dataValidation>
  </dataValidations>
  <printOptions horizontalCentered="1" verticalCentered="1"/>
  <pageMargins left="0.25" right="0.25" top="0.75" bottom="0.75" header="0.3" footer="0.3"/>
  <pageSetup paperSize="8" scale="65"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1"/>
  <sheetViews>
    <sheetView view="pageBreakPreview" topLeftCell="A2" zoomScale="80" zoomScaleNormal="60" zoomScaleSheetLayoutView="80" workbookViewId="0">
      <selection activeCell="A17" sqref="A17"/>
    </sheetView>
  </sheetViews>
  <sheetFormatPr baseColWidth="10" defaultRowHeight="15" outlineLevelCol="1" x14ac:dyDescent="0.25"/>
  <cols>
    <col min="1" max="1" width="13.85546875" style="3" customWidth="1"/>
    <col min="2" max="2" width="35" style="4" customWidth="1"/>
    <col min="3" max="3" width="48" style="5" customWidth="1"/>
    <col min="4" max="4" width="14.85546875" style="3" bestFit="1" customWidth="1"/>
    <col min="5" max="5" width="14" style="3" customWidth="1"/>
    <col min="6" max="6" width="12" style="6" customWidth="1"/>
    <col min="7" max="7" width="16" style="3" bestFit="1" customWidth="1"/>
    <col min="8" max="8" width="11.28515625" style="6" customWidth="1"/>
    <col min="9" max="9" width="13.85546875" style="3" bestFit="1"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2.28515625" style="3" customWidth="1" collapsed="1"/>
    <col min="42" max="42" width="15.42578125" style="3" bestFit="1" customWidth="1"/>
    <col min="43" max="43" width="15.42578125" style="3" hidden="1" customWidth="1"/>
    <col min="44" max="44" width="69" style="3" customWidth="1"/>
    <col min="45" max="45" width="15.42578125" style="3" bestFit="1" customWidth="1"/>
    <col min="46" max="46" width="17.28515625" style="3" bestFit="1" customWidth="1"/>
    <col min="47" max="47" width="9.42578125" style="3" customWidth="1"/>
    <col min="48" max="62" width="9.7109375" style="3" customWidth="1"/>
    <col min="63" max="63" width="15.140625" style="3" customWidth="1"/>
    <col min="64" max="64" width="14.5703125" style="3" customWidth="1"/>
    <col min="65" max="65" width="18.5703125" style="3" customWidth="1"/>
    <col min="66" max="66" width="12.5703125" style="3" customWidth="1"/>
    <col min="67" max="67" width="20.42578125" style="3" customWidth="1"/>
    <col min="68" max="68" width="12.7109375" style="3" customWidth="1"/>
    <col min="69" max="69" width="9.28515625" style="3" customWidth="1"/>
    <col min="70" max="70" width="14.28515625" style="3" customWidth="1"/>
    <col min="71" max="71" width="11.42578125" style="3" customWidth="1"/>
    <col min="72" max="72" width="9" style="3" customWidth="1"/>
    <col min="73" max="73" width="9.5703125" style="3" customWidth="1"/>
    <col min="74" max="74" width="11" style="3" customWidth="1"/>
    <col min="75" max="75" width="12.7109375" style="3" customWidth="1"/>
    <col min="76" max="78" width="9.7109375" style="3" customWidth="1"/>
    <col min="79" max="79" width="15.140625" style="3" customWidth="1"/>
    <col min="80" max="80" width="17.28515625" style="3" customWidth="1"/>
    <col min="81" max="81" width="49.28515625" style="4" customWidth="1"/>
    <col min="82" max="82" width="17.28515625" style="3" customWidth="1"/>
    <col min="83" max="16384" width="11.42578125" style="3"/>
  </cols>
  <sheetData>
    <row r="1" spans="1:81" ht="18.75" x14ac:dyDescent="0.3">
      <c r="B1" s="21" t="s">
        <v>250</v>
      </c>
      <c r="C1" s="22">
        <v>42523</v>
      </c>
    </row>
    <row r="5" spans="1:81" x14ac:dyDescent="0.25">
      <c r="A5" s="1" t="s">
        <v>218</v>
      </c>
      <c r="B5" s="2"/>
    </row>
    <row r="6" spans="1:81" s="7" customFormat="1" ht="30" x14ac:dyDescent="0.25">
      <c r="A6" s="7" t="s">
        <v>10</v>
      </c>
      <c r="B6" s="7" t="s">
        <v>1</v>
      </c>
      <c r="C6" s="7" t="s">
        <v>2</v>
      </c>
      <c r="D6" s="7" t="s">
        <v>72</v>
      </c>
      <c r="E6" s="7" t="s">
        <v>108</v>
      </c>
      <c r="F6" s="7" t="s">
        <v>73</v>
      </c>
      <c r="G6" s="7" t="s">
        <v>70</v>
      </c>
      <c r="H6" s="7" t="s">
        <v>109</v>
      </c>
      <c r="I6" s="7" t="s">
        <v>54</v>
      </c>
      <c r="J6" s="7" t="s">
        <v>129</v>
      </c>
      <c r="K6" s="7" t="s">
        <v>159</v>
      </c>
      <c r="L6" s="7" t="s">
        <v>27</v>
      </c>
      <c r="M6" s="7" t="s">
        <v>130</v>
      </c>
      <c r="N6" s="7" t="s">
        <v>30</v>
      </c>
      <c r="O6" s="7" t="s">
        <v>28</v>
      </c>
      <c r="P6" s="7" t="s">
        <v>29</v>
      </c>
      <c r="Q6" s="7" t="s">
        <v>31</v>
      </c>
      <c r="R6" s="7" t="s">
        <v>131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c r="AJ6" s="7" t="s">
        <v>49</v>
      </c>
      <c r="AK6" s="7" t="s">
        <v>50</v>
      </c>
      <c r="AL6" s="7" t="s">
        <v>51</v>
      </c>
      <c r="AM6" s="7" t="s">
        <v>52</v>
      </c>
      <c r="AN6" s="7" t="s">
        <v>53</v>
      </c>
      <c r="AO6" s="7" t="s">
        <v>55</v>
      </c>
      <c r="AP6" s="17" t="s">
        <v>110</v>
      </c>
      <c r="AR6" s="31" t="s">
        <v>128</v>
      </c>
    </row>
    <row r="7" spans="1:81" s="10" customFormat="1" ht="45" x14ac:dyDescent="0.25">
      <c r="A7" s="13" t="s">
        <v>215</v>
      </c>
      <c r="B7" s="12" t="s">
        <v>6</v>
      </c>
      <c r="C7" s="12" t="s">
        <v>216</v>
      </c>
      <c r="D7" s="15">
        <v>45000</v>
      </c>
      <c r="E7" s="15">
        <f>Tableau_Lancer_la_requête_à_partir_de_Excel_Files10256789[[#This Row],[Aide Massif]]+Tableau_Lancer_la_requête_à_partir_de_Excel_Files10256789[[#This Row],[''Autre Public'']]</f>
        <v>29835</v>
      </c>
      <c r="F7" s="16">
        <f>Tableau_Lancer_la_requête_à_partir_de_Excel_Files10256789[[#This Row],[Aide 
publique]]/Tableau_Lancer_la_requête_à_partir_de_Excel_Files10256789[[#This Row],[''Coût total éligible'']]</f>
        <v>0.66300000000000003</v>
      </c>
      <c r="G7" s="15">
        <f>Tableau_Lancer_la_requête_à_partir_de_Excel_Files10256789[[#This Row],[''FEDER'']]+Tableau_Lancer_la_requête_à_partir_de_Excel_Files10256789[[#This Row],[Total Etat]]+Tableau_Lancer_la_requête_à_partir_de_Excel_Files10256789[[#This Row],[Total Régions]]+Tableau_Lancer_la_requête_à_partir_de_Excel_Files10256789[[#This Row],[Total Dpts]]</f>
        <v>29835</v>
      </c>
      <c r="H7" s="16">
        <f>Tableau_Lancer_la_requête_à_partir_de_Excel_Files10256789[[#This Row],[Aide Massif]]/Tableau_Lancer_la_requête_à_partir_de_Excel_Files10256789[[#This Row],[''Coût total éligible'']]</f>
        <v>0.66300000000000003</v>
      </c>
      <c r="I7" s="15">
        <v>18000</v>
      </c>
      <c r="J7" s="15">
        <f>Tableau_Lancer_la_requête_à_partir_de_Excel_Files10256789[[#This Row],[''FNADT '']]+Tableau_Lancer_la_requête_à_partir_de_Excel_Files10256789[[#This Row],[''Agriculture'']]</f>
        <v>0</v>
      </c>
      <c r="K7" s="11"/>
      <c r="L7" s="15"/>
      <c r="M7" s="15">
        <f>Tableau_Lancer_la_requête_à_partir_de_Excel_Files10256789[[#This Row],[''ALPC'']]+Tableau_Lancer_la_requête_à_partir_de_Excel_Files10256789[[#This Row],[''AURA'']]+Tableau_Lancer_la_requête_à_partir_de_Excel_Files10256789[[#This Row],[''BFC'']]+Tableau_Lancer_la_requête_à_partir_de_Excel_Files10256789[[#This Row],[''LRMP'']]</f>
        <v>11835</v>
      </c>
      <c r="N7" s="15"/>
      <c r="O7" s="15"/>
      <c r="P7" s="15"/>
      <c r="Q7" s="15">
        <v>11835</v>
      </c>
      <c r="R7" s="15">
        <f>Tableau_Lancer_la_requête_à_partir_de_Excel_Files10256789[[#This Row],[''03'']]+Tableau_Lancer_la_requête_à_partir_de_Excel_Files10256789[[#This Row],[''07'']]+Tableau_Lancer_la_requête_à_partir_de_Excel_Files10256789[[#This Row],[''11'']]+Tableau_Lancer_la_requête_à_partir_de_Excel_Files10256789[[#This Row],[''12'']]+Tableau_Lancer_la_requête_à_partir_de_Excel_Files10256789[[#This Row],[''15'']]+Tableau_Lancer_la_requête_à_partir_de_Excel_Files10256789[[#This Row],[''19'']]+Tableau_Lancer_la_requête_à_partir_de_Excel_Files10256789[[#This Row],[''21'']]+Tableau_Lancer_la_requête_à_partir_de_Excel_Files10256789[[#This Row],[''23'']]+Tableau_Lancer_la_requête_à_partir_de_Excel_Files10256789[[#This Row],[''30'']]+Tableau_Lancer_la_requête_à_partir_de_Excel_Files10256789[[#This Row],[''34'']]+Tableau_Lancer_la_requête_à_partir_de_Excel_Files10256789[[#This Row],[''42'']]+Tableau_Lancer_la_requête_à_partir_de_Excel_Files10256789[[#This Row],[''43'']]+Tableau_Lancer_la_requête_à_partir_de_Excel_Files10256789[[#This Row],[''46'']]+Tableau_Lancer_la_requête_à_partir_de_Excel_Files10256789[[#This Row],[''48'']]+Tableau_Lancer_la_requête_à_partir_de_Excel_Files10256789[[#This Row],[''58'']]+Tableau_Lancer_la_requête_à_partir_de_Excel_Files10256789[[#This Row],[''63'']]+Tableau_Lancer_la_requête_à_partir_de_Excel_Files10256789[[#This Row],[''69'']]+Tableau_Lancer_la_requête_à_partir_de_Excel_Files10256789[[#This Row],[''71'']]+Tableau_Lancer_la_requête_à_partir_de_Excel_Files10256789[[#This Row],[''81'']]+Tableau_Lancer_la_requête_à_partir_de_Excel_Files10256789[[#This Row],[''82'']]+Tableau_Lancer_la_requête_à_partir_de_Excel_Files10256789[[#This Row],[''87'']]+Tableau_Lancer_la_requête_à_partir_de_Excel_Files10256789[[#This Row],[''89'']]</f>
        <v>0</v>
      </c>
      <c r="S7" s="15"/>
      <c r="T7" s="15"/>
      <c r="U7" s="15"/>
      <c r="V7" s="15"/>
      <c r="W7" s="15"/>
      <c r="X7" s="15"/>
      <c r="Y7" s="15"/>
      <c r="Z7" s="15"/>
      <c r="AA7" s="15"/>
      <c r="AB7" s="15"/>
      <c r="AC7" s="15"/>
      <c r="AD7" s="15"/>
      <c r="AE7" s="15"/>
      <c r="AF7" s="15"/>
      <c r="AG7" s="15"/>
      <c r="AH7" s="15"/>
      <c r="AI7" s="15"/>
      <c r="AJ7" s="15"/>
      <c r="AK7" s="15"/>
      <c r="AL7" s="15"/>
      <c r="AM7" s="15"/>
      <c r="AN7" s="15"/>
      <c r="AO7" s="15">
        <v>0</v>
      </c>
      <c r="AP7" s="11" t="s">
        <v>77</v>
      </c>
      <c r="AR7" s="24"/>
      <c r="AS7" s="10" t="s">
        <v>347</v>
      </c>
    </row>
    <row r="8" spans="1:81" s="10" customFormat="1" ht="62.25" customHeight="1" x14ac:dyDescent="0.25">
      <c r="A8" s="6" t="s">
        <v>212</v>
      </c>
      <c r="B8" s="5" t="s">
        <v>213</v>
      </c>
      <c r="C8" s="5" t="s">
        <v>214</v>
      </c>
      <c r="D8" s="8">
        <v>79113.350000000006</v>
      </c>
      <c r="E8" s="8">
        <f>Tableau_Lancer_la_requête_à_partir_de_Excel_Files10256789[[#This Row],[Aide Massif]]+Tableau_Lancer_la_requête_à_partir_de_Excel_Files10256789[[#This Row],[''Autre Public'']]</f>
        <v>52093</v>
      </c>
      <c r="F8" s="9">
        <f>Tableau_Lancer_la_requête_à_partir_de_Excel_Files10256789[[#This Row],[Aide 
publique]]/Tableau_Lancer_la_requête_à_partir_de_Excel_Files10256789[[#This Row],[''Coût total éligible'']]</f>
        <v>0.6584602977879207</v>
      </c>
      <c r="G8" s="8">
        <f>Tableau_Lancer_la_requête_à_partir_de_Excel_Files10256789[[#This Row],[''FEDER'']]+Tableau_Lancer_la_requête_à_partir_de_Excel_Files10256789[[#This Row],[Total Etat]]+Tableau_Lancer_la_requête_à_partir_de_Excel_Files10256789[[#This Row],[Total Régions]]+Tableau_Lancer_la_requête_à_partir_de_Excel_Files10256789[[#This Row],[Total Dpts]]</f>
        <v>52093</v>
      </c>
      <c r="H8" s="9">
        <f>Tableau_Lancer_la_requête_à_partir_de_Excel_Files10256789[[#This Row],[Aide Massif]]/Tableau_Lancer_la_requête_à_partir_de_Excel_Files10256789[[#This Row],[''Coût total éligible'']]</f>
        <v>0.6584602977879207</v>
      </c>
      <c r="I8" s="8">
        <v>30000</v>
      </c>
      <c r="J8" s="8">
        <f>Tableau_Lancer_la_requête_à_partir_de_Excel_Files10256789[[#This Row],[''FNADT '']]+Tableau_Lancer_la_requête_à_partir_de_Excel_Files10256789[[#This Row],[''Agriculture'']]</f>
        <v>22093</v>
      </c>
      <c r="K8" s="10">
        <v>22093</v>
      </c>
      <c r="L8" s="8"/>
      <c r="M8" s="8">
        <f>Tableau_Lancer_la_requête_à_partir_de_Excel_Files10256789[[#This Row],[''ALPC'']]+Tableau_Lancer_la_requête_à_partir_de_Excel_Files10256789[[#This Row],[''AURA'']]+Tableau_Lancer_la_requête_à_partir_de_Excel_Files10256789[[#This Row],[''BFC'']]+Tableau_Lancer_la_requête_à_partir_de_Excel_Files10256789[[#This Row],[''LRMP'']]</f>
        <v>0</v>
      </c>
      <c r="N8" s="8"/>
      <c r="O8" s="8"/>
      <c r="P8" s="8"/>
      <c r="Q8" s="8"/>
      <c r="R8" s="8">
        <f>Tableau_Lancer_la_requête_à_partir_de_Excel_Files10256789[[#This Row],[''03'']]+Tableau_Lancer_la_requête_à_partir_de_Excel_Files10256789[[#This Row],[''07'']]+Tableau_Lancer_la_requête_à_partir_de_Excel_Files10256789[[#This Row],[''11'']]+Tableau_Lancer_la_requête_à_partir_de_Excel_Files10256789[[#This Row],[''12'']]+Tableau_Lancer_la_requête_à_partir_de_Excel_Files10256789[[#This Row],[''15'']]+Tableau_Lancer_la_requête_à_partir_de_Excel_Files10256789[[#This Row],[''19'']]+Tableau_Lancer_la_requête_à_partir_de_Excel_Files10256789[[#This Row],[''21'']]+Tableau_Lancer_la_requête_à_partir_de_Excel_Files10256789[[#This Row],[''23'']]+Tableau_Lancer_la_requête_à_partir_de_Excel_Files10256789[[#This Row],[''30'']]+Tableau_Lancer_la_requête_à_partir_de_Excel_Files10256789[[#This Row],[''34'']]+Tableau_Lancer_la_requête_à_partir_de_Excel_Files10256789[[#This Row],[''42'']]+Tableau_Lancer_la_requête_à_partir_de_Excel_Files10256789[[#This Row],[''43'']]+Tableau_Lancer_la_requête_à_partir_de_Excel_Files10256789[[#This Row],[''46'']]+Tableau_Lancer_la_requête_à_partir_de_Excel_Files10256789[[#This Row],[''48'']]+Tableau_Lancer_la_requête_à_partir_de_Excel_Files10256789[[#This Row],[''58'']]+Tableau_Lancer_la_requête_à_partir_de_Excel_Files10256789[[#This Row],[''63'']]+Tableau_Lancer_la_requête_à_partir_de_Excel_Files10256789[[#This Row],[''69'']]+Tableau_Lancer_la_requête_à_partir_de_Excel_Files10256789[[#This Row],[''71'']]+Tableau_Lancer_la_requête_à_partir_de_Excel_Files10256789[[#This Row],[''81'']]+Tableau_Lancer_la_requête_à_partir_de_Excel_Files10256789[[#This Row],[''82'']]+Tableau_Lancer_la_requête_à_partir_de_Excel_Files10256789[[#This Row],[''87'']]+Tableau_Lancer_la_requête_à_partir_de_Excel_Files10256789[[#This Row],[''89'']]</f>
        <v>0</v>
      </c>
      <c r="S8" s="8"/>
      <c r="T8" s="8"/>
      <c r="U8" s="8"/>
      <c r="V8" s="8"/>
      <c r="W8" s="8"/>
      <c r="X8" s="8"/>
      <c r="Y8" s="8"/>
      <c r="Z8" s="8"/>
      <c r="AA8" s="8"/>
      <c r="AB8" s="8"/>
      <c r="AC8" s="8"/>
      <c r="AD8" s="8"/>
      <c r="AE8" s="8"/>
      <c r="AF8" s="8"/>
      <c r="AG8" s="8"/>
      <c r="AH8" s="8"/>
      <c r="AI8" s="8"/>
      <c r="AJ8" s="8"/>
      <c r="AK8" s="8"/>
      <c r="AL8" s="8"/>
      <c r="AM8" s="8"/>
      <c r="AN8" s="8"/>
      <c r="AO8" s="8">
        <v>0</v>
      </c>
      <c r="AP8" s="10" t="s">
        <v>77</v>
      </c>
      <c r="AR8" s="26"/>
      <c r="AS8" s="10" t="s">
        <v>347</v>
      </c>
    </row>
    <row r="9" spans="1:81" s="10" customFormat="1" ht="30" x14ac:dyDescent="0.25">
      <c r="A9" s="6" t="s">
        <v>209</v>
      </c>
      <c r="B9" s="5" t="s">
        <v>210</v>
      </c>
      <c r="C9" s="5" t="s">
        <v>211</v>
      </c>
      <c r="D9" s="8">
        <v>75000</v>
      </c>
      <c r="E9" s="8">
        <f>Tableau_Lancer_la_requête_à_partir_de_Excel_Files10256789[[#This Row],[Aide Massif]]+Tableau_Lancer_la_requête_à_partir_de_Excel_Files10256789[[#This Row],[''Autre Public'']]</f>
        <v>52500</v>
      </c>
      <c r="F9" s="9">
        <f>Tableau_Lancer_la_requête_à_partir_de_Excel_Files10256789[[#This Row],[Aide 
publique]]/Tableau_Lancer_la_requête_à_partir_de_Excel_Files10256789[[#This Row],[''Coût total éligible'']]</f>
        <v>0.7</v>
      </c>
      <c r="G9" s="8">
        <f>Tableau_Lancer_la_requête_à_partir_de_Excel_Files10256789[[#This Row],[''FEDER'']]+Tableau_Lancer_la_requête_à_partir_de_Excel_Files10256789[[#This Row],[Total Etat]]+Tableau_Lancer_la_requête_à_partir_de_Excel_Files10256789[[#This Row],[Total Régions]]+Tableau_Lancer_la_requête_à_partir_de_Excel_Files10256789[[#This Row],[Total Dpts]]</f>
        <v>52500</v>
      </c>
      <c r="H9" s="9">
        <f>Tableau_Lancer_la_requête_à_partir_de_Excel_Files10256789[[#This Row],[Aide Massif]]/Tableau_Lancer_la_requête_à_partir_de_Excel_Files10256789[[#This Row],[''Coût total éligible'']]</f>
        <v>0.7</v>
      </c>
      <c r="I9" s="8">
        <v>30000</v>
      </c>
      <c r="J9" s="8">
        <f>Tableau_Lancer_la_requête_à_partir_de_Excel_Files10256789[[#This Row],[''FNADT '']]+Tableau_Lancer_la_requête_à_partir_de_Excel_Files10256789[[#This Row],[''Agriculture'']]</f>
        <v>22500</v>
      </c>
      <c r="K9" s="10">
        <v>22500</v>
      </c>
      <c r="L9" s="8"/>
      <c r="M9" s="8">
        <f>Tableau_Lancer_la_requête_à_partir_de_Excel_Files10256789[[#This Row],[''ALPC'']]+Tableau_Lancer_la_requête_à_partir_de_Excel_Files10256789[[#This Row],[''AURA'']]+Tableau_Lancer_la_requête_à_partir_de_Excel_Files10256789[[#This Row],[''BFC'']]+Tableau_Lancer_la_requête_à_partir_de_Excel_Files10256789[[#This Row],[''LRMP'']]</f>
        <v>0</v>
      </c>
      <c r="N9" s="8"/>
      <c r="O9" s="8"/>
      <c r="P9" s="8"/>
      <c r="Q9" s="8"/>
      <c r="R9" s="8">
        <f>Tableau_Lancer_la_requête_à_partir_de_Excel_Files10256789[[#This Row],[''03'']]+Tableau_Lancer_la_requête_à_partir_de_Excel_Files10256789[[#This Row],[''07'']]+Tableau_Lancer_la_requête_à_partir_de_Excel_Files10256789[[#This Row],[''11'']]+Tableau_Lancer_la_requête_à_partir_de_Excel_Files10256789[[#This Row],[''12'']]+Tableau_Lancer_la_requête_à_partir_de_Excel_Files10256789[[#This Row],[''15'']]+Tableau_Lancer_la_requête_à_partir_de_Excel_Files10256789[[#This Row],[''19'']]+Tableau_Lancer_la_requête_à_partir_de_Excel_Files10256789[[#This Row],[''21'']]+Tableau_Lancer_la_requête_à_partir_de_Excel_Files10256789[[#This Row],[''23'']]+Tableau_Lancer_la_requête_à_partir_de_Excel_Files10256789[[#This Row],[''30'']]+Tableau_Lancer_la_requête_à_partir_de_Excel_Files10256789[[#This Row],[''34'']]+Tableau_Lancer_la_requête_à_partir_de_Excel_Files10256789[[#This Row],[''42'']]+Tableau_Lancer_la_requête_à_partir_de_Excel_Files10256789[[#This Row],[''43'']]+Tableau_Lancer_la_requête_à_partir_de_Excel_Files10256789[[#This Row],[''46'']]+Tableau_Lancer_la_requête_à_partir_de_Excel_Files10256789[[#This Row],[''48'']]+Tableau_Lancer_la_requête_à_partir_de_Excel_Files10256789[[#This Row],[''58'']]+Tableau_Lancer_la_requête_à_partir_de_Excel_Files10256789[[#This Row],[''63'']]+Tableau_Lancer_la_requête_à_partir_de_Excel_Files10256789[[#This Row],[''69'']]+Tableau_Lancer_la_requête_à_partir_de_Excel_Files10256789[[#This Row],[''71'']]+Tableau_Lancer_la_requête_à_partir_de_Excel_Files10256789[[#This Row],[''81'']]+Tableau_Lancer_la_requête_à_partir_de_Excel_Files10256789[[#This Row],[''82'']]+Tableau_Lancer_la_requête_à_partir_de_Excel_Files10256789[[#This Row],[''87'']]+Tableau_Lancer_la_requête_à_partir_de_Excel_Files10256789[[#This Row],[''89'']]</f>
        <v>0</v>
      </c>
      <c r="S9" s="8"/>
      <c r="T9" s="8"/>
      <c r="U9" s="8"/>
      <c r="V9" s="8"/>
      <c r="W9" s="8"/>
      <c r="X9" s="8"/>
      <c r="Y9" s="8"/>
      <c r="Z9" s="8"/>
      <c r="AA9" s="8"/>
      <c r="AB9" s="8"/>
      <c r="AC9" s="8"/>
      <c r="AD9" s="8"/>
      <c r="AE9" s="8"/>
      <c r="AF9" s="8"/>
      <c r="AG9" s="8"/>
      <c r="AH9" s="8"/>
      <c r="AI9" s="8"/>
      <c r="AJ9" s="8"/>
      <c r="AK9" s="8"/>
      <c r="AL9" s="8"/>
      <c r="AM9" s="8"/>
      <c r="AN9" s="8"/>
      <c r="AO9" s="8">
        <v>0</v>
      </c>
      <c r="AP9" s="10" t="s">
        <v>77</v>
      </c>
      <c r="AR9" s="24"/>
      <c r="AS9" s="10" t="s">
        <v>344</v>
      </c>
    </row>
    <row r="10" spans="1:81" s="10" customFormat="1" ht="30.75" thickBot="1" x14ac:dyDescent="0.3">
      <c r="A10" s="13" t="s">
        <v>171</v>
      </c>
      <c r="B10" s="12" t="s">
        <v>172</v>
      </c>
      <c r="C10" s="12" t="s">
        <v>173</v>
      </c>
      <c r="D10" s="15">
        <v>60708.19</v>
      </c>
      <c r="E10" s="15">
        <f>Tableau_Lancer_la_requête_à_partir_de_Excel_Files10256789[[#This Row],[Aide Massif]]+Tableau_Lancer_la_requête_à_partir_de_Excel_Files10256789[[#This Row],[''Autre Public'']]</f>
        <v>48566.55</v>
      </c>
      <c r="F10" s="16">
        <f>Tableau_Lancer_la_requête_à_partir_de_Excel_Files10256789[[#This Row],[Aide 
publique]]/Tableau_Lancer_la_requête_à_partir_de_Excel_Files10256789[[#This Row],[''Coût total éligible'']]</f>
        <v>0.7999999670555159</v>
      </c>
      <c r="G10" s="15">
        <f>Tableau_Lancer_la_requête_à_partir_de_Excel_Files10256789[[#This Row],[''FEDER'']]+Tableau_Lancer_la_requête_à_partir_de_Excel_Files10256789[[#This Row],[Total Etat]]+Tableau_Lancer_la_requête_à_partir_de_Excel_Files10256789[[#This Row],[Total Régions]]+Tableau_Lancer_la_requête_à_partir_de_Excel_Files10256789[[#This Row],[Total Dpts]]</f>
        <v>38566.550000000003</v>
      </c>
      <c r="H10" s="16">
        <f>Tableau_Lancer_la_requête_à_partir_de_Excel_Files10256789[[#This Row],[Aide Massif]]/Tableau_Lancer_la_requête_à_partir_de_Excel_Files10256789[[#This Row],[''Coût total éligible'']]</f>
        <v>0.63527754657155822</v>
      </c>
      <c r="I10" s="15">
        <v>24283.4</v>
      </c>
      <c r="J10" s="15">
        <f>Tableau_Lancer_la_requête_à_partir_de_Excel_Files10256789[[#This Row],[''FNADT '']]+Tableau_Lancer_la_requête_à_partir_de_Excel_Files10256789[[#This Row],[''Agriculture'']]</f>
        <v>11986.9</v>
      </c>
      <c r="K10" s="11">
        <v>11986.9</v>
      </c>
      <c r="L10" s="15"/>
      <c r="M10" s="15">
        <f>Tableau_Lancer_la_requête_à_partir_de_Excel_Files10256789[[#This Row],[''ALPC'']]+Tableau_Lancer_la_requête_à_partir_de_Excel_Files10256789[[#This Row],[''AURA'']]+Tableau_Lancer_la_requête_à_partir_de_Excel_Files10256789[[#This Row],[''BFC'']]+Tableau_Lancer_la_requête_à_partir_de_Excel_Files10256789[[#This Row],[''LRMP'']]</f>
        <v>0</v>
      </c>
      <c r="N10" s="15"/>
      <c r="O10" s="15"/>
      <c r="P10" s="15"/>
      <c r="Q10" s="15"/>
      <c r="R10" s="15">
        <f>Tableau_Lancer_la_requête_à_partir_de_Excel_Files10256789[[#This Row],[''03'']]+Tableau_Lancer_la_requête_à_partir_de_Excel_Files10256789[[#This Row],[''07'']]+Tableau_Lancer_la_requête_à_partir_de_Excel_Files10256789[[#This Row],[''11'']]+Tableau_Lancer_la_requête_à_partir_de_Excel_Files10256789[[#This Row],[''12'']]+Tableau_Lancer_la_requête_à_partir_de_Excel_Files10256789[[#This Row],[''15'']]+Tableau_Lancer_la_requête_à_partir_de_Excel_Files10256789[[#This Row],[''19'']]+Tableau_Lancer_la_requête_à_partir_de_Excel_Files10256789[[#This Row],[''21'']]+Tableau_Lancer_la_requête_à_partir_de_Excel_Files10256789[[#This Row],[''23'']]+Tableau_Lancer_la_requête_à_partir_de_Excel_Files10256789[[#This Row],[''30'']]+Tableau_Lancer_la_requête_à_partir_de_Excel_Files10256789[[#This Row],[''34'']]+Tableau_Lancer_la_requête_à_partir_de_Excel_Files10256789[[#This Row],[''42'']]+Tableau_Lancer_la_requête_à_partir_de_Excel_Files10256789[[#This Row],[''43'']]+Tableau_Lancer_la_requête_à_partir_de_Excel_Files10256789[[#This Row],[''46'']]+Tableau_Lancer_la_requête_à_partir_de_Excel_Files10256789[[#This Row],[''48'']]+Tableau_Lancer_la_requête_à_partir_de_Excel_Files10256789[[#This Row],[''58'']]+Tableau_Lancer_la_requête_à_partir_de_Excel_Files10256789[[#This Row],[''63'']]+Tableau_Lancer_la_requête_à_partir_de_Excel_Files10256789[[#This Row],[''69'']]+Tableau_Lancer_la_requête_à_partir_de_Excel_Files10256789[[#This Row],[''71'']]+Tableau_Lancer_la_requête_à_partir_de_Excel_Files10256789[[#This Row],[''81'']]+Tableau_Lancer_la_requête_à_partir_de_Excel_Files10256789[[#This Row],[''82'']]+Tableau_Lancer_la_requête_à_partir_de_Excel_Files10256789[[#This Row],[''87'']]+Tableau_Lancer_la_requête_à_partir_de_Excel_Files10256789[[#This Row],[''89'']]</f>
        <v>2296.25</v>
      </c>
      <c r="S10" s="15"/>
      <c r="T10" s="15"/>
      <c r="U10" s="15"/>
      <c r="V10" s="15"/>
      <c r="W10" s="15"/>
      <c r="X10" s="15"/>
      <c r="Y10" s="15"/>
      <c r="Z10" s="15"/>
      <c r="AA10" s="15"/>
      <c r="AB10" s="15"/>
      <c r="AC10" s="15"/>
      <c r="AD10" s="15"/>
      <c r="AE10" s="15"/>
      <c r="AF10" s="15">
        <v>2296.25</v>
      </c>
      <c r="AG10" s="15"/>
      <c r="AH10" s="15"/>
      <c r="AI10" s="15"/>
      <c r="AJ10" s="15"/>
      <c r="AK10" s="15"/>
      <c r="AL10" s="15"/>
      <c r="AM10" s="15"/>
      <c r="AN10" s="15"/>
      <c r="AO10" s="15">
        <v>10000</v>
      </c>
      <c r="AP10" s="11" t="s">
        <v>77</v>
      </c>
      <c r="AR10" s="26" t="s">
        <v>416</v>
      </c>
      <c r="AS10" s="10" t="s">
        <v>344</v>
      </c>
    </row>
    <row r="11" spans="1:81" s="10" customFormat="1" ht="15.75" thickTop="1" x14ac:dyDescent="0.25">
      <c r="A11" s="70" t="s">
        <v>11</v>
      </c>
      <c r="B11" s="71">
        <f>SUBTOTAL(103,Tableau_Lancer_la_requête_à_partir_de_Excel_Files10256789[Nom_MO])</f>
        <v>4</v>
      </c>
      <c r="C11" s="71"/>
      <c r="D11" s="72">
        <f>SUBTOTAL(109,Tableau_Lancer_la_requête_à_partir_de_Excel_Files10256789[''Coût total éligible''])</f>
        <v>259821.54</v>
      </c>
      <c r="E11" s="72">
        <f>SUBTOTAL(109,Tableau_Lancer_la_requête_à_partir_de_Excel_Files10256789[Aide 
publique])</f>
        <v>182994.55</v>
      </c>
      <c r="F11" s="73"/>
      <c r="G11" s="72">
        <f>SUBTOTAL(109,Tableau_Lancer_la_requête_à_partir_de_Excel_Files10256789[Aide Massif])</f>
        <v>172994.55</v>
      </c>
      <c r="H11" s="73"/>
      <c r="I11" s="72">
        <f>SUBTOTAL(109,Tableau_Lancer_la_requête_à_partir_de_Excel_Files10256789[''FEDER''])</f>
        <v>102283.4</v>
      </c>
      <c r="J11" s="72">
        <f>SUBTOTAL(109,Tableau_Lancer_la_requête_à_partir_de_Excel_Files10256789[Total Etat])</f>
        <v>56579.9</v>
      </c>
      <c r="K11" s="70"/>
      <c r="L11" s="72">
        <f>SUBTOTAL(109,Tableau_Lancer_la_requête_à_partir_de_Excel_Files10256789[''Agriculture''])</f>
        <v>0</v>
      </c>
      <c r="M11" s="72">
        <f>SUBTOTAL(109,Tableau_Lancer_la_requête_à_partir_de_Excel_Files10256789[Total Régions])</f>
        <v>11835</v>
      </c>
      <c r="N11" s="72">
        <f>SUBTOTAL(109,Tableau_Lancer_la_requête_à_partir_de_Excel_Files10256789[''ALPC''])</f>
        <v>0</v>
      </c>
      <c r="O11" s="72">
        <f>SUBTOTAL(109,Tableau_Lancer_la_requête_à_partir_de_Excel_Files10256789[''AURA''])</f>
        <v>0</v>
      </c>
      <c r="P11" s="72">
        <f>SUBTOTAL(109,Tableau_Lancer_la_requête_à_partir_de_Excel_Files10256789[''BFC''])</f>
        <v>0</v>
      </c>
      <c r="Q11" s="72">
        <f>SUBTOTAL(109,Tableau_Lancer_la_requête_à_partir_de_Excel_Files10256789[''LRMP''])</f>
        <v>11835</v>
      </c>
      <c r="R11" s="72">
        <f>SUBTOTAL(109,Tableau_Lancer_la_requête_à_partir_de_Excel_Files10256789[Total Dpts])</f>
        <v>2296.25</v>
      </c>
      <c r="S11" s="72">
        <f>SUBTOTAL(109,Tableau_Lancer_la_requête_à_partir_de_Excel_Files10256789[''03''])</f>
        <v>0</v>
      </c>
      <c r="T11" s="72">
        <f>SUBTOTAL(109,Tableau_Lancer_la_requête_à_partir_de_Excel_Files10256789[''07''])</f>
        <v>0</v>
      </c>
      <c r="U11" s="72">
        <f>SUBTOTAL(109,Tableau_Lancer_la_requête_à_partir_de_Excel_Files10256789[''11''])</f>
        <v>0</v>
      </c>
      <c r="V11" s="72">
        <f>SUBTOTAL(109,Tableau_Lancer_la_requête_à_partir_de_Excel_Files10256789[''12''])</f>
        <v>0</v>
      </c>
      <c r="W11" s="72">
        <f>SUBTOTAL(109,Tableau_Lancer_la_requête_à_partir_de_Excel_Files10256789[''15''])</f>
        <v>0</v>
      </c>
      <c r="X11" s="72">
        <f>SUBTOTAL(109,Tableau_Lancer_la_requête_à_partir_de_Excel_Files10256789[''19''])</f>
        <v>0</v>
      </c>
      <c r="Y11" s="72">
        <f>SUBTOTAL(109,Tableau_Lancer_la_requête_à_partir_de_Excel_Files10256789[''21''])</f>
        <v>0</v>
      </c>
      <c r="Z11" s="72">
        <f>SUBTOTAL(109,Tableau_Lancer_la_requête_à_partir_de_Excel_Files10256789[''23''])</f>
        <v>0</v>
      </c>
      <c r="AA11" s="72">
        <f>SUBTOTAL(109,Tableau_Lancer_la_requête_à_partir_de_Excel_Files10256789[''30''])</f>
        <v>0</v>
      </c>
      <c r="AB11" s="72">
        <f>SUBTOTAL(109,Tableau_Lancer_la_requête_à_partir_de_Excel_Files10256789[''34''])</f>
        <v>0</v>
      </c>
      <c r="AC11" s="72">
        <f>SUBTOTAL(109,Tableau_Lancer_la_requête_à_partir_de_Excel_Files10256789[''42''])</f>
        <v>0</v>
      </c>
      <c r="AD11" s="72">
        <f>SUBTOTAL(109,Tableau_Lancer_la_requête_à_partir_de_Excel_Files10256789[''43''])</f>
        <v>0</v>
      </c>
      <c r="AE11" s="72">
        <f>SUBTOTAL(109,Tableau_Lancer_la_requête_à_partir_de_Excel_Files10256789[''46''])</f>
        <v>0</v>
      </c>
      <c r="AF11" s="72">
        <f>SUBTOTAL(109,Tableau_Lancer_la_requête_à_partir_de_Excel_Files10256789[''48''])</f>
        <v>2296.25</v>
      </c>
      <c r="AG11" s="72">
        <f>SUBTOTAL(109,Tableau_Lancer_la_requête_à_partir_de_Excel_Files10256789[''58''])</f>
        <v>0</v>
      </c>
      <c r="AH11" s="72">
        <f>SUBTOTAL(109,Tableau_Lancer_la_requête_à_partir_de_Excel_Files10256789[''63''])</f>
        <v>0</v>
      </c>
      <c r="AI11" s="72">
        <f>SUBTOTAL(109,Tableau_Lancer_la_requête_à_partir_de_Excel_Files10256789[''69''])</f>
        <v>0</v>
      </c>
      <c r="AJ11" s="72">
        <f>SUBTOTAL(109,Tableau_Lancer_la_requête_à_partir_de_Excel_Files10256789[''71''])</f>
        <v>0</v>
      </c>
      <c r="AK11" s="72">
        <f>SUBTOTAL(109,Tableau_Lancer_la_requête_à_partir_de_Excel_Files10256789[''81''])</f>
        <v>0</v>
      </c>
      <c r="AL11" s="72">
        <f>SUBTOTAL(109,Tableau_Lancer_la_requête_à_partir_de_Excel_Files10256789[''82''])</f>
        <v>0</v>
      </c>
      <c r="AM11" s="72">
        <f>SUBTOTAL(109,Tableau_Lancer_la_requête_à_partir_de_Excel_Files10256789[''87''])</f>
        <v>0</v>
      </c>
      <c r="AN11" s="72">
        <f>SUBTOTAL(109,Tableau_Lancer_la_requête_à_partir_de_Excel_Files10256789[''89''])</f>
        <v>0</v>
      </c>
      <c r="AO11" s="72">
        <f>SUBTOTAL(109,Tableau_Lancer_la_requête_à_partir_de_Excel_Files10256789[''Autre Public''])</f>
        <v>10000</v>
      </c>
      <c r="AP11" s="74"/>
      <c r="AR11" s="29"/>
    </row>
    <row r="12" spans="1:81" x14ac:dyDescent="0.25">
      <c r="BZ12" s="4"/>
      <c r="CC12" s="3"/>
    </row>
    <row r="13" spans="1:81" x14ac:dyDescent="0.25">
      <c r="BZ13" s="4"/>
      <c r="CC13" s="3"/>
    </row>
    <row r="14" spans="1:81" x14ac:dyDescent="0.25">
      <c r="BZ14" s="4"/>
      <c r="CC14" s="3"/>
    </row>
    <row r="15" spans="1:81" x14ac:dyDescent="0.25">
      <c r="BZ15" s="4"/>
      <c r="CC15" s="3"/>
    </row>
    <row r="16" spans="1:81" x14ac:dyDescent="0.25">
      <c r="BZ16" s="4"/>
      <c r="CC16" s="3"/>
    </row>
    <row r="17" spans="1:81" s="7" customFormat="1" x14ac:dyDescent="0.25">
      <c r="A17" s="3"/>
      <c r="B17" s="4"/>
      <c r="C17" s="5"/>
      <c r="D17" s="3"/>
      <c r="E17" s="3"/>
      <c r="F17" s="6"/>
      <c r="G17" s="3"/>
      <c r="H17" s="6"/>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row>
    <row r="18" spans="1:81" s="10" customFormat="1" x14ac:dyDescent="0.25">
      <c r="A18" s="3"/>
      <c r="B18" s="4"/>
      <c r="C18" s="5"/>
      <c r="D18" s="3"/>
      <c r="E18" s="3"/>
      <c r="F18" s="6"/>
      <c r="G18" s="3"/>
      <c r="H18" s="6"/>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row>
    <row r="19" spans="1:81" x14ac:dyDescent="0.25">
      <c r="CB19" s="4"/>
      <c r="CC19" s="3"/>
    </row>
    <row r="21" spans="1:81" hidden="1" x14ac:dyDescent="0.25">
      <c r="E21" s="3" t="s">
        <v>352</v>
      </c>
      <c r="F21" s="6" t="s">
        <v>351</v>
      </c>
    </row>
    <row r="22" spans="1:81" hidden="1" x14ac:dyDescent="0.25">
      <c r="D22" t="s">
        <v>112</v>
      </c>
      <c r="E22" s="3">
        <f>SUMIF(Tableau_Lancer_la_requête_à_partir_de_Excel_Files10256789[Avis Prog],"1-Favorable",Tableau_Lancer_la_requête_à_partir_de_Excel_Files10256789[''FEDER''])</f>
        <v>102283.4</v>
      </c>
      <c r="F22" s="3" t="e">
        <f>SUMIF(#REF!,"1-Favorable",Tableau_Lancer_la_requête_à_partir_de_Excel_Files10256789[''FEDER''])</f>
        <v>#REF!</v>
      </c>
    </row>
    <row r="23" spans="1:81" hidden="1" x14ac:dyDescent="0.25">
      <c r="D23" t="s">
        <v>56</v>
      </c>
      <c r="E23" s="3">
        <f>SUMIF(Tableau_Lancer_la_requête_à_partir_de_Excel_Files10256789[Avis Prog],"1-Favorable",Tableau_Lancer_la_requête_à_partir_de_Excel_Files10256789[Total Etat])</f>
        <v>56579.9</v>
      </c>
      <c r="F23" s="3" t="e">
        <f>SUMIF(#REF!,"1-Favorable",Tableau_Lancer_la_requête_à_partir_de_Excel_Files10256789[Total Etat])</f>
        <v>#REF!</v>
      </c>
    </row>
    <row r="24" spans="1:81" hidden="1" x14ac:dyDescent="0.25">
      <c r="D24" t="s">
        <v>57</v>
      </c>
      <c r="E24" s="3">
        <f>SUMIF(Tableau_Lancer_la_requête_à_partir_de_Excel_Files10256789[Avis Prog],"1-Favorable",Tableau_Lancer_la_requête_à_partir_de_Excel_Files10256789[Total Régions])</f>
        <v>11835</v>
      </c>
      <c r="F24" s="3" t="e">
        <f>SUMIF(#REF!,"1-Favorable",Tableau_Lancer_la_requête_à_partir_de_Excel_Files10256789[Total Régions])</f>
        <v>#REF!</v>
      </c>
    </row>
    <row r="25" spans="1:81" hidden="1" x14ac:dyDescent="0.25">
      <c r="D25" s="3" t="s">
        <v>113</v>
      </c>
      <c r="E25" s="3">
        <f>SUMIF(Tableau_Lancer_la_requête_à_partir_de_Excel_Files10256789[Avis Prog],"1-Favorable",Tableau_Lancer_la_requête_à_partir_de_Excel_Files10256789[''ALPC''])</f>
        <v>0</v>
      </c>
      <c r="F25" s="3" t="e">
        <f>SUMIF(#REF!,"1-Favorable",Tableau_Lancer_la_requête_à_partir_de_Excel_Files10256789[''ALPC''])</f>
        <v>#REF!</v>
      </c>
    </row>
    <row r="26" spans="1:81" hidden="1" x14ac:dyDescent="0.25">
      <c r="D26" s="3" t="s">
        <v>114</v>
      </c>
      <c r="E26" s="3">
        <f>SUMIF(Tableau_Lancer_la_requête_à_partir_de_Excel_Files10256789[Avis Prog],"1-Favorable",Tableau_Lancer_la_requête_à_partir_de_Excel_Files10256789[''AURA''])</f>
        <v>0</v>
      </c>
      <c r="F26" s="3" t="e">
        <f>SUMIF(#REF!,"1-Favorable",Tableau_Lancer_la_requête_à_partir_de_Excel_Files10256789[''AURA''])</f>
        <v>#REF!</v>
      </c>
    </row>
    <row r="27" spans="1:81" hidden="1" x14ac:dyDescent="0.25">
      <c r="D27" s="3" t="s">
        <v>115</v>
      </c>
      <c r="E27" s="3">
        <f>SUMIF(Tableau_Lancer_la_requête_à_partir_de_Excel_Files10256789[Avis Prog],"1-Favorable",Tableau_Lancer_la_requête_à_partir_de_Excel_Files10256789[''BFC''])</f>
        <v>0</v>
      </c>
      <c r="F27" s="3" t="e">
        <f>SUMIF(#REF!,"1-Favorable",Tableau_Lancer_la_requête_à_partir_de_Excel_Files10256789[''BFC''])</f>
        <v>#REF!</v>
      </c>
    </row>
    <row r="28" spans="1:81" hidden="1" x14ac:dyDescent="0.25">
      <c r="D28" s="3" t="s">
        <v>116</v>
      </c>
      <c r="E28" s="3">
        <f>SUMIF(Tableau_Lancer_la_requête_à_partir_de_Excel_Files10256789[Avis Prog],"1-Favorable",Tableau_Lancer_la_requête_à_partir_de_Excel_Files10256789[''LRMP''])</f>
        <v>11835</v>
      </c>
      <c r="F28" s="3" t="e">
        <f>SUMIF(#REF!,"1-Favorable",Tableau_Lancer_la_requête_à_partir_de_Excel_Files10256789[''LRMP''])</f>
        <v>#REF!</v>
      </c>
    </row>
    <row r="29" spans="1:81" hidden="1" x14ac:dyDescent="0.25">
      <c r="D29" t="s">
        <v>58</v>
      </c>
      <c r="E29" s="3">
        <f>SUMIF(Tableau_Lancer_la_requête_à_partir_de_Excel_Files10256789[Avis Prog],"1-Favorable",Tableau_Lancer_la_requête_à_partir_de_Excel_Files10256789[Total Dpts])</f>
        <v>2296.25</v>
      </c>
      <c r="F29" s="3" t="e">
        <f>SUMIF(#REF!,"1-Favorable",Tableau_Lancer_la_requête_à_partir_de_Excel_Files10256789[Total Dpts])</f>
        <v>#REF!</v>
      </c>
    </row>
    <row r="30" spans="1:81" hidden="1" x14ac:dyDescent="0.25">
      <c r="D30" t="s">
        <v>32</v>
      </c>
      <c r="E30" s="3">
        <f>SUMIF(Tableau_Lancer_la_requête_à_partir_de_Excel_Files10256789[Avis Prog],"1-Favorable",Tableau_Lancer_la_requête_à_partir_de_Excel_Files10256789[''03''])</f>
        <v>0</v>
      </c>
      <c r="F30" s="3" t="e">
        <f>SUMIF(#REF!,"1-Favorable",Tableau_Lancer_la_requête_à_partir_de_Excel_Files10256789[''03''])</f>
        <v>#REF!</v>
      </c>
    </row>
    <row r="31" spans="1:81" hidden="1" x14ac:dyDescent="0.25">
      <c r="D31" t="s">
        <v>33</v>
      </c>
      <c r="E31" s="3">
        <f>SUMIF(Tableau_Lancer_la_requête_à_partir_de_Excel_Files10256789[Avis Prog],"1-Favorable",Tableau_Lancer_la_requête_à_partir_de_Excel_Files10256789[''07''])</f>
        <v>0</v>
      </c>
      <c r="F31" s="3" t="e">
        <f>SUMIF(#REF!,"1-Favorable",Tableau_Lancer_la_requête_à_partir_de_Excel_Files10256789[''07''])</f>
        <v>#REF!</v>
      </c>
    </row>
    <row r="32" spans="1:81" hidden="1" x14ac:dyDescent="0.25">
      <c r="D32" t="s">
        <v>34</v>
      </c>
      <c r="E32" s="3">
        <f>SUMIF(Tableau_Lancer_la_requête_à_partir_de_Excel_Files10256789[Avis Prog],"1-Favorable",Tableau_Lancer_la_requête_à_partir_de_Excel_Files10256789[''11''])</f>
        <v>0</v>
      </c>
      <c r="F32" s="3" t="e">
        <f>SUMIF(#REF!,"1-Favorable",Tableau_Lancer_la_requête_à_partir_de_Excel_Files10256789[''11''])</f>
        <v>#REF!</v>
      </c>
    </row>
    <row r="33" spans="4:6" hidden="1" x14ac:dyDescent="0.25">
      <c r="D33" t="s">
        <v>35</v>
      </c>
      <c r="E33" s="3">
        <f>SUMIF(Tableau_Lancer_la_requête_à_partir_de_Excel_Files10256789[Avis Prog],"1-Favorable",Tableau_Lancer_la_requête_à_partir_de_Excel_Files10256789[''12''])</f>
        <v>0</v>
      </c>
      <c r="F33" s="3" t="e">
        <f>SUMIF(#REF!,"1-Favorable",Tableau_Lancer_la_requête_à_partir_de_Excel_Files10256789[''12''])</f>
        <v>#REF!</v>
      </c>
    </row>
    <row r="34" spans="4:6" hidden="1" x14ac:dyDescent="0.25">
      <c r="D34" t="s">
        <v>36</v>
      </c>
      <c r="E34" s="3">
        <f>SUMIF(Tableau_Lancer_la_requête_à_partir_de_Excel_Files10256789[Avis Prog],"1-Favorable",Tableau_Lancer_la_requête_à_partir_de_Excel_Files10256789[''15''])</f>
        <v>0</v>
      </c>
      <c r="F34" s="3" t="e">
        <f>SUMIF(#REF!,"1-Favorable",Tableau_Lancer_la_requête_à_partir_de_Excel_Files10256789[''15''])</f>
        <v>#REF!</v>
      </c>
    </row>
    <row r="35" spans="4:6" hidden="1" x14ac:dyDescent="0.25">
      <c r="D35" t="s">
        <v>37</v>
      </c>
      <c r="E35" s="3">
        <f>SUMIF(Tableau_Lancer_la_requête_à_partir_de_Excel_Files10256789[Avis Prog],"1-Favorable",Tableau_Lancer_la_requête_à_partir_de_Excel_Files10256789[''19''])</f>
        <v>0</v>
      </c>
      <c r="F35" s="3" t="e">
        <f>SUMIF(#REF!,"1-Favorable",Tableau_Lancer_la_requête_à_partir_de_Excel_Files10256789[''19''])</f>
        <v>#REF!</v>
      </c>
    </row>
    <row r="36" spans="4:6" hidden="1" x14ac:dyDescent="0.25">
      <c r="D36" t="s">
        <v>38</v>
      </c>
      <c r="E36" s="3">
        <f>SUMIF(Tableau_Lancer_la_requête_à_partir_de_Excel_Files10256789[Avis Prog],"1-Favorable",Tableau_Lancer_la_requête_à_partir_de_Excel_Files10256789[''21''])</f>
        <v>0</v>
      </c>
      <c r="F36" s="3" t="e">
        <f>SUMIF(#REF!,"1-Favorable",Tableau_Lancer_la_requête_à_partir_de_Excel_Files10256789[''21''])</f>
        <v>#REF!</v>
      </c>
    </row>
    <row r="37" spans="4:6" hidden="1" x14ac:dyDescent="0.25">
      <c r="D37" t="s">
        <v>39</v>
      </c>
      <c r="E37" s="3">
        <f>SUMIF(Tableau_Lancer_la_requête_à_partir_de_Excel_Files10256789[Avis Prog],"1-Favorable",Tableau_Lancer_la_requête_à_partir_de_Excel_Files10256789[''23''])</f>
        <v>0</v>
      </c>
      <c r="F37" s="3" t="e">
        <f>SUMIF(#REF!,"1-Favorable",Tableau_Lancer_la_requête_à_partir_de_Excel_Files10256789[''23''])</f>
        <v>#REF!</v>
      </c>
    </row>
    <row r="38" spans="4:6" hidden="1" x14ac:dyDescent="0.25">
      <c r="D38" t="s">
        <v>40</v>
      </c>
      <c r="E38" s="3">
        <f>SUMIF(Tableau_Lancer_la_requête_à_partir_de_Excel_Files10256789[Avis Prog],"1-Favorable",Tableau_Lancer_la_requête_à_partir_de_Excel_Files10256789[''30''])</f>
        <v>0</v>
      </c>
      <c r="F38" s="3" t="e">
        <f>SUMIF(#REF!,"1-Favorable",Tableau_Lancer_la_requête_à_partir_de_Excel_Files10256789[''30''])</f>
        <v>#REF!</v>
      </c>
    </row>
    <row r="39" spans="4:6" hidden="1" x14ac:dyDescent="0.25">
      <c r="D39" t="s">
        <v>41</v>
      </c>
      <c r="E39" s="3">
        <f>SUMIF(Tableau_Lancer_la_requête_à_partir_de_Excel_Files10256789[Avis Prog],"1-Favorable",Tableau_Lancer_la_requête_à_partir_de_Excel_Files10256789[''34''])</f>
        <v>0</v>
      </c>
      <c r="F39" s="3" t="e">
        <f>SUMIF(#REF!,"1-Favorable",Tableau_Lancer_la_requête_à_partir_de_Excel_Files10256789[''34''])</f>
        <v>#REF!</v>
      </c>
    </row>
    <row r="40" spans="4:6" hidden="1" x14ac:dyDescent="0.25">
      <c r="D40" t="s">
        <v>42</v>
      </c>
      <c r="E40" s="3">
        <f>SUMIF(Tableau_Lancer_la_requête_à_partir_de_Excel_Files10256789[Avis Prog],"1-Favorable",Tableau_Lancer_la_requête_à_partir_de_Excel_Files10256789[''42''])</f>
        <v>0</v>
      </c>
      <c r="F40" s="3" t="e">
        <f>SUMIF(#REF!,"1-Favorable",Tableau_Lancer_la_requête_à_partir_de_Excel_Files10256789[''42''])</f>
        <v>#REF!</v>
      </c>
    </row>
    <row r="41" spans="4:6" hidden="1" x14ac:dyDescent="0.25">
      <c r="D41" t="s">
        <v>43</v>
      </c>
      <c r="E41" s="3">
        <f>SUMIF(Tableau_Lancer_la_requête_à_partir_de_Excel_Files10256789[Avis Prog],"1-Favorable",Tableau_Lancer_la_requête_à_partir_de_Excel_Files10256789[''43''])</f>
        <v>0</v>
      </c>
      <c r="F41" s="3" t="e">
        <f>SUMIF(#REF!,"1-Favorable",Tableau_Lancer_la_requête_à_partir_de_Excel_Files10256789[''43''])</f>
        <v>#REF!</v>
      </c>
    </row>
    <row r="42" spans="4:6" hidden="1" x14ac:dyDescent="0.25">
      <c r="D42" t="s">
        <v>44</v>
      </c>
      <c r="E42" s="3">
        <f>SUMIF(Tableau_Lancer_la_requête_à_partir_de_Excel_Files10256789[Avis Prog],"1-Favorable",Tableau_Lancer_la_requête_à_partir_de_Excel_Files10256789[''46''])</f>
        <v>0</v>
      </c>
      <c r="F42" s="3" t="e">
        <f>SUMIF(#REF!,"1-Favorable",Tableau_Lancer_la_requête_à_partir_de_Excel_Files10256789[''46''])</f>
        <v>#REF!</v>
      </c>
    </row>
    <row r="43" spans="4:6" hidden="1" x14ac:dyDescent="0.25">
      <c r="D43" t="s">
        <v>45</v>
      </c>
      <c r="E43" s="3">
        <f>SUMIF(Tableau_Lancer_la_requête_à_partir_de_Excel_Files10256789[Avis Prog],"1-Favorable",Tableau_Lancer_la_requête_à_partir_de_Excel_Files10256789[''48''])</f>
        <v>2296.25</v>
      </c>
      <c r="F43" s="3" t="e">
        <f>SUMIF(#REF!,"1-Favorable",Tableau_Lancer_la_requête_à_partir_de_Excel_Files10256789[''48''])</f>
        <v>#REF!</v>
      </c>
    </row>
    <row r="44" spans="4:6" hidden="1" x14ac:dyDescent="0.25">
      <c r="D44" t="s">
        <v>46</v>
      </c>
      <c r="E44" s="3">
        <f>SUMIF(Tableau_Lancer_la_requête_à_partir_de_Excel_Files10256789[Avis Prog],"1-Favorable",Tableau_Lancer_la_requête_à_partir_de_Excel_Files10256789[''58''])</f>
        <v>0</v>
      </c>
      <c r="F44" s="3" t="e">
        <f>SUMIF(#REF!,"1-Favorable",Tableau_Lancer_la_requête_à_partir_de_Excel_Files10256789[''58''])</f>
        <v>#REF!</v>
      </c>
    </row>
    <row r="45" spans="4:6" hidden="1" x14ac:dyDescent="0.25">
      <c r="D45" t="s">
        <v>47</v>
      </c>
      <c r="E45" s="3">
        <f>SUMIF(Tableau_Lancer_la_requête_à_partir_de_Excel_Files10256789[Avis Prog],"1-Favorable",Tableau_Lancer_la_requête_à_partir_de_Excel_Files10256789[''63''])</f>
        <v>0</v>
      </c>
      <c r="F45" s="3" t="e">
        <f>SUMIF(#REF!,"1-Favorable",Tableau_Lancer_la_requête_à_partir_de_Excel_Files10256789[''63''])</f>
        <v>#REF!</v>
      </c>
    </row>
    <row r="46" spans="4:6" hidden="1" x14ac:dyDescent="0.25">
      <c r="D46" t="s">
        <v>48</v>
      </c>
      <c r="E46" s="3">
        <f>SUMIF(Tableau_Lancer_la_requête_à_partir_de_Excel_Files10256789[Avis Prog],"1-Favorable",Tableau_Lancer_la_requête_à_partir_de_Excel_Files10256789[''69''])</f>
        <v>0</v>
      </c>
      <c r="F46" s="3" t="e">
        <f>SUMIF(#REF!,"1-Favorable",Tableau_Lancer_la_requête_à_partir_de_Excel_Files10256789[''69''])</f>
        <v>#REF!</v>
      </c>
    </row>
    <row r="47" spans="4:6" hidden="1" x14ac:dyDescent="0.25">
      <c r="D47" t="s">
        <v>49</v>
      </c>
      <c r="E47" s="3">
        <f>SUMIF(Tableau_Lancer_la_requête_à_partir_de_Excel_Files10256789[Avis Prog],"1-Favorable",Tableau_Lancer_la_requête_à_partir_de_Excel_Files10256789[''71''])</f>
        <v>0</v>
      </c>
      <c r="F47" s="3" t="e">
        <f>SUMIF(#REF!,"1-Favorable",Tableau_Lancer_la_requête_à_partir_de_Excel_Files10256789[''71''])</f>
        <v>#REF!</v>
      </c>
    </row>
    <row r="48" spans="4:6" hidden="1" x14ac:dyDescent="0.25">
      <c r="D48" t="s">
        <v>50</v>
      </c>
      <c r="E48" s="3">
        <f>SUMIF(Tableau_Lancer_la_requête_à_partir_de_Excel_Files10256789[Avis Prog],"1-Favorable",Tableau_Lancer_la_requête_à_partir_de_Excel_Files10256789[''81''])</f>
        <v>0</v>
      </c>
      <c r="F48" s="3" t="e">
        <f>SUMIF(#REF!,"1-Favorable",Tableau_Lancer_la_requête_à_partir_de_Excel_Files10256789[''81''])</f>
        <v>#REF!</v>
      </c>
    </row>
    <row r="49" spans="4:6" hidden="1" x14ac:dyDescent="0.25">
      <c r="D49" t="s">
        <v>51</v>
      </c>
      <c r="E49" s="3">
        <f>SUMIF(Tableau_Lancer_la_requête_à_partir_de_Excel_Files10256789[Avis Prog],"1-Favorable",Tableau_Lancer_la_requête_à_partir_de_Excel_Files10256789[''82''])</f>
        <v>0</v>
      </c>
      <c r="F49" s="3" t="e">
        <f>SUMIF(#REF!,"1-Favorable",Tableau_Lancer_la_requête_à_partir_de_Excel_Files10256789[''82''])</f>
        <v>#REF!</v>
      </c>
    </row>
    <row r="50" spans="4:6" hidden="1" x14ac:dyDescent="0.25">
      <c r="D50" t="s">
        <v>52</v>
      </c>
      <c r="E50" s="3">
        <f>SUMIF(Tableau_Lancer_la_requête_à_partir_de_Excel_Files10256789[Avis Prog],"1-Favorable",Tableau_Lancer_la_requête_à_partir_de_Excel_Files10256789[''87''])</f>
        <v>0</v>
      </c>
      <c r="F50" s="3" t="e">
        <f>SUMIF(#REF!,"1-Favorable",Tableau_Lancer_la_requête_à_partir_de_Excel_Files10256789[''87''])</f>
        <v>#REF!</v>
      </c>
    </row>
    <row r="51" spans="4:6" hidden="1" x14ac:dyDescent="0.25">
      <c r="D51" t="s">
        <v>53</v>
      </c>
      <c r="E51" s="3">
        <f>SUMIF(Tableau_Lancer_la_requête_à_partir_de_Excel_Files10256789[Avis Prog],"1-Favorable",Tableau_Lancer_la_requête_à_partir_de_Excel_Files10256789[''89''])</f>
        <v>0</v>
      </c>
      <c r="F51" s="3" t="e">
        <f>SUMIF(#REF!,"1-Favorable",Tableau_Lancer_la_requête_à_partir_de_Excel_Files10256789[''89''])</f>
        <v>#REF!</v>
      </c>
    </row>
  </sheetData>
  <conditionalFormatting sqref="K7:K10 AP7:AP10">
    <cfRule type="cellIs" dxfId="365" priority="5" operator="equal">
      <formula>"6-Retiré/Abandon"</formula>
    </cfRule>
    <cfRule type="cellIs" dxfId="364" priority="6" operator="equal">
      <formula>"5-Défavorable"</formula>
    </cfRule>
    <cfRule type="cellIs" dxfId="363" priority="7" operator="equal">
      <formula>"4-Ajournement"</formula>
    </cfRule>
    <cfRule type="cellIs" dxfId="362" priority="8" operator="equal">
      <formula>"1-Favorable"</formula>
    </cfRule>
  </conditionalFormatting>
  <conditionalFormatting sqref="AR7:AR10">
    <cfRule type="cellIs" dxfId="361" priority="1" operator="equal">
      <formula>"6-Retiré/Abandon"</formula>
    </cfRule>
    <cfRule type="cellIs" dxfId="360" priority="2" operator="equal">
      <formula>"5-Défavorable"</formula>
    </cfRule>
    <cfRule type="cellIs" dxfId="359" priority="3" operator="equal">
      <formula>"4-Ajournement"</formula>
    </cfRule>
    <cfRule type="cellIs" dxfId="358" priority="4" operator="equal">
      <formula>"1-Favorable"</formula>
    </cfRule>
  </conditionalFormatting>
  <dataValidations count="1">
    <dataValidation type="list" allowBlank="1" showInputMessage="1" showErrorMessage="1" sqref="AP7:AP10">
      <formula1>"1-Favorable,4-Ajournement,5-Défavorable,6-Retiré/Abandon"</formula1>
    </dataValidation>
  </dataValidations>
  <printOptions horizontalCentered="1" verticalCentered="1"/>
  <pageMargins left="0.25" right="0.25" top="0.75" bottom="0.75" header="0.3" footer="0.3"/>
  <pageSetup paperSize="8" scale="63" fitToHeight="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0"/>
  <sheetViews>
    <sheetView view="pageBreakPreview" zoomScale="80" zoomScaleNormal="60" zoomScaleSheetLayoutView="80" workbookViewId="0"/>
  </sheetViews>
  <sheetFormatPr baseColWidth="10" defaultRowHeight="15" outlineLevelCol="1" x14ac:dyDescent="0.25"/>
  <cols>
    <col min="1" max="1" width="13.85546875" style="3" customWidth="1"/>
    <col min="2" max="2" width="35" style="4" customWidth="1"/>
    <col min="3" max="3" width="48" style="5" customWidth="1"/>
    <col min="4" max="4" width="15.85546875" style="3" customWidth="1"/>
    <col min="5" max="5" width="16.28515625" style="3" customWidth="1"/>
    <col min="6" max="6" width="12" style="6" customWidth="1"/>
    <col min="7" max="7" width="16" style="3" bestFit="1" customWidth="1"/>
    <col min="8" max="8" width="11.28515625" style="6" customWidth="1"/>
    <col min="9" max="9" width="14.85546875" style="3" customWidth="1"/>
    <col min="10" max="10" width="15" style="3" bestFit="1" customWidth="1"/>
    <col min="11" max="11" width="11.5703125" style="3" hidden="1" customWidth="1" outlineLevel="1"/>
    <col min="12" max="12" width="16.5703125" style="3" hidden="1" customWidth="1" outlineLevel="1"/>
    <col min="13" max="13" width="13.7109375" style="3" bestFit="1" customWidth="1" collapsed="1"/>
    <col min="14" max="14" width="11.140625" style="3" hidden="1" customWidth="1" outlineLevel="1"/>
    <col min="15" max="15" width="11.85546875" style="3" hidden="1" customWidth="1" outlineLevel="1"/>
    <col min="16" max="16" width="10" style="3" hidden="1" customWidth="1" outlineLevel="1"/>
    <col min="17" max="17" width="11.7109375" style="3" hidden="1" customWidth="1" outlineLevel="1"/>
    <col min="18" max="18" width="16.140625" style="3" bestFit="1" customWidth="1" collapsed="1"/>
    <col min="19" max="40" width="8.7109375" style="3" hidden="1" customWidth="1" outlineLevel="1"/>
    <col min="41" max="41" width="11.5703125" style="3" bestFit="1" customWidth="1" collapsed="1"/>
    <col min="42" max="42" width="21.85546875" style="3" bestFit="1" customWidth="1"/>
    <col min="43" max="43" width="15.42578125" style="3" hidden="1" customWidth="1"/>
    <col min="44" max="44" width="55" style="3" customWidth="1"/>
    <col min="45" max="45" width="15.42578125" style="3" bestFit="1" customWidth="1"/>
    <col min="46" max="46" width="17.28515625" style="3" bestFit="1" customWidth="1"/>
    <col min="47" max="47" width="9.42578125" style="3" customWidth="1"/>
    <col min="48" max="62" width="9.7109375" style="3" customWidth="1"/>
    <col min="63" max="63" width="15.140625" style="3" customWidth="1"/>
    <col min="64" max="64" width="14.5703125" style="3" customWidth="1"/>
    <col min="65" max="65" width="18.5703125" style="3" customWidth="1"/>
    <col min="66" max="66" width="12.5703125" style="3" customWidth="1"/>
    <col min="67" max="67" width="20.42578125" style="3" customWidth="1"/>
    <col min="68" max="68" width="12.7109375" style="3" customWidth="1"/>
    <col min="69" max="69" width="9.28515625" style="3" customWidth="1"/>
    <col min="70" max="70" width="14.28515625" style="3" customWidth="1"/>
    <col min="71" max="71" width="11.42578125" style="3" customWidth="1"/>
    <col min="72" max="72" width="9" style="3" customWidth="1"/>
    <col min="73" max="73" width="9.5703125" style="3" customWidth="1"/>
    <col min="74" max="74" width="11" style="3" customWidth="1"/>
    <col min="75" max="75" width="12.7109375" style="3" customWidth="1"/>
    <col min="76" max="78" width="9.7109375" style="3" customWidth="1"/>
    <col min="79" max="79" width="15.140625" style="3" customWidth="1"/>
    <col min="80" max="80" width="17.28515625" style="3" customWidth="1"/>
    <col min="81" max="81" width="49.28515625" style="4" customWidth="1"/>
    <col min="82" max="82" width="17.28515625" style="3" customWidth="1"/>
    <col min="83" max="16384" width="11.42578125" style="3"/>
  </cols>
  <sheetData>
    <row r="1" spans="1:81" ht="18.75" x14ac:dyDescent="0.3">
      <c r="B1" s="21" t="s">
        <v>250</v>
      </c>
      <c r="C1" s="22">
        <v>42523</v>
      </c>
    </row>
    <row r="5" spans="1:81" x14ac:dyDescent="0.25">
      <c r="A5" s="1" t="s">
        <v>219</v>
      </c>
      <c r="B5" s="2"/>
    </row>
    <row r="6" spans="1:81" s="7" customFormat="1" ht="30" x14ac:dyDescent="0.25">
      <c r="A6" s="7" t="s">
        <v>10</v>
      </c>
      <c r="B6" s="7" t="s">
        <v>1</v>
      </c>
      <c r="C6" s="7" t="s">
        <v>2</v>
      </c>
      <c r="D6" s="7" t="s">
        <v>72</v>
      </c>
      <c r="E6" s="7" t="s">
        <v>108</v>
      </c>
      <c r="F6" s="7" t="s">
        <v>73</v>
      </c>
      <c r="G6" s="7" t="s">
        <v>70</v>
      </c>
      <c r="H6" s="7" t="s">
        <v>109</v>
      </c>
      <c r="I6" s="7" t="s">
        <v>54</v>
      </c>
      <c r="J6" s="7" t="s">
        <v>129</v>
      </c>
      <c r="K6" s="7" t="s">
        <v>159</v>
      </c>
      <c r="L6" s="7" t="s">
        <v>27</v>
      </c>
      <c r="M6" s="7" t="s">
        <v>130</v>
      </c>
      <c r="N6" s="7" t="s">
        <v>30</v>
      </c>
      <c r="O6" s="7" t="s">
        <v>28</v>
      </c>
      <c r="P6" s="7" t="s">
        <v>29</v>
      </c>
      <c r="Q6" s="7" t="s">
        <v>31</v>
      </c>
      <c r="R6" s="7" t="s">
        <v>131</v>
      </c>
      <c r="S6" s="7" t="s">
        <v>32</v>
      </c>
      <c r="T6" s="7" t="s">
        <v>33</v>
      </c>
      <c r="U6" s="7" t="s">
        <v>34</v>
      </c>
      <c r="V6" s="7" t="s">
        <v>35</v>
      </c>
      <c r="W6" s="7" t="s">
        <v>36</v>
      </c>
      <c r="X6" s="7" t="s">
        <v>37</v>
      </c>
      <c r="Y6" s="7" t="s">
        <v>38</v>
      </c>
      <c r="Z6" s="7" t="s">
        <v>39</v>
      </c>
      <c r="AA6" s="7" t="s">
        <v>40</v>
      </c>
      <c r="AB6" s="7" t="s">
        <v>41</v>
      </c>
      <c r="AC6" s="7" t="s">
        <v>42</v>
      </c>
      <c r="AD6" s="7" t="s">
        <v>43</v>
      </c>
      <c r="AE6" s="7" t="s">
        <v>44</v>
      </c>
      <c r="AF6" s="7" t="s">
        <v>45</v>
      </c>
      <c r="AG6" s="7" t="s">
        <v>46</v>
      </c>
      <c r="AH6" s="7" t="s">
        <v>47</v>
      </c>
      <c r="AI6" s="7" t="s">
        <v>48</v>
      </c>
      <c r="AJ6" s="7" t="s">
        <v>49</v>
      </c>
      <c r="AK6" s="7" t="s">
        <v>50</v>
      </c>
      <c r="AL6" s="7" t="s">
        <v>51</v>
      </c>
      <c r="AM6" s="7" t="s">
        <v>52</v>
      </c>
      <c r="AN6" s="7" t="s">
        <v>53</v>
      </c>
      <c r="AO6" s="7" t="s">
        <v>55</v>
      </c>
      <c r="AP6" s="17" t="s">
        <v>110</v>
      </c>
      <c r="AR6" s="31" t="s">
        <v>128</v>
      </c>
    </row>
    <row r="7" spans="1:81" s="10" customFormat="1" ht="45" x14ac:dyDescent="0.25">
      <c r="A7" s="13" t="s">
        <v>220</v>
      </c>
      <c r="B7" s="12" t="s">
        <v>221</v>
      </c>
      <c r="C7" s="12" t="s">
        <v>222</v>
      </c>
      <c r="D7" s="15">
        <v>1554080.4</v>
      </c>
      <c r="E7" s="15">
        <f>Tableau_Lancer_la_requête_à_partir_de_Excel_Files1025678910[[#This Row],[Aide Massif]]+Tableau_Lancer_la_requête_à_partir_de_Excel_Files1025678910[[#This Row],[''Autre Public'']]</f>
        <v>777040</v>
      </c>
      <c r="F7" s="16">
        <f>Tableau_Lancer_la_requête_à_partir_de_Excel_Files1025678910[[#This Row],[Aide 
publique]]/Tableau_Lancer_la_requête_à_partir_de_Excel_Files1025678910[[#This Row],[''Coût total éligible'']]</f>
        <v>0.49999987130652962</v>
      </c>
      <c r="G7" s="15">
        <f>Tableau_Lancer_la_requête_à_partir_de_Excel_Files1025678910[[#This Row],[''FEDER'']]+Tableau_Lancer_la_requête_à_partir_de_Excel_Files1025678910[[#This Row],[Total Etat]]+Tableau_Lancer_la_requête_à_partir_de_Excel_Files1025678910[[#This Row],[Total Régions]]+Tableau_Lancer_la_requête_à_partir_de_Excel_Files1025678910[[#This Row],[Total Dpts]]</f>
        <v>777040</v>
      </c>
      <c r="H7" s="16">
        <f>Tableau_Lancer_la_requête_à_partir_de_Excel_Files1025678910[[#This Row],[Aide Massif]]/Tableau_Lancer_la_requête_à_partir_de_Excel_Files1025678910[[#This Row],[''Coût total éligible'']]</f>
        <v>0.49999987130652962</v>
      </c>
      <c r="I7" s="15">
        <v>777040</v>
      </c>
      <c r="J7" s="15">
        <f>Tableau_Lancer_la_requête_à_partir_de_Excel_Files1025678910[[#This Row],[''FNADT '']]+Tableau_Lancer_la_requête_à_partir_de_Excel_Files1025678910[[#This Row],[''Agriculture'']]</f>
        <v>0</v>
      </c>
      <c r="K7" s="11"/>
      <c r="L7" s="15"/>
      <c r="M7" s="15">
        <f>Tableau_Lancer_la_requête_à_partir_de_Excel_Files1025678910[[#This Row],[''ALPC'']]+Tableau_Lancer_la_requête_à_partir_de_Excel_Files1025678910[[#This Row],[''AURA'']]+Tableau_Lancer_la_requête_à_partir_de_Excel_Files1025678910[[#This Row],[''BFC'']]+Tableau_Lancer_la_requête_à_partir_de_Excel_Files1025678910[[#This Row],[''LRMP'']]</f>
        <v>0</v>
      </c>
      <c r="N7" s="15"/>
      <c r="O7" s="15"/>
      <c r="P7" s="15"/>
      <c r="Q7" s="15"/>
      <c r="R7" s="15">
        <f>Tableau_Lancer_la_requête_à_partir_de_Excel_Files1025678910[[#This Row],[''03'']]+Tableau_Lancer_la_requête_à_partir_de_Excel_Files1025678910[[#This Row],[''07'']]+Tableau_Lancer_la_requête_à_partir_de_Excel_Files1025678910[[#This Row],[''11'']]+Tableau_Lancer_la_requête_à_partir_de_Excel_Files1025678910[[#This Row],[''12'']]+Tableau_Lancer_la_requête_à_partir_de_Excel_Files1025678910[[#This Row],[''15'']]+Tableau_Lancer_la_requête_à_partir_de_Excel_Files1025678910[[#This Row],[''19'']]+Tableau_Lancer_la_requête_à_partir_de_Excel_Files1025678910[[#This Row],[''21'']]+Tableau_Lancer_la_requête_à_partir_de_Excel_Files1025678910[[#This Row],[''23'']]+Tableau_Lancer_la_requête_à_partir_de_Excel_Files1025678910[[#This Row],[''30'']]+Tableau_Lancer_la_requête_à_partir_de_Excel_Files1025678910[[#This Row],[''34'']]+Tableau_Lancer_la_requête_à_partir_de_Excel_Files1025678910[[#This Row],[''42'']]+Tableau_Lancer_la_requête_à_partir_de_Excel_Files1025678910[[#This Row],[''43'']]+Tableau_Lancer_la_requête_à_partir_de_Excel_Files1025678910[[#This Row],[''46'']]+Tableau_Lancer_la_requête_à_partir_de_Excel_Files1025678910[[#This Row],[''48'']]+Tableau_Lancer_la_requête_à_partir_de_Excel_Files1025678910[[#This Row],[''58'']]+Tableau_Lancer_la_requête_à_partir_de_Excel_Files1025678910[[#This Row],[''63'']]+Tableau_Lancer_la_requête_à_partir_de_Excel_Files1025678910[[#This Row],[''69'']]+Tableau_Lancer_la_requête_à_partir_de_Excel_Files1025678910[[#This Row],[''71'']]+Tableau_Lancer_la_requête_à_partir_de_Excel_Files1025678910[[#This Row],[''81'']]+Tableau_Lancer_la_requête_à_partir_de_Excel_Files1025678910[[#This Row],[''82'']]+Tableau_Lancer_la_requête_à_partir_de_Excel_Files1025678910[[#This Row],[''87'']]+Tableau_Lancer_la_requête_à_partir_de_Excel_Files1025678910[[#This Row],[''89'']]</f>
        <v>0</v>
      </c>
      <c r="S7" s="15"/>
      <c r="T7" s="15"/>
      <c r="U7" s="15"/>
      <c r="V7" s="15"/>
      <c r="W7" s="15"/>
      <c r="X7" s="15"/>
      <c r="Y7" s="15"/>
      <c r="Z7" s="15"/>
      <c r="AA7" s="15"/>
      <c r="AB7" s="15"/>
      <c r="AC7" s="15"/>
      <c r="AD7" s="15"/>
      <c r="AE7" s="15"/>
      <c r="AF7" s="15"/>
      <c r="AG7" s="15"/>
      <c r="AH7" s="15"/>
      <c r="AI7" s="15"/>
      <c r="AJ7" s="15"/>
      <c r="AK7" s="15"/>
      <c r="AL7" s="15"/>
      <c r="AM7" s="15"/>
      <c r="AN7" s="15"/>
      <c r="AO7" s="15">
        <v>0</v>
      </c>
      <c r="AP7" s="11" t="s">
        <v>77</v>
      </c>
      <c r="AR7" s="58"/>
      <c r="AS7" s="10" t="s">
        <v>349</v>
      </c>
    </row>
    <row r="8" spans="1:81" s="10" customFormat="1" ht="30" x14ac:dyDescent="0.25">
      <c r="A8" s="6" t="s">
        <v>226</v>
      </c>
      <c r="B8" s="5" t="s">
        <v>227</v>
      </c>
      <c r="C8" s="5" t="s">
        <v>228</v>
      </c>
      <c r="D8" s="8">
        <v>365000</v>
      </c>
      <c r="E8" s="8">
        <f>Tableau_Lancer_la_requête_à_partir_de_Excel_Files1025678910[[#This Row],[Aide Massif]]+Tableau_Lancer_la_requête_à_partir_de_Excel_Files1025678910[[#This Row],[''Autre Public'']]</f>
        <v>182000</v>
      </c>
      <c r="F8" s="9">
        <f>Tableau_Lancer_la_requête_à_partir_de_Excel_Files1025678910[[#This Row],[Aide 
publique]]/Tableau_Lancer_la_requête_à_partir_de_Excel_Files1025678910[[#This Row],[''Coût total éligible'']]</f>
        <v>0.49863013698630138</v>
      </c>
      <c r="G8" s="8">
        <f>Tableau_Lancer_la_requête_à_partir_de_Excel_Files1025678910[[#This Row],[''FEDER'']]+Tableau_Lancer_la_requête_à_partir_de_Excel_Files1025678910[[#This Row],[Total Etat]]+Tableau_Lancer_la_requête_à_partir_de_Excel_Files1025678910[[#This Row],[Total Régions]]+Tableau_Lancer_la_requête_à_partir_de_Excel_Files1025678910[[#This Row],[Total Dpts]]</f>
        <v>182000</v>
      </c>
      <c r="H8" s="9">
        <f>Tableau_Lancer_la_requête_à_partir_de_Excel_Files1025678910[[#This Row],[Aide Massif]]/Tableau_Lancer_la_requête_à_partir_de_Excel_Files1025678910[[#This Row],[''Coût total éligible'']]</f>
        <v>0.49863013698630138</v>
      </c>
      <c r="I8" s="8">
        <v>0</v>
      </c>
      <c r="J8" s="8">
        <f>Tableau_Lancer_la_requête_à_partir_de_Excel_Files1025678910[[#This Row],[''FNADT '']]+Tableau_Lancer_la_requête_à_partir_de_Excel_Files1025678910[[#This Row],[''Agriculture'']]</f>
        <v>182000</v>
      </c>
      <c r="K8" s="10">
        <v>182000</v>
      </c>
      <c r="L8" s="8"/>
      <c r="M8" s="8">
        <f>Tableau_Lancer_la_requête_à_partir_de_Excel_Files1025678910[[#This Row],[''ALPC'']]+Tableau_Lancer_la_requête_à_partir_de_Excel_Files1025678910[[#This Row],[''AURA'']]+Tableau_Lancer_la_requête_à_partir_de_Excel_Files1025678910[[#This Row],[''BFC'']]+Tableau_Lancer_la_requête_à_partir_de_Excel_Files1025678910[[#This Row],[''LRMP'']]</f>
        <v>0</v>
      </c>
      <c r="N8" s="8"/>
      <c r="O8" s="8"/>
      <c r="P8" s="8"/>
      <c r="Q8" s="8"/>
      <c r="R8" s="8">
        <f>Tableau_Lancer_la_requête_à_partir_de_Excel_Files1025678910[[#This Row],[''03'']]+Tableau_Lancer_la_requête_à_partir_de_Excel_Files1025678910[[#This Row],[''07'']]+Tableau_Lancer_la_requête_à_partir_de_Excel_Files1025678910[[#This Row],[''11'']]+Tableau_Lancer_la_requête_à_partir_de_Excel_Files1025678910[[#This Row],[''12'']]+Tableau_Lancer_la_requête_à_partir_de_Excel_Files1025678910[[#This Row],[''15'']]+Tableau_Lancer_la_requête_à_partir_de_Excel_Files1025678910[[#This Row],[''19'']]+Tableau_Lancer_la_requête_à_partir_de_Excel_Files1025678910[[#This Row],[''21'']]+Tableau_Lancer_la_requête_à_partir_de_Excel_Files1025678910[[#This Row],[''23'']]+Tableau_Lancer_la_requête_à_partir_de_Excel_Files1025678910[[#This Row],[''30'']]+Tableau_Lancer_la_requête_à_partir_de_Excel_Files1025678910[[#This Row],[''34'']]+Tableau_Lancer_la_requête_à_partir_de_Excel_Files1025678910[[#This Row],[''42'']]+Tableau_Lancer_la_requête_à_partir_de_Excel_Files1025678910[[#This Row],[''43'']]+Tableau_Lancer_la_requête_à_partir_de_Excel_Files1025678910[[#This Row],[''46'']]+Tableau_Lancer_la_requête_à_partir_de_Excel_Files1025678910[[#This Row],[''48'']]+Tableau_Lancer_la_requête_à_partir_de_Excel_Files1025678910[[#This Row],[''58'']]+Tableau_Lancer_la_requête_à_partir_de_Excel_Files1025678910[[#This Row],[''63'']]+Tableau_Lancer_la_requête_à_partir_de_Excel_Files1025678910[[#This Row],[''69'']]+Tableau_Lancer_la_requête_à_partir_de_Excel_Files1025678910[[#This Row],[''71'']]+Tableau_Lancer_la_requête_à_partir_de_Excel_Files1025678910[[#This Row],[''81'']]+Tableau_Lancer_la_requête_à_partir_de_Excel_Files1025678910[[#This Row],[''82'']]+Tableau_Lancer_la_requête_à_partir_de_Excel_Files1025678910[[#This Row],[''87'']]+Tableau_Lancer_la_requête_à_partir_de_Excel_Files1025678910[[#This Row],[''89'']]</f>
        <v>0</v>
      </c>
      <c r="S8" s="8"/>
      <c r="T8" s="8"/>
      <c r="U8" s="8"/>
      <c r="V8" s="8"/>
      <c r="W8" s="8"/>
      <c r="X8" s="8"/>
      <c r="Y8" s="8"/>
      <c r="Z8" s="8"/>
      <c r="AA8" s="8"/>
      <c r="AB8" s="8"/>
      <c r="AC8" s="8"/>
      <c r="AD8" s="8"/>
      <c r="AE8" s="8"/>
      <c r="AF8" s="8"/>
      <c r="AG8" s="8"/>
      <c r="AH8" s="8"/>
      <c r="AI8" s="8"/>
      <c r="AJ8" s="8"/>
      <c r="AK8" s="8"/>
      <c r="AL8" s="8"/>
      <c r="AM8" s="8"/>
      <c r="AN8" s="8"/>
      <c r="AO8" s="8">
        <v>0</v>
      </c>
      <c r="AP8" s="10" t="s">
        <v>77</v>
      </c>
      <c r="AR8" s="59"/>
      <c r="AS8" s="10" t="s">
        <v>348</v>
      </c>
    </row>
    <row r="9" spans="1:81" s="10" customFormat="1" ht="15.75" thickBot="1" x14ac:dyDescent="0.3">
      <c r="A9" s="61" t="s">
        <v>263</v>
      </c>
      <c r="B9" s="54" t="s">
        <v>264</v>
      </c>
      <c r="C9" s="54" t="s">
        <v>265</v>
      </c>
      <c r="D9" s="62">
        <v>100000</v>
      </c>
      <c r="E9" s="62">
        <f>Tableau_Lancer_la_requête_à_partir_de_Excel_Files1025678910[[#This Row],[Aide Massif]]+Tableau_Lancer_la_requête_à_partir_de_Excel_Files1025678910[[#This Row],[''Autre Public'']]</f>
        <v>100000</v>
      </c>
      <c r="F9" s="63">
        <f>Tableau_Lancer_la_requête_à_partir_de_Excel_Files1025678910[[#This Row],[Aide 
publique]]/Tableau_Lancer_la_requête_à_partir_de_Excel_Files1025678910[[#This Row],[''Coût total éligible'']]</f>
        <v>1</v>
      </c>
      <c r="G9" s="62">
        <f>Tableau_Lancer_la_requête_à_partir_de_Excel_Files1025678910[[#This Row],[''FEDER'']]+Tableau_Lancer_la_requête_à_partir_de_Excel_Files1025678910[[#This Row],[Total Etat]]+Tableau_Lancer_la_requête_à_partir_de_Excel_Files1025678910[[#This Row],[Total Régions]]+Tableau_Lancer_la_requête_à_partir_de_Excel_Files1025678910[[#This Row],[Total Dpts]]</f>
        <v>100000</v>
      </c>
      <c r="H9" s="63">
        <f>Tableau_Lancer_la_requête_à_partir_de_Excel_Files1025678910[[#This Row],[Aide Massif]]/Tableau_Lancer_la_requête_à_partir_de_Excel_Files1025678910[[#This Row],[''Coût total éligible'']]</f>
        <v>1</v>
      </c>
      <c r="I9" s="62">
        <v>0</v>
      </c>
      <c r="J9" s="62">
        <f>Tableau_Lancer_la_requête_à_partir_de_Excel_Files1025678910[[#This Row],[''FNADT '']]+Tableau_Lancer_la_requête_à_partir_de_Excel_Files1025678910[[#This Row],[''Agriculture'']]</f>
        <v>100000</v>
      </c>
      <c r="K9" s="53">
        <v>100000</v>
      </c>
      <c r="L9" s="62"/>
      <c r="M9" s="62">
        <f>Tableau_Lancer_la_requête_à_partir_de_Excel_Files1025678910[[#This Row],[''ALPC'']]+Tableau_Lancer_la_requête_à_partir_de_Excel_Files1025678910[[#This Row],[''AURA'']]+Tableau_Lancer_la_requête_à_partir_de_Excel_Files1025678910[[#This Row],[''BFC'']]+Tableau_Lancer_la_requête_à_partir_de_Excel_Files1025678910[[#This Row],[''LRMP'']]</f>
        <v>0</v>
      </c>
      <c r="N9" s="62"/>
      <c r="O9" s="62"/>
      <c r="P9" s="62"/>
      <c r="Q9" s="62"/>
      <c r="R9" s="62">
        <f>Tableau_Lancer_la_requête_à_partir_de_Excel_Files1025678910[[#This Row],[''03'']]+Tableau_Lancer_la_requête_à_partir_de_Excel_Files1025678910[[#This Row],[''07'']]+Tableau_Lancer_la_requête_à_partir_de_Excel_Files1025678910[[#This Row],[''11'']]+Tableau_Lancer_la_requête_à_partir_de_Excel_Files1025678910[[#This Row],[''12'']]+Tableau_Lancer_la_requête_à_partir_de_Excel_Files1025678910[[#This Row],[''15'']]+Tableau_Lancer_la_requête_à_partir_de_Excel_Files1025678910[[#This Row],[''19'']]+Tableau_Lancer_la_requête_à_partir_de_Excel_Files1025678910[[#This Row],[''21'']]+Tableau_Lancer_la_requête_à_partir_de_Excel_Files1025678910[[#This Row],[''23'']]+Tableau_Lancer_la_requête_à_partir_de_Excel_Files1025678910[[#This Row],[''30'']]+Tableau_Lancer_la_requête_à_partir_de_Excel_Files1025678910[[#This Row],[''34'']]+Tableau_Lancer_la_requête_à_partir_de_Excel_Files1025678910[[#This Row],[''42'']]+Tableau_Lancer_la_requête_à_partir_de_Excel_Files1025678910[[#This Row],[''43'']]+Tableau_Lancer_la_requête_à_partir_de_Excel_Files1025678910[[#This Row],[''46'']]+Tableau_Lancer_la_requête_à_partir_de_Excel_Files1025678910[[#This Row],[''48'']]+Tableau_Lancer_la_requête_à_partir_de_Excel_Files1025678910[[#This Row],[''58'']]+Tableau_Lancer_la_requête_à_partir_de_Excel_Files1025678910[[#This Row],[''63'']]+Tableau_Lancer_la_requête_à_partir_de_Excel_Files1025678910[[#This Row],[''69'']]+Tableau_Lancer_la_requête_à_partir_de_Excel_Files1025678910[[#This Row],[''71'']]+Tableau_Lancer_la_requête_à_partir_de_Excel_Files1025678910[[#This Row],[''81'']]+Tableau_Lancer_la_requête_à_partir_de_Excel_Files1025678910[[#This Row],[''82'']]+Tableau_Lancer_la_requête_à_partir_de_Excel_Files1025678910[[#This Row],[''87'']]+Tableau_Lancer_la_requête_à_partir_de_Excel_Files1025678910[[#This Row],[''89'']]</f>
        <v>0</v>
      </c>
      <c r="S9" s="62"/>
      <c r="T9" s="62"/>
      <c r="U9" s="62"/>
      <c r="V9" s="62"/>
      <c r="W9" s="62"/>
      <c r="X9" s="62"/>
      <c r="Y9" s="62"/>
      <c r="Z9" s="62"/>
      <c r="AA9" s="62"/>
      <c r="AB9" s="62"/>
      <c r="AC9" s="62"/>
      <c r="AD9" s="62"/>
      <c r="AE9" s="62"/>
      <c r="AF9" s="62"/>
      <c r="AG9" s="62"/>
      <c r="AH9" s="62"/>
      <c r="AI9" s="62"/>
      <c r="AJ9" s="62"/>
      <c r="AK9" s="62"/>
      <c r="AL9" s="62"/>
      <c r="AM9" s="62"/>
      <c r="AN9" s="62"/>
      <c r="AO9" s="62">
        <v>0</v>
      </c>
      <c r="AP9" s="53" t="s">
        <v>77</v>
      </c>
      <c r="AR9" s="58"/>
      <c r="AS9" s="10" t="s">
        <v>348</v>
      </c>
    </row>
    <row r="10" spans="1:81" s="10" customFormat="1" ht="15.75" thickTop="1" x14ac:dyDescent="0.25">
      <c r="A10" s="70" t="s">
        <v>11</v>
      </c>
      <c r="B10" s="71">
        <f>SUBTOTAL(103,Tableau_Lancer_la_requête_à_partir_de_Excel_Files1025678910[Nom_MO])</f>
        <v>3</v>
      </c>
      <c r="C10" s="71"/>
      <c r="D10" s="72">
        <f>SUBTOTAL(109,Tableau_Lancer_la_requête_à_partir_de_Excel_Files1025678910[''Coût total éligible''])</f>
        <v>2019080.4</v>
      </c>
      <c r="E10" s="72">
        <f>SUBTOTAL(109,Tableau_Lancer_la_requête_à_partir_de_Excel_Files1025678910[Aide 
publique])</f>
        <v>1059040</v>
      </c>
      <c r="F10" s="73"/>
      <c r="G10" s="72">
        <f>SUBTOTAL(109,Tableau_Lancer_la_requête_à_partir_de_Excel_Files1025678910[Aide Massif])</f>
        <v>1059040</v>
      </c>
      <c r="H10" s="73"/>
      <c r="I10" s="72">
        <f>SUBTOTAL(109,Tableau_Lancer_la_requête_à_partir_de_Excel_Files1025678910[''FEDER''])</f>
        <v>777040</v>
      </c>
      <c r="J10" s="72">
        <f>SUBTOTAL(109,Tableau_Lancer_la_requête_à_partir_de_Excel_Files1025678910[Total Etat])</f>
        <v>282000</v>
      </c>
      <c r="K10" s="70"/>
      <c r="L10" s="72">
        <f>SUBTOTAL(109,Tableau_Lancer_la_requête_à_partir_de_Excel_Files1025678910[''Agriculture''])</f>
        <v>0</v>
      </c>
      <c r="M10" s="72">
        <f>SUBTOTAL(109,Tableau_Lancer_la_requête_à_partir_de_Excel_Files1025678910[Total Régions])</f>
        <v>0</v>
      </c>
      <c r="N10" s="72">
        <f>SUBTOTAL(109,Tableau_Lancer_la_requête_à_partir_de_Excel_Files1025678910[''ALPC''])</f>
        <v>0</v>
      </c>
      <c r="O10" s="72">
        <f>SUBTOTAL(109,Tableau_Lancer_la_requête_à_partir_de_Excel_Files1025678910[''AURA''])</f>
        <v>0</v>
      </c>
      <c r="P10" s="72">
        <f>SUBTOTAL(109,Tableau_Lancer_la_requête_à_partir_de_Excel_Files1025678910[''BFC''])</f>
        <v>0</v>
      </c>
      <c r="Q10" s="72">
        <f>SUBTOTAL(109,Tableau_Lancer_la_requête_à_partir_de_Excel_Files1025678910[''LRMP''])</f>
        <v>0</v>
      </c>
      <c r="R10" s="72">
        <f>SUBTOTAL(109,Tableau_Lancer_la_requête_à_partir_de_Excel_Files1025678910[Total Dpts])</f>
        <v>0</v>
      </c>
      <c r="S10" s="72">
        <f>SUBTOTAL(109,Tableau_Lancer_la_requête_à_partir_de_Excel_Files1025678910[''03''])</f>
        <v>0</v>
      </c>
      <c r="T10" s="72">
        <f>SUBTOTAL(109,Tableau_Lancer_la_requête_à_partir_de_Excel_Files1025678910[''07''])</f>
        <v>0</v>
      </c>
      <c r="U10" s="72">
        <f>SUBTOTAL(109,Tableau_Lancer_la_requête_à_partir_de_Excel_Files1025678910[''11''])</f>
        <v>0</v>
      </c>
      <c r="V10" s="72">
        <f>SUBTOTAL(109,Tableau_Lancer_la_requête_à_partir_de_Excel_Files1025678910[''12''])</f>
        <v>0</v>
      </c>
      <c r="W10" s="72">
        <f>SUBTOTAL(109,Tableau_Lancer_la_requête_à_partir_de_Excel_Files1025678910[''15''])</f>
        <v>0</v>
      </c>
      <c r="X10" s="72">
        <f>SUBTOTAL(109,Tableau_Lancer_la_requête_à_partir_de_Excel_Files1025678910[''19''])</f>
        <v>0</v>
      </c>
      <c r="Y10" s="72">
        <f>SUBTOTAL(109,Tableau_Lancer_la_requête_à_partir_de_Excel_Files1025678910[''21''])</f>
        <v>0</v>
      </c>
      <c r="Z10" s="72">
        <f>SUBTOTAL(109,Tableau_Lancer_la_requête_à_partir_de_Excel_Files1025678910[''23''])</f>
        <v>0</v>
      </c>
      <c r="AA10" s="72">
        <f>SUBTOTAL(109,Tableau_Lancer_la_requête_à_partir_de_Excel_Files1025678910[''30''])</f>
        <v>0</v>
      </c>
      <c r="AB10" s="72">
        <f>SUBTOTAL(109,Tableau_Lancer_la_requête_à_partir_de_Excel_Files1025678910[''34''])</f>
        <v>0</v>
      </c>
      <c r="AC10" s="72">
        <f>SUBTOTAL(109,Tableau_Lancer_la_requête_à_partir_de_Excel_Files1025678910[''42''])</f>
        <v>0</v>
      </c>
      <c r="AD10" s="72">
        <f>SUBTOTAL(109,Tableau_Lancer_la_requête_à_partir_de_Excel_Files1025678910[''43''])</f>
        <v>0</v>
      </c>
      <c r="AE10" s="72">
        <f>SUBTOTAL(109,Tableau_Lancer_la_requête_à_partir_de_Excel_Files1025678910[''46''])</f>
        <v>0</v>
      </c>
      <c r="AF10" s="72">
        <f>SUBTOTAL(109,Tableau_Lancer_la_requête_à_partir_de_Excel_Files1025678910[''48''])</f>
        <v>0</v>
      </c>
      <c r="AG10" s="72">
        <f>SUBTOTAL(109,Tableau_Lancer_la_requête_à_partir_de_Excel_Files1025678910[''58''])</f>
        <v>0</v>
      </c>
      <c r="AH10" s="72">
        <f>SUBTOTAL(109,Tableau_Lancer_la_requête_à_partir_de_Excel_Files1025678910[''63''])</f>
        <v>0</v>
      </c>
      <c r="AI10" s="72">
        <f>SUBTOTAL(109,Tableau_Lancer_la_requête_à_partir_de_Excel_Files1025678910[''69''])</f>
        <v>0</v>
      </c>
      <c r="AJ10" s="72">
        <f>SUBTOTAL(109,Tableau_Lancer_la_requête_à_partir_de_Excel_Files1025678910[''71''])</f>
        <v>0</v>
      </c>
      <c r="AK10" s="72">
        <f>SUBTOTAL(109,Tableau_Lancer_la_requête_à_partir_de_Excel_Files1025678910[''81''])</f>
        <v>0</v>
      </c>
      <c r="AL10" s="72">
        <f>SUBTOTAL(109,Tableau_Lancer_la_requête_à_partir_de_Excel_Files1025678910[''82''])</f>
        <v>0</v>
      </c>
      <c r="AM10" s="72">
        <f>SUBTOTAL(109,Tableau_Lancer_la_requête_à_partir_de_Excel_Files1025678910[''87''])</f>
        <v>0</v>
      </c>
      <c r="AN10" s="72">
        <f>SUBTOTAL(109,Tableau_Lancer_la_requête_à_partir_de_Excel_Files1025678910[''89''])</f>
        <v>0</v>
      </c>
      <c r="AO10" s="72">
        <f>SUBTOTAL(109,Tableau_Lancer_la_requête_à_partir_de_Excel_Files1025678910[''Autre Public''])</f>
        <v>0</v>
      </c>
      <c r="AP10" s="74"/>
      <c r="AQ10" s="3"/>
      <c r="AR10" s="30"/>
    </row>
    <row r="11" spans="1:81" s="10" customFormat="1" x14ac:dyDescent="0.25">
      <c r="A11" s="3"/>
      <c r="B11" s="4"/>
      <c r="C11" s="5"/>
      <c r="D11" s="3"/>
      <c r="E11" s="3"/>
      <c r="F11" s="6"/>
      <c r="G11" s="3"/>
      <c r="H11" s="6"/>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81" x14ac:dyDescent="0.25">
      <c r="BZ12" s="4"/>
      <c r="CC12" s="3"/>
    </row>
    <row r="13" spans="1:81" x14ac:dyDescent="0.25">
      <c r="BZ13" s="4"/>
      <c r="CC13" s="3"/>
    </row>
    <row r="14" spans="1:81" x14ac:dyDescent="0.25">
      <c r="BZ14" s="4"/>
      <c r="CC14" s="3"/>
    </row>
    <row r="15" spans="1:81" x14ac:dyDescent="0.25">
      <c r="BZ15" s="4"/>
      <c r="CC15" s="3"/>
    </row>
    <row r="16" spans="1:81" x14ac:dyDescent="0.25">
      <c r="BZ16" s="4"/>
      <c r="CC16" s="3"/>
    </row>
    <row r="17" spans="1:81" s="7" customFormat="1" x14ac:dyDescent="0.25">
      <c r="A17" s="3"/>
      <c r="B17" s="4"/>
      <c r="C17" s="5"/>
      <c r="D17" s="3"/>
      <c r="E17" s="3"/>
      <c r="F17" s="6"/>
      <c r="G17" s="3"/>
      <c r="H17" s="6"/>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row>
    <row r="18" spans="1:81" s="10" customFormat="1" x14ac:dyDescent="0.25">
      <c r="A18" s="3"/>
      <c r="B18" s="4"/>
      <c r="C18" s="5"/>
      <c r="D18" s="3"/>
      <c r="E18" s="3"/>
      <c r="F18" s="6"/>
      <c r="G18" s="3"/>
      <c r="H18" s="6"/>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row>
    <row r="19" spans="1:81" x14ac:dyDescent="0.25">
      <c r="CB19" s="4"/>
      <c r="CC19" s="3"/>
    </row>
    <row r="20" spans="1:81" hidden="1" x14ac:dyDescent="0.25">
      <c r="E20" s="3" t="s">
        <v>353</v>
      </c>
      <c r="F20" s="6" t="s">
        <v>351</v>
      </c>
    </row>
    <row r="21" spans="1:81" hidden="1" x14ac:dyDescent="0.25">
      <c r="D21" t="s">
        <v>112</v>
      </c>
      <c r="E21" s="3">
        <f>SUMIF(Tableau_Lancer_la_requête_à_partir_de_Excel_Files1025678910[Avis Prog],"1-Favorable",Tableau_Lancer_la_requête_à_partir_de_Excel_Files1025678910[''FEDER''])</f>
        <v>777040</v>
      </c>
      <c r="F21" s="3" t="e">
        <f>SUMIF(#REF!,"1-Favorable",Tableau_Lancer_la_requête_à_partir_de_Excel_Files1025678910[''FEDER''])</f>
        <v>#REF!</v>
      </c>
    </row>
    <row r="22" spans="1:81" hidden="1" x14ac:dyDescent="0.25">
      <c r="D22" t="s">
        <v>56</v>
      </c>
      <c r="E22" s="3">
        <f>SUMIF(Tableau_Lancer_la_requête_à_partir_de_Excel_Files1025678910[Avis Prog],"1-Favorable",Tableau_Lancer_la_requête_à_partir_de_Excel_Files1025678910[Total Etat])</f>
        <v>282000</v>
      </c>
      <c r="F22" s="3" t="e">
        <f>SUMIF(#REF!,"1-Favorable",Tableau_Lancer_la_requête_à_partir_de_Excel_Files1025678910[Total Etat])</f>
        <v>#REF!</v>
      </c>
    </row>
    <row r="23" spans="1:81" hidden="1" x14ac:dyDescent="0.25">
      <c r="D23" t="s">
        <v>57</v>
      </c>
      <c r="E23" s="3">
        <f>SUMIF(Tableau_Lancer_la_requête_à_partir_de_Excel_Files1025678910[Avis Prog],"1-Favorable",Tableau_Lancer_la_requête_à_partir_de_Excel_Files1025678910[Total Régions])</f>
        <v>0</v>
      </c>
      <c r="F23" s="3" t="e">
        <f>SUMIF(#REF!,"1-Favorable",Tableau_Lancer_la_requête_à_partir_de_Excel_Files1025678910[Total Régions])</f>
        <v>#REF!</v>
      </c>
    </row>
    <row r="24" spans="1:81" hidden="1" x14ac:dyDescent="0.25">
      <c r="D24" s="3" t="s">
        <v>113</v>
      </c>
      <c r="E24" s="3">
        <f>SUMIF(Tableau_Lancer_la_requête_à_partir_de_Excel_Files1025678910[Avis Prog],"1-Favorable",Tableau_Lancer_la_requête_à_partir_de_Excel_Files1025678910[''ALPC''])</f>
        <v>0</v>
      </c>
      <c r="F24" s="3" t="e">
        <f>SUMIF(#REF!,"1-Favorable",Tableau_Lancer_la_requête_à_partir_de_Excel_Files1025678910[''ALPC''])</f>
        <v>#REF!</v>
      </c>
    </row>
    <row r="25" spans="1:81" hidden="1" x14ac:dyDescent="0.25">
      <c r="D25" s="3" t="s">
        <v>114</v>
      </c>
      <c r="E25" s="3">
        <f>SUMIF(Tableau_Lancer_la_requête_à_partir_de_Excel_Files1025678910[Avis Prog],"1-Favorable",Tableau_Lancer_la_requête_à_partir_de_Excel_Files1025678910[''AURA''])</f>
        <v>0</v>
      </c>
      <c r="F25" s="3" t="e">
        <f>SUMIF(#REF!,"1-Favorable",Tableau_Lancer_la_requête_à_partir_de_Excel_Files1025678910[''AURA''])</f>
        <v>#REF!</v>
      </c>
    </row>
    <row r="26" spans="1:81" hidden="1" x14ac:dyDescent="0.25">
      <c r="D26" s="3" t="s">
        <v>115</v>
      </c>
      <c r="E26" s="3">
        <f>SUMIF(Tableau_Lancer_la_requête_à_partir_de_Excel_Files1025678910[Avis Prog],"1-Favorable",Tableau_Lancer_la_requête_à_partir_de_Excel_Files1025678910[''BFC''])</f>
        <v>0</v>
      </c>
      <c r="F26" s="3" t="e">
        <f>SUMIF(#REF!,"1-Favorable",Tableau_Lancer_la_requête_à_partir_de_Excel_Files1025678910[''BFC''])</f>
        <v>#REF!</v>
      </c>
    </row>
    <row r="27" spans="1:81" hidden="1" x14ac:dyDescent="0.25">
      <c r="D27" s="3" t="s">
        <v>116</v>
      </c>
      <c r="E27" s="3">
        <f>SUMIF(Tableau_Lancer_la_requête_à_partir_de_Excel_Files1025678910[Avis Prog],"1-Favorable",Tableau_Lancer_la_requête_à_partir_de_Excel_Files1025678910[''LRMP''])</f>
        <v>0</v>
      </c>
      <c r="F27" s="3" t="e">
        <f>SUMIF(#REF!,"1-Favorable",Tableau_Lancer_la_requête_à_partir_de_Excel_Files1025678910[''LRMP''])</f>
        <v>#REF!</v>
      </c>
    </row>
    <row r="28" spans="1:81" hidden="1" x14ac:dyDescent="0.25">
      <c r="D28" t="s">
        <v>58</v>
      </c>
      <c r="E28" s="3">
        <f>SUMIF(Tableau_Lancer_la_requête_à_partir_de_Excel_Files1025678910[Avis Prog],"1-Favorable",Tableau_Lancer_la_requête_à_partir_de_Excel_Files1025678910[Total Dpts])</f>
        <v>0</v>
      </c>
      <c r="F28" s="3" t="e">
        <f>SUMIF(#REF!,"1-Favorable",Tableau_Lancer_la_requête_à_partir_de_Excel_Files1025678910[Total Dpts])</f>
        <v>#REF!</v>
      </c>
    </row>
    <row r="29" spans="1:81" hidden="1" x14ac:dyDescent="0.25">
      <c r="D29" t="s">
        <v>32</v>
      </c>
      <c r="E29" s="3">
        <f>SUMIF(Tableau_Lancer_la_requête_à_partir_de_Excel_Files1025678910[Avis Prog],"1-Favorable",Tableau_Lancer_la_requête_à_partir_de_Excel_Files1025678910[''03''])</f>
        <v>0</v>
      </c>
      <c r="F29" s="3" t="e">
        <f>SUMIF(#REF!,"1-Favorable",Tableau_Lancer_la_requête_à_partir_de_Excel_Files1025678910[''03''])</f>
        <v>#REF!</v>
      </c>
    </row>
    <row r="30" spans="1:81" hidden="1" x14ac:dyDescent="0.25">
      <c r="D30" t="s">
        <v>33</v>
      </c>
      <c r="E30" s="3">
        <f>SUMIF(Tableau_Lancer_la_requête_à_partir_de_Excel_Files1025678910[Avis Prog],"1-Favorable",Tableau_Lancer_la_requête_à_partir_de_Excel_Files1025678910[''07''])</f>
        <v>0</v>
      </c>
      <c r="F30" s="3" t="e">
        <f>SUMIF(#REF!,"1-Favorable",Tableau_Lancer_la_requête_à_partir_de_Excel_Files1025678910[''07''])</f>
        <v>#REF!</v>
      </c>
    </row>
    <row r="31" spans="1:81" hidden="1" x14ac:dyDescent="0.25">
      <c r="D31" t="s">
        <v>34</v>
      </c>
      <c r="E31" s="3">
        <f>SUMIF(Tableau_Lancer_la_requête_à_partir_de_Excel_Files1025678910[Avis Prog],"1-Favorable",Tableau_Lancer_la_requête_à_partir_de_Excel_Files1025678910[''11''])</f>
        <v>0</v>
      </c>
      <c r="F31" s="3" t="e">
        <f>SUMIF(#REF!,"1-Favorable",Tableau_Lancer_la_requête_à_partir_de_Excel_Files1025678910[''11''])</f>
        <v>#REF!</v>
      </c>
    </row>
    <row r="32" spans="1:81" hidden="1" x14ac:dyDescent="0.25">
      <c r="D32" t="s">
        <v>35</v>
      </c>
      <c r="E32" s="3">
        <f>SUMIF(Tableau_Lancer_la_requête_à_partir_de_Excel_Files1025678910[Avis Prog],"1-Favorable",Tableau_Lancer_la_requête_à_partir_de_Excel_Files1025678910[''12''])</f>
        <v>0</v>
      </c>
      <c r="F32" s="3" t="e">
        <f>SUMIF(#REF!,"1-Favorable",Tableau_Lancer_la_requête_à_partir_de_Excel_Files1025678910[''12''])</f>
        <v>#REF!</v>
      </c>
    </row>
    <row r="33" spans="4:6" hidden="1" x14ac:dyDescent="0.25">
      <c r="D33" t="s">
        <v>36</v>
      </c>
      <c r="E33" s="3">
        <f>SUMIF(Tableau_Lancer_la_requête_à_partir_de_Excel_Files1025678910[Avis Prog],"1-Favorable",Tableau_Lancer_la_requête_à_partir_de_Excel_Files1025678910[''15''])</f>
        <v>0</v>
      </c>
      <c r="F33" s="3" t="e">
        <f>SUMIF(#REF!,"1-Favorable",Tableau_Lancer_la_requête_à_partir_de_Excel_Files1025678910[''15''])</f>
        <v>#REF!</v>
      </c>
    </row>
    <row r="34" spans="4:6" hidden="1" x14ac:dyDescent="0.25">
      <c r="D34" t="s">
        <v>37</v>
      </c>
      <c r="E34" s="3">
        <f>SUMIF(Tableau_Lancer_la_requête_à_partir_de_Excel_Files1025678910[Avis Prog],"1-Favorable",Tableau_Lancer_la_requête_à_partir_de_Excel_Files1025678910[''19''])</f>
        <v>0</v>
      </c>
      <c r="F34" s="3" t="e">
        <f>SUMIF(#REF!,"1-Favorable",Tableau_Lancer_la_requête_à_partir_de_Excel_Files1025678910[''19''])</f>
        <v>#REF!</v>
      </c>
    </row>
    <row r="35" spans="4:6" hidden="1" x14ac:dyDescent="0.25">
      <c r="D35" t="s">
        <v>38</v>
      </c>
      <c r="E35" s="3">
        <f>SUMIF(Tableau_Lancer_la_requête_à_partir_de_Excel_Files1025678910[Avis Prog],"1-Favorable",Tableau_Lancer_la_requête_à_partir_de_Excel_Files1025678910[''21''])</f>
        <v>0</v>
      </c>
      <c r="F35" s="3" t="e">
        <f>SUMIF(#REF!,"1-Favorable",Tableau_Lancer_la_requête_à_partir_de_Excel_Files1025678910[''21''])</f>
        <v>#REF!</v>
      </c>
    </row>
    <row r="36" spans="4:6" hidden="1" x14ac:dyDescent="0.25">
      <c r="D36" t="s">
        <v>39</v>
      </c>
      <c r="E36" s="3">
        <f>SUMIF(Tableau_Lancer_la_requête_à_partir_de_Excel_Files1025678910[Avis Prog],"1-Favorable",Tableau_Lancer_la_requête_à_partir_de_Excel_Files1025678910[''23''])</f>
        <v>0</v>
      </c>
      <c r="F36" s="3" t="e">
        <f>SUMIF(#REF!,"1-Favorable",Tableau_Lancer_la_requête_à_partir_de_Excel_Files1025678910[''23''])</f>
        <v>#REF!</v>
      </c>
    </row>
    <row r="37" spans="4:6" hidden="1" x14ac:dyDescent="0.25">
      <c r="D37" t="s">
        <v>40</v>
      </c>
      <c r="E37" s="3">
        <f>SUMIF(Tableau_Lancer_la_requête_à_partir_de_Excel_Files1025678910[Avis Prog],"1-Favorable",Tableau_Lancer_la_requête_à_partir_de_Excel_Files1025678910[''30''])</f>
        <v>0</v>
      </c>
      <c r="F37" s="3" t="e">
        <f>SUMIF(#REF!,"1-Favorable",Tableau_Lancer_la_requête_à_partir_de_Excel_Files1025678910[''30''])</f>
        <v>#REF!</v>
      </c>
    </row>
    <row r="38" spans="4:6" hidden="1" x14ac:dyDescent="0.25">
      <c r="D38" t="s">
        <v>41</v>
      </c>
      <c r="E38" s="3">
        <f>SUMIF(Tableau_Lancer_la_requête_à_partir_de_Excel_Files1025678910[Avis Prog],"1-Favorable",Tableau_Lancer_la_requête_à_partir_de_Excel_Files1025678910[''34''])</f>
        <v>0</v>
      </c>
      <c r="F38" s="3" t="e">
        <f>SUMIF(#REF!,"1-Favorable",Tableau_Lancer_la_requête_à_partir_de_Excel_Files1025678910[''34''])</f>
        <v>#REF!</v>
      </c>
    </row>
    <row r="39" spans="4:6" hidden="1" x14ac:dyDescent="0.25">
      <c r="D39" t="s">
        <v>42</v>
      </c>
      <c r="E39" s="3">
        <f>SUMIF(Tableau_Lancer_la_requête_à_partir_de_Excel_Files1025678910[Avis Prog],"1-Favorable",Tableau_Lancer_la_requête_à_partir_de_Excel_Files1025678910[''42''])</f>
        <v>0</v>
      </c>
      <c r="F39" s="3" t="e">
        <f>SUMIF(#REF!,"1-Favorable",Tableau_Lancer_la_requête_à_partir_de_Excel_Files1025678910[''42''])</f>
        <v>#REF!</v>
      </c>
    </row>
    <row r="40" spans="4:6" hidden="1" x14ac:dyDescent="0.25">
      <c r="D40" t="s">
        <v>43</v>
      </c>
      <c r="E40" s="3">
        <f>SUMIF(Tableau_Lancer_la_requête_à_partir_de_Excel_Files1025678910[Avis Prog],"1-Favorable",Tableau_Lancer_la_requête_à_partir_de_Excel_Files1025678910[''43''])</f>
        <v>0</v>
      </c>
      <c r="F40" s="3" t="e">
        <f>SUMIF(#REF!,"1-Favorable",Tableau_Lancer_la_requête_à_partir_de_Excel_Files1025678910[''43''])</f>
        <v>#REF!</v>
      </c>
    </row>
    <row r="41" spans="4:6" hidden="1" x14ac:dyDescent="0.25">
      <c r="D41" t="s">
        <v>44</v>
      </c>
      <c r="E41" s="3">
        <f>SUMIF(Tableau_Lancer_la_requête_à_partir_de_Excel_Files1025678910[Avis Prog],"1-Favorable",Tableau_Lancer_la_requête_à_partir_de_Excel_Files1025678910[''46''])</f>
        <v>0</v>
      </c>
      <c r="F41" s="3" t="e">
        <f>SUMIF(#REF!,"1-Favorable",Tableau_Lancer_la_requête_à_partir_de_Excel_Files1025678910[''46''])</f>
        <v>#REF!</v>
      </c>
    </row>
    <row r="42" spans="4:6" hidden="1" x14ac:dyDescent="0.25">
      <c r="D42" t="s">
        <v>45</v>
      </c>
      <c r="E42" s="3">
        <f>SUMIF(Tableau_Lancer_la_requête_à_partir_de_Excel_Files1025678910[Avis Prog],"1-Favorable",Tableau_Lancer_la_requête_à_partir_de_Excel_Files1025678910[''48''])</f>
        <v>0</v>
      </c>
      <c r="F42" s="3" t="e">
        <f>SUMIF(#REF!,"1-Favorable",Tableau_Lancer_la_requête_à_partir_de_Excel_Files1025678910[''48''])</f>
        <v>#REF!</v>
      </c>
    </row>
    <row r="43" spans="4:6" hidden="1" x14ac:dyDescent="0.25">
      <c r="D43" t="s">
        <v>46</v>
      </c>
      <c r="E43" s="3">
        <f>SUMIF(Tableau_Lancer_la_requête_à_partir_de_Excel_Files1025678910[Avis Prog],"1-Favorable",Tableau_Lancer_la_requête_à_partir_de_Excel_Files1025678910[''58''])</f>
        <v>0</v>
      </c>
      <c r="F43" s="3" t="e">
        <f>SUMIF(#REF!,"1-Favorable",Tableau_Lancer_la_requête_à_partir_de_Excel_Files1025678910[''58''])</f>
        <v>#REF!</v>
      </c>
    </row>
    <row r="44" spans="4:6" hidden="1" x14ac:dyDescent="0.25">
      <c r="D44" t="s">
        <v>47</v>
      </c>
      <c r="E44" s="3">
        <f>SUMIF(Tableau_Lancer_la_requête_à_partir_de_Excel_Files1025678910[Avis Prog],"1-Favorable",Tableau_Lancer_la_requête_à_partir_de_Excel_Files1025678910[''63''])</f>
        <v>0</v>
      </c>
      <c r="F44" s="3" t="e">
        <f>SUMIF(#REF!,"1-Favorable",Tableau_Lancer_la_requête_à_partir_de_Excel_Files1025678910[''63''])</f>
        <v>#REF!</v>
      </c>
    </row>
    <row r="45" spans="4:6" hidden="1" x14ac:dyDescent="0.25">
      <c r="D45" t="s">
        <v>48</v>
      </c>
      <c r="E45" s="3">
        <f>SUMIF(Tableau_Lancer_la_requête_à_partir_de_Excel_Files1025678910[Avis Prog],"1-Favorable",Tableau_Lancer_la_requête_à_partir_de_Excel_Files1025678910[''69''])</f>
        <v>0</v>
      </c>
      <c r="F45" s="3" t="e">
        <f>SUMIF(#REF!,"1-Favorable",Tableau_Lancer_la_requête_à_partir_de_Excel_Files1025678910[''69''])</f>
        <v>#REF!</v>
      </c>
    </row>
    <row r="46" spans="4:6" hidden="1" x14ac:dyDescent="0.25">
      <c r="D46" t="s">
        <v>49</v>
      </c>
      <c r="E46" s="3">
        <f>SUMIF(Tableau_Lancer_la_requête_à_partir_de_Excel_Files1025678910[Avis Prog],"1-Favorable",Tableau_Lancer_la_requête_à_partir_de_Excel_Files1025678910[''71''])</f>
        <v>0</v>
      </c>
      <c r="F46" s="3" t="e">
        <f>SUMIF(#REF!,"1-Favorable",Tableau_Lancer_la_requête_à_partir_de_Excel_Files1025678910[''71''])</f>
        <v>#REF!</v>
      </c>
    </row>
    <row r="47" spans="4:6" hidden="1" x14ac:dyDescent="0.25">
      <c r="D47" t="s">
        <v>50</v>
      </c>
      <c r="E47" s="3">
        <f>SUMIF(Tableau_Lancer_la_requête_à_partir_de_Excel_Files1025678910[Avis Prog],"1-Favorable",Tableau_Lancer_la_requête_à_partir_de_Excel_Files1025678910[''81''])</f>
        <v>0</v>
      </c>
      <c r="F47" s="3" t="e">
        <f>SUMIF(#REF!,"1-Favorable",Tableau_Lancer_la_requête_à_partir_de_Excel_Files1025678910[''81''])</f>
        <v>#REF!</v>
      </c>
    </row>
    <row r="48" spans="4:6" hidden="1" x14ac:dyDescent="0.25">
      <c r="D48" t="s">
        <v>51</v>
      </c>
      <c r="E48" s="3">
        <f>SUMIF(Tableau_Lancer_la_requête_à_partir_de_Excel_Files1025678910[Avis Prog],"1-Favorable",Tableau_Lancer_la_requête_à_partir_de_Excel_Files1025678910[''82''])</f>
        <v>0</v>
      </c>
      <c r="F48" s="3" t="e">
        <f>SUMIF(#REF!,"1-Favorable",Tableau_Lancer_la_requête_à_partir_de_Excel_Files1025678910[''82''])</f>
        <v>#REF!</v>
      </c>
    </row>
    <row r="49" spans="4:6" hidden="1" x14ac:dyDescent="0.25">
      <c r="D49" t="s">
        <v>52</v>
      </c>
      <c r="E49" s="3">
        <f>SUMIF(Tableau_Lancer_la_requête_à_partir_de_Excel_Files1025678910[Avis Prog],"1-Favorable",Tableau_Lancer_la_requête_à_partir_de_Excel_Files1025678910[''87''])</f>
        <v>0</v>
      </c>
      <c r="F49" s="3" t="e">
        <f>SUMIF(#REF!,"1-Favorable",Tableau_Lancer_la_requête_à_partir_de_Excel_Files1025678910[''87''])</f>
        <v>#REF!</v>
      </c>
    </row>
    <row r="50" spans="4:6" hidden="1" x14ac:dyDescent="0.25">
      <c r="D50" t="s">
        <v>53</v>
      </c>
      <c r="E50" s="3">
        <f>SUMIF(Tableau_Lancer_la_requête_à_partir_de_Excel_Files1025678910[Avis Prog],"1-Favorable",Tableau_Lancer_la_requête_à_partir_de_Excel_Files1025678910[''89''])</f>
        <v>0</v>
      </c>
      <c r="F50" s="3" t="e">
        <f>SUMIF(#REF!,"1-Favorable",Tableau_Lancer_la_requête_à_partir_de_Excel_Files1025678910[''89''])</f>
        <v>#REF!</v>
      </c>
    </row>
  </sheetData>
  <conditionalFormatting sqref="K6:K9 AP6:AP9">
    <cfRule type="cellIs" dxfId="270" priority="9" operator="equal">
      <formula>"6-Retiré/Abandon"</formula>
    </cfRule>
    <cfRule type="cellIs" dxfId="269" priority="10" operator="equal">
      <formula>"5-Défavorable"</formula>
    </cfRule>
    <cfRule type="cellIs" dxfId="268" priority="11" operator="equal">
      <formula>"4-Ajournement"</formula>
    </cfRule>
    <cfRule type="cellIs" dxfId="267" priority="12" operator="equal">
      <formula>"1-Favorable"</formula>
    </cfRule>
  </conditionalFormatting>
  <conditionalFormatting sqref="AR6">
    <cfRule type="cellIs" dxfId="266" priority="5" operator="equal">
      <formula>"6-Retiré/Abandon"</formula>
    </cfRule>
    <cfRule type="cellIs" dxfId="265" priority="6" operator="equal">
      <formula>"5-Défavorable"</formula>
    </cfRule>
    <cfRule type="cellIs" dxfId="264" priority="7" operator="equal">
      <formula>"4-Ajournement"</formula>
    </cfRule>
    <cfRule type="cellIs" dxfId="263" priority="8" operator="equal">
      <formula>"1-Favorable"</formula>
    </cfRule>
  </conditionalFormatting>
  <conditionalFormatting sqref="AR7:AR9">
    <cfRule type="cellIs" dxfId="262" priority="1" operator="equal">
      <formula>"6-Retiré/Abandon"</formula>
    </cfRule>
    <cfRule type="cellIs" dxfId="261" priority="2" operator="equal">
      <formula>"5-Défavorable"</formula>
    </cfRule>
    <cfRule type="cellIs" dxfId="260" priority="3" operator="equal">
      <formula>"4-Ajournement"</formula>
    </cfRule>
    <cfRule type="cellIs" dxfId="259" priority="4" operator="equal">
      <formula>"1-Favorable"</formula>
    </cfRule>
  </conditionalFormatting>
  <dataValidations count="1">
    <dataValidation type="list" allowBlank="1" showInputMessage="1" showErrorMessage="1" sqref="AP7:AP9">
      <formula1>"1-Favorable,4-Ajournement,5-Défavorable,6-Retiré/Abandon"</formula1>
    </dataValidation>
  </dataValidations>
  <printOptions horizontalCentered="1" verticalCentered="1"/>
  <pageMargins left="0.25" right="0.25" top="0.75" bottom="0.75" header="0.3" footer="0.3"/>
  <pageSetup paperSize="8" scale="64" fitToHeight="0"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92"/>
  <sheetViews>
    <sheetView topLeftCell="A50" zoomScale="80" zoomScaleNormal="80" workbookViewId="0">
      <selection activeCell="E47" sqref="E47"/>
    </sheetView>
  </sheetViews>
  <sheetFormatPr baseColWidth="10" defaultRowHeight="15" outlineLevelCol="1" x14ac:dyDescent="0.25"/>
  <cols>
    <col min="1" max="1" width="14.5703125" style="37" customWidth="1"/>
    <col min="2" max="2" width="12.140625" style="37" hidden="1" customWidth="1"/>
    <col min="3" max="3" width="16.28515625" style="37" bestFit="1" customWidth="1"/>
    <col min="4" max="4" width="39.85546875" style="37" customWidth="1"/>
    <col min="5" max="5" width="46" style="37" customWidth="1"/>
    <col min="6" max="6" width="7.28515625" style="37" hidden="1" customWidth="1"/>
    <col min="7" max="7" width="20.85546875" style="37" hidden="1" customWidth="1"/>
    <col min="8" max="8" width="16" style="37" bestFit="1" customWidth="1"/>
    <col min="9" max="9" width="21" style="37" hidden="1" customWidth="1"/>
    <col min="10" max="10" width="13" style="37" hidden="1" customWidth="1"/>
    <col min="11" max="11" width="16.5703125" style="37" hidden="1" customWidth="1"/>
    <col min="12" max="12" width="16.140625" style="37" customWidth="1"/>
    <col min="13" max="13" width="14.5703125" style="37" customWidth="1"/>
    <col min="14" max="14" width="22.5703125" style="37" hidden="1" customWidth="1" outlineLevel="1"/>
    <col min="15" max="15" width="17.28515625" style="37" hidden="1" customWidth="1" outlineLevel="1" collapsed="1"/>
    <col min="16" max="16" width="14.7109375" style="37" customWidth="1" collapsed="1"/>
    <col min="17" max="20" width="22.5703125" style="37" hidden="1" customWidth="1" outlineLevel="1"/>
    <col min="21" max="21" width="18.85546875" style="37" bestFit="1" customWidth="1" collapsed="1"/>
    <col min="22" max="43" width="22.5703125" style="37" hidden="1" customWidth="1" outlineLevel="1"/>
    <col min="44" max="44" width="16.7109375" style="37" customWidth="1" collapsed="1"/>
    <col min="45" max="45" width="17.7109375" style="37" bestFit="1" customWidth="1"/>
    <col min="46" max="46" width="14.140625" style="37" bestFit="1" customWidth="1"/>
    <col min="47" max="47" width="2.42578125" style="40" customWidth="1"/>
    <col min="48" max="48" width="77.28515625" style="46" customWidth="1"/>
    <col min="49" max="49" width="24.28515625" style="40" hidden="1" customWidth="1"/>
    <col min="50" max="50" width="14.140625" style="37" hidden="1" customWidth="1"/>
    <col min="51" max="51" width="22.5703125" style="37" hidden="1" customWidth="1"/>
    <col min="52" max="52" width="17.28515625" style="37" hidden="1" customWidth="1" outlineLevel="1" collapsed="1"/>
    <col min="53" max="53" width="12.85546875" style="37" hidden="1" customWidth="1" outlineLevel="1"/>
    <col min="54" max="54" width="22.5703125" style="37" hidden="1" customWidth="1"/>
    <col min="55" max="57" width="22.5703125" style="37" hidden="1" customWidth="1" outlineLevel="1"/>
    <col min="58" max="58" width="18.85546875" style="37" hidden="1" customWidth="1" outlineLevel="1" collapsed="1"/>
    <col min="59" max="59" width="22.5703125" style="37" hidden="1" customWidth="1"/>
    <col min="60" max="80" width="22.5703125" style="37" hidden="1" customWidth="1" outlineLevel="1"/>
    <col min="81" max="81" width="12.42578125" style="37" hidden="1" customWidth="1" outlineLevel="1" collapsed="1"/>
    <col min="82" max="82" width="14.28515625" style="37" hidden="1" customWidth="1"/>
    <col min="83" max="83" width="17.42578125" style="37" customWidth="1" collapsed="1"/>
    <col min="84" max="84" width="11.42578125" style="37" customWidth="1" collapsed="1"/>
    <col min="85" max="85" width="11.42578125" style="37" customWidth="1"/>
    <col min="86" max="86" width="15.5703125" style="37" customWidth="1"/>
    <col min="87" max="87" width="36.85546875" style="37" customWidth="1"/>
    <col min="88" max="88" width="10" style="37" customWidth="1"/>
    <col min="89" max="89" width="19.28515625" style="37" customWidth="1"/>
    <col min="90" max="90" width="21.5703125" style="37" customWidth="1" collapsed="1"/>
    <col min="91" max="91" width="9.7109375" style="41" customWidth="1" collapsed="1"/>
    <col min="92" max="112" width="9.7109375" style="41" customWidth="1"/>
    <col min="113" max="113" width="12" style="37" customWidth="1" collapsed="1"/>
    <col min="114" max="114" width="14.28515625" style="37" bestFit="1" customWidth="1" collapsed="1"/>
    <col min="115" max="115" width="17.42578125" style="37" bestFit="1" customWidth="1"/>
    <col min="116" max="116" width="17" style="37" bestFit="1" customWidth="1"/>
    <col min="117" max="117" width="14.7109375" style="37" bestFit="1" customWidth="1"/>
    <col min="118" max="16384" width="11.42578125" style="37"/>
  </cols>
  <sheetData>
    <row r="1" spans="1:112" ht="18.75" x14ac:dyDescent="0.3">
      <c r="D1" s="38" t="s">
        <v>250</v>
      </c>
      <c r="E1" s="39">
        <v>42523</v>
      </c>
      <c r="H1" s="39">
        <v>42523</v>
      </c>
    </row>
    <row r="5" spans="1:112" x14ac:dyDescent="0.25">
      <c r="C5" s="42" t="s">
        <v>251</v>
      </c>
    </row>
    <row r="6" spans="1:112" s="44" customFormat="1" ht="60" x14ac:dyDescent="0.25">
      <c r="A6" s="43" t="s">
        <v>0</v>
      </c>
      <c r="B6" s="43" t="s">
        <v>18</v>
      </c>
      <c r="C6" s="43" t="s">
        <v>10</v>
      </c>
      <c r="D6" s="43" t="s">
        <v>1</v>
      </c>
      <c r="E6" s="43" t="s">
        <v>2</v>
      </c>
      <c r="F6" s="43" t="s">
        <v>3</v>
      </c>
      <c r="G6" s="43" t="s">
        <v>24</v>
      </c>
      <c r="H6" s="43" t="s">
        <v>25</v>
      </c>
      <c r="I6" s="43" t="s">
        <v>23</v>
      </c>
      <c r="J6" s="43" t="s">
        <v>9</v>
      </c>
      <c r="K6" s="43" t="s">
        <v>8</v>
      </c>
      <c r="L6" s="43" t="s">
        <v>7</v>
      </c>
      <c r="M6" s="43" t="s">
        <v>56</v>
      </c>
      <c r="N6" s="43" t="s">
        <v>26</v>
      </c>
      <c r="O6" s="43" t="s">
        <v>27</v>
      </c>
      <c r="P6" s="43" t="s">
        <v>57</v>
      </c>
      <c r="Q6" s="43" t="s">
        <v>30</v>
      </c>
      <c r="R6" s="43" t="s">
        <v>28</v>
      </c>
      <c r="S6" s="43" t="s">
        <v>29</v>
      </c>
      <c r="T6" s="43" t="s">
        <v>31</v>
      </c>
      <c r="U6" s="43" t="s">
        <v>58</v>
      </c>
      <c r="V6" s="43" t="s">
        <v>32</v>
      </c>
      <c r="W6" s="43" t="s">
        <v>33</v>
      </c>
      <c r="X6" s="43" t="s">
        <v>34</v>
      </c>
      <c r="Y6" s="43" t="s">
        <v>35</v>
      </c>
      <c r="Z6" s="43" t="s">
        <v>36</v>
      </c>
      <c r="AA6" s="43" t="s">
        <v>37</v>
      </c>
      <c r="AB6" s="43" t="s">
        <v>38</v>
      </c>
      <c r="AC6" s="43" t="s">
        <v>39</v>
      </c>
      <c r="AD6" s="43" t="s">
        <v>40</v>
      </c>
      <c r="AE6" s="43" t="s">
        <v>41</v>
      </c>
      <c r="AF6" s="43" t="s">
        <v>42</v>
      </c>
      <c r="AG6" s="43" t="s">
        <v>43</v>
      </c>
      <c r="AH6" s="43" t="s">
        <v>44</v>
      </c>
      <c r="AI6" s="43" t="s">
        <v>45</v>
      </c>
      <c r="AJ6" s="43" t="s">
        <v>46</v>
      </c>
      <c r="AK6" s="43" t="s">
        <v>47</v>
      </c>
      <c r="AL6" s="43" t="s">
        <v>48</v>
      </c>
      <c r="AM6" s="43" t="s">
        <v>49</v>
      </c>
      <c r="AN6" s="43" t="s">
        <v>50</v>
      </c>
      <c r="AO6" s="43" t="s">
        <v>51</v>
      </c>
      <c r="AP6" s="43" t="s">
        <v>52</v>
      </c>
      <c r="AQ6" s="43" t="s">
        <v>53</v>
      </c>
      <c r="AR6" s="43" t="s">
        <v>54</v>
      </c>
      <c r="AS6" s="43" t="s">
        <v>55</v>
      </c>
      <c r="AT6" s="43" t="s">
        <v>110</v>
      </c>
      <c r="AV6" s="36" t="s">
        <v>22</v>
      </c>
      <c r="AX6" s="44" t="s">
        <v>118</v>
      </c>
      <c r="AY6" s="43" t="s">
        <v>56</v>
      </c>
      <c r="AZ6" s="43" t="s">
        <v>26</v>
      </c>
      <c r="BA6" s="43" t="s">
        <v>27</v>
      </c>
      <c r="BB6" s="43" t="s">
        <v>57</v>
      </c>
      <c r="BC6" s="43" t="s">
        <v>30</v>
      </c>
      <c r="BD6" s="43" t="s">
        <v>28</v>
      </c>
      <c r="BE6" s="43" t="s">
        <v>29</v>
      </c>
      <c r="BF6" s="43" t="s">
        <v>31</v>
      </c>
      <c r="BG6" s="43" t="s">
        <v>58</v>
      </c>
      <c r="BH6" s="43" t="s">
        <v>32</v>
      </c>
      <c r="BI6" s="43" t="s">
        <v>33</v>
      </c>
      <c r="BJ6" s="43" t="s">
        <v>34</v>
      </c>
      <c r="BK6" s="43" t="s">
        <v>35</v>
      </c>
      <c r="BL6" s="43" t="s">
        <v>36</v>
      </c>
      <c r="BM6" s="43" t="s">
        <v>37</v>
      </c>
      <c r="BN6" s="43" t="s">
        <v>38</v>
      </c>
      <c r="BO6" s="43" t="s">
        <v>39</v>
      </c>
      <c r="BP6" s="43" t="s">
        <v>40</v>
      </c>
      <c r="BQ6" s="43" t="s">
        <v>41</v>
      </c>
      <c r="BR6" s="43" t="s">
        <v>42</v>
      </c>
      <c r="BS6" s="43" t="s">
        <v>43</v>
      </c>
      <c r="BT6" s="43" t="s">
        <v>44</v>
      </c>
      <c r="BU6" s="43" t="s">
        <v>45</v>
      </c>
      <c r="BV6" s="43" t="s">
        <v>46</v>
      </c>
      <c r="BW6" s="43" t="s">
        <v>47</v>
      </c>
      <c r="BX6" s="43" t="s">
        <v>48</v>
      </c>
      <c r="BY6" s="43" t="s">
        <v>49</v>
      </c>
      <c r="BZ6" s="43" t="s">
        <v>50</v>
      </c>
      <c r="CA6" s="43" t="s">
        <v>51</v>
      </c>
      <c r="CB6" s="43" t="s">
        <v>52</v>
      </c>
      <c r="CC6" s="43" t="s">
        <v>53</v>
      </c>
      <c r="CD6" s="43" t="s">
        <v>54</v>
      </c>
      <c r="CE6" s="44" t="s">
        <v>119</v>
      </c>
    </row>
    <row r="7" spans="1:112" ht="105" x14ac:dyDescent="0.25">
      <c r="A7" s="43" t="s">
        <v>4</v>
      </c>
      <c r="B7" s="45" t="s">
        <v>266</v>
      </c>
      <c r="C7" s="45" t="s">
        <v>266</v>
      </c>
      <c r="D7" s="46" t="s">
        <v>175</v>
      </c>
      <c r="E7" s="46" t="s">
        <v>267</v>
      </c>
      <c r="F7" s="47">
        <v>115699.59997731155</v>
      </c>
      <c r="G7" s="47"/>
      <c r="H7" s="47">
        <f>IF(Tableau_Lancer_la_requête_à_partir_de_Excel_Files3[[#This Row],[Coût total Eligible FEDER]]="",Tableau_Lancer_la_requête_à_partir_de_Excel_Files3[[#This Row],[Coût total déposé]],Tableau_Lancer_la_requête_à_partir_de_Excel_Files3[[#This Row],[Coût total Eligible FEDER]])</f>
        <v>115699.59997731155</v>
      </c>
      <c r="I7" s="47">
        <f>Tableau_Lancer_la_requête_à_partir_de_Excel_Files3[[#This Row],[Aide Massif Obtenu]]+Tableau_Lancer_la_requête_à_partir_de_Excel_Files3[[#This Row],[''Autre Public'']]</f>
        <v>70900</v>
      </c>
      <c r="J7" s="48">
        <f>Tableau_Lancer_la_requête_à_partir_de_Excel_Files3[[#This Row],[Aide Publique Obtenue]]/Tableau_Lancer_la_requête_à_partir_de_Excel_Files3[[#This Row],[Coût total]]</f>
        <v>0.61279382136069049</v>
      </c>
      <c r="K7" s="47">
        <f>Tableau_Lancer_la_requête_à_partir_de_Excel_Files3[[#This Row],[Etat]]+Tableau_Lancer_la_requête_à_partir_de_Excel_Files3[[#This Row],[Régions]]+Tableau_Lancer_la_requête_à_partir_de_Excel_Files3[[#This Row],[Départements]]+Tableau_Lancer_la_requête_à_partir_de_Excel_Files3[[#This Row],[''FEDER'']]</f>
        <v>70900</v>
      </c>
      <c r="L7" s="48">
        <f>Tableau_Lancer_la_requête_à_partir_de_Excel_Files3[[#This Row],[Aide Massif Obtenu]]/Tableau_Lancer_la_requête_à_partir_de_Excel_Files3[[#This Row],[Coût total]]</f>
        <v>0.61279382136069049</v>
      </c>
      <c r="M7" s="49">
        <f>Tableau_Lancer_la_requête_à_partir_de_Excel_Files3[[#This Row],[''FNADT'']]+Tableau_Lancer_la_requête_à_partir_de_Excel_Files3[[#This Row],[''Agriculture'']]</f>
        <v>50900</v>
      </c>
      <c r="N7" s="47">
        <v>50900</v>
      </c>
      <c r="O7" s="47"/>
      <c r="P7" s="49">
        <f>Tableau_Lancer_la_requête_à_partir_de_Excel_Files3[[#This Row],[''ALPC'']]+Tableau_Lancer_la_requête_à_partir_de_Excel_Files3[[#This Row],[''AURA'']]+Tableau_Lancer_la_requête_à_partir_de_Excel_Files3[[#This Row],[''BFC'']]+Tableau_Lancer_la_requête_à_partir_de_Excel_Files3[[#This Row],[''LRMP'']]</f>
        <v>20000</v>
      </c>
      <c r="Q7" s="47"/>
      <c r="R7" s="47">
        <v>20000</v>
      </c>
      <c r="S7" s="47"/>
      <c r="T7" s="47"/>
      <c r="U7"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7" s="47"/>
      <c r="W7" s="47"/>
      <c r="X7" s="47"/>
      <c r="Y7" s="47"/>
      <c r="Z7" s="47"/>
      <c r="AA7" s="47"/>
      <c r="AB7" s="47"/>
      <c r="AC7" s="47"/>
      <c r="AD7" s="47"/>
      <c r="AE7" s="47"/>
      <c r="AF7" s="47"/>
      <c r="AG7" s="47"/>
      <c r="AH7" s="47"/>
      <c r="AI7" s="47"/>
      <c r="AJ7" s="47"/>
      <c r="AK7" s="47"/>
      <c r="AL7" s="47"/>
      <c r="AM7" s="47"/>
      <c r="AN7" s="47"/>
      <c r="AO7" s="47"/>
      <c r="AP7" s="47"/>
      <c r="AQ7" s="47"/>
      <c r="AR7" s="47">
        <v>0</v>
      </c>
      <c r="AS7" s="47">
        <v>0</v>
      </c>
      <c r="AT7" s="50" t="s">
        <v>77</v>
      </c>
      <c r="AU7" s="37"/>
      <c r="AV7" s="56" t="s">
        <v>320</v>
      </c>
      <c r="AW7" s="40" t="s">
        <v>266</v>
      </c>
      <c r="AX7" s="40" t="s">
        <v>117</v>
      </c>
      <c r="AY7" s="49">
        <f t="shared" ref="AY7:AY23" si="0">SUM(AZ7:BA7)</f>
        <v>0</v>
      </c>
      <c r="AZ7" s="49"/>
      <c r="BA7" s="49"/>
      <c r="BB7" s="49">
        <f t="shared" ref="BB7:BB23" si="1">SUM(BC7:BF7)</f>
        <v>-14369</v>
      </c>
      <c r="BC7" s="49">
        <v>-14369</v>
      </c>
      <c r="BD7" s="49"/>
      <c r="BE7" s="49"/>
      <c r="BF7" s="49"/>
      <c r="BG7" s="49">
        <f t="shared" ref="BG7:BG23" si="2">SUM(BH7:CC7)</f>
        <v>0</v>
      </c>
      <c r="BH7" s="49"/>
      <c r="BI7" s="49"/>
      <c r="BJ7" s="49"/>
      <c r="BK7" s="49"/>
      <c r="BL7" s="49"/>
      <c r="BM7" s="49"/>
      <c r="BN7" s="49"/>
      <c r="BO7" s="49"/>
      <c r="BP7" s="49"/>
      <c r="BQ7" s="49"/>
      <c r="BR7" s="49"/>
      <c r="BS7" s="49"/>
      <c r="BT7" s="49"/>
      <c r="BU7" s="49"/>
      <c r="BV7" s="49"/>
      <c r="BW7" s="49"/>
      <c r="BX7" s="49"/>
      <c r="BY7" s="49"/>
      <c r="BZ7" s="49"/>
      <c r="CA7" s="49"/>
      <c r="CB7" s="49"/>
      <c r="CC7" s="49"/>
      <c r="CD7" s="49">
        <v>1622.6</v>
      </c>
      <c r="CE7" s="37" t="str">
        <f>VLOOKUP(Tableau3[[#This Row],[NumSym]],Tableau_Lancer_la_requête_à_partir_de_Excel_Files3[[ID_Synergie]:[Avis Prog]],44)</f>
        <v>1-Favorable</v>
      </c>
      <c r="CM7" s="37"/>
      <c r="CN7" s="37"/>
      <c r="CO7" s="37"/>
      <c r="CP7" s="37"/>
      <c r="CQ7" s="37"/>
      <c r="CR7" s="37"/>
      <c r="CS7" s="37"/>
      <c r="CT7" s="37"/>
      <c r="CU7" s="37"/>
      <c r="CV7" s="37"/>
      <c r="CW7" s="37"/>
      <c r="CX7" s="37"/>
      <c r="CY7" s="37"/>
      <c r="CZ7" s="37"/>
      <c r="DA7" s="37"/>
      <c r="DB7" s="37"/>
      <c r="DC7" s="37"/>
      <c r="DD7" s="37"/>
      <c r="DE7" s="37"/>
      <c r="DF7" s="37"/>
      <c r="DG7" s="37"/>
      <c r="DH7" s="37"/>
    </row>
    <row r="8" spans="1:112" ht="30" x14ac:dyDescent="0.25">
      <c r="A8" s="43" t="s">
        <v>4</v>
      </c>
      <c r="B8" s="45" t="s">
        <v>335</v>
      </c>
      <c r="C8" s="45" t="s">
        <v>335</v>
      </c>
      <c r="D8" s="46" t="s">
        <v>336</v>
      </c>
      <c r="E8" s="46" t="s">
        <v>337</v>
      </c>
      <c r="F8" s="47">
        <v>67178.97</v>
      </c>
      <c r="G8" s="47"/>
      <c r="H8" s="47">
        <f>IF(Tableau_Lancer_la_requête_à_partir_de_Excel_Files3[[#This Row],[Coût total Eligible FEDER]]="",Tableau_Lancer_la_requête_à_partir_de_Excel_Files3[[#This Row],[Coût total déposé]],Tableau_Lancer_la_requête_à_partir_de_Excel_Files3[[#This Row],[Coût total Eligible FEDER]])</f>
        <v>67178.97</v>
      </c>
      <c r="I8" s="47">
        <f>Tableau_Lancer_la_requête_à_partir_de_Excel_Files3[[#This Row],[Aide Massif Obtenu]]+Tableau_Lancer_la_requête_à_partir_de_Excel_Files3[[#This Row],[''Autre Public'']]</f>
        <v>0</v>
      </c>
      <c r="J8" s="48">
        <f>Tableau_Lancer_la_requête_à_partir_de_Excel_Files3[[#This Row],[Aide Publique Obtenue]]/Tableau_Lancer_la_requête_à_partir_de_Excel_Files3[[#This Row],[Coût total]]</f>
        <v>0</v>
      </c>
      <c r="K8" s="47">
        <f>Tableau_Lancer_la_requête_à_partir_de_Excel_Files3[[#This Row],[Etat]]+Tableau_Lancer_la_requête_à_partir_de_Excel_Files3[[#This Row],[Régions]]+Tableau_Lancer_la_requête_à_partir_de_Excel_Files3[[#This Row],[Départements]]+Tableau_Lancer_la_requête_à_partir_de_Excel_Files3[[#This Row],[''FEDER'']]</f>
        <v>0</v>
      </c>
      <c r="L8" s="48">
        <f>Tableau_Lancer_la_requête_à_partir_de_Excel_Files3[[#This Row],[Aide Massif Obtenu]]/Tableau_Lancer_la_requête_à_partir_de_Excel_Files3[[#This Row],[Coût total]]</f>
        <v>0</v>
      </c>
      <c r="M8" s="49">
        <f>Tableau_Lancer_la_requête_à_partir_de_Excel_Files3[[#This Row],[''FNADT'']]+Tableau_Lancer_la_requête_à_partir_de_Excel_Files3[[#This Row],[''Agriculture'']]</f>
        <v>0</v>
      </c>
      <c r="N8" s="47"/>
      <c r="O8" s="47"/>
      <c r="P8" s="49">
        <f>Tableau_Lancer_la_requête_à_partir_de_Excel_Files3[[#This Row],[''ALPC'']]+Tableau_Lancer_la_requête_à_partir_de_Excel_Files3[[#This Row],[''AURA'']]+Tableau_Lancer_la_requête_à_partir_de_Excel_Files3[[#This Row],[''BFC'']]+Tableau_Lancer_la_requête_à_partir_de_Excel_Files3[[#This Row],[''LRMP'']]</f>
        <v>0</v>
      </c>
      <c r="Q8" s="47"/>
      <c r="R8" s="47"/>
      <c r="S8" s="47"/>
      <c r="T8" s="47"/>
      <c r="U8"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8" s="47"/>
      <c r="W8" s="47"/>
      <c r="X8" s="47"/>
      <c r="Y8" s="47"/>
      <c r="Z8" s="47"/>
      <c r="AA8" s="47"/>
      <c r="AB8" s="47"/>
      <c r="AC8" s="47"/>
      <c r="AD8" s="47"/>
      <c r="AE8" s="47"/>
      <c r="AF8" s="47"/>
      <c r="AG8" s="47"/>
      <c r="AH8" s="47"/>
      <c r="AI8" s="47"/>
      <c r="AJ8" s="47"/>
      <c r="AK8" s="47"/>
      <c r="AL8" s="47"/>
      <c r="AM8" s="47"/>
      <c r="AN8" s="47"/>
      <c r="AO8" s="47"/>
      <c r="AP8" s="47"/>
      <c r="AQ8" s="47"/>
      <c r="AR8" s="47">
        <v>0</v>
      </c>
      <c r="AS8" s="47">
        <v>0</v>
      </c>
      <c r="AT8" s="50" t="s">
        <v>77</v>
      </c>
      <c r="AU8" s="37"/>
      <c r="AV8" s="57" t="s">
        <v>338</v>
      </c>
      <c r="AW8" s="40" t="s">
        <v>335</v>
      </c>
      <c r="AX8" s="40" t="s">
        <v>59</v>
      </c>
      <c r="AY8" s="49">
        <f t="shared" si="0"/>
        <v>19500</v>
      </c>
      <c r="AZ8" s="49">
        <v>19500</v>
      </c>
      <c r="BA8" s="49"/>
      <c r="BB8" s="49">
        <f t="shared" si="1"/>
        <v>0</v>
      </c>
      <c r="BC8" s="49"/>
      <c r="BD8" s="49"/>
      <c r="BE8" s="49"/>
      <c r="BF8" s="49"/>
      <c r="BG8" s="49">
        <f t="shared" si="2"/>
        <v>0</v>
      </c>
      <c r="BH8" s="49"/>
      <c r="BI8" s="49"/>
      <c r="BJ8" s="49"/>
      <c r="BK8" s="49"/>
      <c r="BL8" s="49"/>
      <c r="BM8" s="49"/>
      <c r="BN8" s="49"/>
      <c r="BO8" s="49"/>
      <c r="BP8" s="49"/>
      <c r="BQ8" s="49"/>
      <c r="BR8" s="49"/>
      <c r="BS8" s="49"/>
      <c r="BT8" s="49"/>
      <c r="BU8" s="49"/>
      <c r="BV8" s="49"/>
      <c r="BW8" s="49"/>
      <c r="BX8" s="49"/>
      <c r="BY8" s="49"/>
      <c r="BZ8" s="49"/>
      <c r="CA8" s="49"/>
      <c r="CB8" s="49"/>
      <c r="CC8" s="49"/>
      <c r="CD8" s="49"/>
      <c r="CE8" s="37" t="str">
        <f>VLOOKUP(Tableau3[[#This Row],[NumSym]],Tableau_Lancer_la_requête_à_partir_de_Excel_Files3[[ID_Synergie]:[Avis Prog]],44)</f>
        <v>1-Favorable</v>
      </c>
      <c r="CM8" s="37"/>
      <c r="CN8" s="37"/>
      <c r="CO8" s="37"/>
      <c r="CP8" s="37"/>
      <c r="CQ8" s="37"/>
      <c r="CR8" s="37"/>
      <c r="CS8" s="37"/>
      <c r="CT8" s="37"/>
      <c r="CU8" s="37"/>
      <c r="CV8" s="37"/>
      <c r="CW8" s="37"/>
      <c r="CX8" s="37"/>
      <c r="CY8" s="37"/>
      <c r="CZ8" s="37"/>
      <c r="DA8" s="37"/>
      <c r="DB8" s="37"/>
      <c r="DC8" s="37"/>
      <c r="DD8" s="37"/>
      <c r="DE8" s="37"/>
      <c r="DF8" s="37"/>
      <c r="DG8" s="37"/>
      <c r="DH8" s="37"/>
    </row>
    <row r="9" spans="1:112" ht="75" x14ac:dyDescent="0.25">
      <c r="A9" s="43" t="s">
        <v>5</v>
      </c>
      <c r="B9" s="45" t="s">
        <v>62</v>
      </c>
      <c r="C9" s="45" t="s">
        <v>62</v>
      </c>
      <c r="D9" s="46" t="s">
        <v>63</v>
      </c>
      <c r="E9" s="46" t="s">
        <v>64</v>
      </c>
      <c r="F9" s="47">
        <v>102244</v>
      </c>
      <c r="G9" s="47">
        <v>102244</v>
      </c>
      <c r="H9" s="47">
        <f>IF(Tableau_Lancer_la_requête_à_partir_de_Excel_Files3[[#This Row],[Coût total Eligible FEDER]]="",Tableau_Lancer_la_requête_à_partir_de_Excel_Files3[[#This Row],[Coût total déposé]],Tableau_Lancer_la_requête_à_partir_de_Excel_Files3[[#This Row],[Coût total Eligible FEDER]])</f>
        <v>102244</v>
      </c>
      <c r="I9" s="47">
        <f>Tableau_Lancer_la_requête_à_partir_de_Excel_Files3[[#This Row],[Aide Massif Obtenu]]+Tableau_Lancer_la_requête_à_partir_de_Excel_Files3[[#This Row],[''Autre Public'']]</f>
        <v>71570.8</v>
      </c>
      <c r="J9" s="48">
        <f>Tableau_Lancer_la_requête_à_partir_de_Excel_Files3[[#This Row],[Aide Publique Obtenue]]/Tableau_Lancer_la_requête_à_partir_de_Excel_Files3[[#This Row],[Coût total]]</f>
        <v>0.70000000000000007</v>
      </c>
      <c r="K9" s="47">
        <f>Tableau_Lancer_la_requête_à_partir_de_Excel_Files3[[#This Row],[Etat]]+Tableau_Lancer_la_requête_à_partir_de_Excel_Files3[[#This Row],[Régions]]+Tableau_Lancer_la_requête_à_partir_de_Excel_Files3[[#This Row],[Départements]]+Tableau_Lancer_la_requête_à_partir_de_Excel_Files3[[#This Row],[''FEDER'']]</f>
        <v>30673.200000000001</v>
      </c>
      <c r="L9" s="48">
        <f>Tableau_Lancer_la_requête_à_partir_de_Excel_Files3[[#This Row],[Aide Massif Obtenu]]/Tableau_Lancer_la_requête_à_partir_de_Excel_Files3[[#This Row],[Coût total]]</f>
        <v>0.3</v>
      </c>
      <c r="M9" s="49">
        <f>Tableau_Lancer_la_requête_à_partir_de_Excel_Files3[[#This Row],[''FNADT'']]+Tableau_Lancer_la_requête_à_partir_de_Excel_Files3[[#This Row],[''Agriculture'']]</f>
        <v>0</v>
      </c>
      <c r="N9" s="47"/>
      <c r="O9" s="47"/>
      <c r="P9" s="49">
        <f>Tableau_Lancer_la_requête_à_partir_de_Excel_Files3[[#This Row],[''ALPC'']]+Tableau_Lancer_la_requête_à_partir_de_Excel_Files3[[#This Row],[''AURA'']]+Tableau_Lancer_la_requête_à_partir_de_Excel_Files3[[#This Row],[''BFC'']]+Tableau_Lancer_la_requête_à_partir_de_Excel_Files3[[#This Row],[''LRMP'']]</f>
        <v>0</v>
      </c>
      <c r="Q9" s="47"/>
      <c r="R9" s="47"/>
      <c r="S9" s="47"/>
      <c r="T9" s="47"/>
      <c r="U9"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9" s="47"/>
      <c r="W9" s="47"/>
      <c r="X9" s="47"/>
      <c r="Y9" s="47"/>
      <c r="Z9" s="47"/>
      <c r="AA9" s="47"/>
      <c r="AB9" s="47"/>
      <c r="AC9" s="47"/>
      <c r="AD9" s="47"/>
      <c r="AE9" s="47"/>
      <c r="AF9" s="47"/>
      <c r="AG9" s="47"/>
      <c r="AH9" s="47"/>
      <c r="AI9" s="47"/>
      <c r="AJ9" s="47"/>
      <c r="AK9" s="47"/>
      <c r="AL9" s="47"/>
      <c r="AM9" s="47"/>
      <c r="AN9" s="47"/>
      <c r="AO9" s="47"/>
      <c r="AP9" s="47"/>
      <c r="AQ9" s="47"/>
      <c r="AR9" s="47">
        <v>30673.200000000001</v>
      </c>
      <c r="AS9" s="47">
        <v>40897.599999999999</v>
      </c>
      <c r="AT9" s="50" t="s">
        <v>77</v>
      </c>
      <c r="AU9" s="37"/>
      <c r="AV9" s="56" t="s">
        <v>69</v>
      </c>
      <c r="AW9" s="40" t="s">
        <v>62</v>
      </c>
      <c r="AX9" s="40" t="s">
        <v>268</v>
      </c>
      <c r="AY9" s="49">
        <f t="shared" si="0"/>
        <v>0</v>
      </c>
      <c r="AZ9" s="49"/>
      <c r="BA9" s="49"/>
      <c r="BB9" s="49">
        <f t="shared" si="1"/>
        <v>16000</v>
      </c>
      <c r="BC9" s="49"/>
      <c r="BD9" s="49">
        <v>16000</v>
      </c>
      <c r="BE9" s="49"/>
      <c r="BF9" s="49"/>
      <c r="BG9" s="49">
        <f t="shared" si="2"/>
        <v>0</v>
      </c>
      <c r="BH9" s="49"/>
      <c r="BI9" s="49"/>
      <c r="BJ9" s="49"/>
      <c r="BK9" s="49"/>
      <c r="BL9" s="49"/>
      <c r="BM9" s="49"/>
      <c r="BN9" s="49"/>
      <c r="BO9" s="49"/>
      <c r="BP9" s="49"/>
      <c r="BQ9" s="49"/>
      <c r="BR9" s="49"/>
      <c r="BS9" s="49"/>
      <c r="BT9" s="49"/>
      <c r="BU9" s="49"/>
      <c r="BV9" s="49"/>
      <c r="BW9" s="49"/>
      <c r="BX9" s="49"/>
      <c r="BY9" s="49"/>
      <c r="BZ9" s="49"/>
      <c r="CA9" s="49"/>
      <c r="CB9" s="49"/>
      <c r="CC9" s="49"/>
      <c r="CD9" s="49"/>
      <c r="CE9" s="37" t="str">
        <f>VLOOKUP(Tableau3[[#This Row],[NumSym]],Tableau_Lancer_la_requête_à_partir_de_Excel_Files3[[ID_Synergie]:[Avis Prog]],44)</f>
        <v>1-Favorable</v>
      </c>
      <c r="CM9" s="37"/>
      <c r="CN9" s="37"/>
      <c r="CO9" s="37"/>
      <c r="CP9" s="37"/>
      <c r="CQ9" s="37"/>
      <c r="CR9" s="37"/>
      <c r="CS9" s="37"/>
      <c r="CT9" s="37"/>
      <c r="CU9" s="37"/>
      <c r="CV9" s="37"/>
      <c r="CW9" s="37"/>
      <c r="CX9" s="37"/>
      <c r="CY9" s="37"/>
      <c r="CZ9" s="37"/>
      <c r="DA9" s="37"/>
      <c r="DB9" s="37"/>
      <c r="DC9" s="37"/>
      <c r="DD9" s="37"/>
      <c r="DE9" s="37"/>
      <c r="DF9" s="37"/>
      <c r="DG9" s="37"/>
      <c r="DH9" s="37"/>
    </row>
    <row r="10" spans="1:112" ht="45" x14ac:dyDescent="0.25">
      <c r="A10" s="43" t="s">
        <v>4</v>
      </c>
      <c r="B10" s="45" t="s">
        <v>268</v>
      </c>
      <c r="C10" s="45" t="s">
        <v>268</v>
      </c>
      <c r="D10" s="46" t="s">
        <v>269</v>
      </c>
      <c r="E10" s="46" t="s">
        <v>270</v>
      </c>
      <c r="F10" s="47">
        <v>79696.639999999999</v>
      </c>
      <c r="G10" s="47"/>
      <c r="H10" s="47">
        <f>IF(Tableau_Lancer_la_requête_à_partir_de_Excel_Files3[[#This Row],[Coût total Eligible FEDER]]="",Tableau_Lancer_la_requête_à_partir_de_Excel_Files3[[#This Row],[Coût total déposé]],Tableau_Lancer_la_requête_à_partir_de_Excel_Files3[[#This Row],[Coût total Eligible FEDER]])</f>
        <v>79696.639999999999</v>
      </c>
      <c r="I10" s="47">
        <f>Tableau_Lancer_la_requête_à_partir_de_Excel_Files3[[#This Row],[Aide Massif Obtenu]]+Tableau_Lancer_la_requête_à_partir_de_Excel_Files3[[#This Row],[''Autre Public'']]</f>
        <v>55787</v>
      </c>
      <c r="J10" s="48">
        <f>Tableau_Lancer_la_requête_à_partir_de_Excel_Files3[[#This Row],[Aide Publique Obtenue]]/Tableau_Lancer_la_requête_à_partir_de_Excel_Files3[[#This Row],[Coût total]]</f>
        <v>0.69999186916788458</v>
      </c>
      <c r="K10" s="47">
        <f>Tableau_Lancer_la_requête_à_partir_de_Excel_Files3[[#This Row],[Etat]]+Tableau_Lancer_la_requête_à_partir_de_Excel_Files3[[#This Row],[Régions]]+Tableau_Lancer_la_requête_à_partir_de_Excel_Files3[[#This Row],[Départements]]+Tableau_Lancer_la_requête_à_partir_de_Excel_Files3[[#This Row],[''FEDER'']]</f>
        <v>55787</v>
      </c>
      <c r="L10" s="48">
        <f>Tableau_Lancer_la_requête_à_partir_de_Excel_Files3[[#This Row],[Aide Massif Obtenu]]/Tableau_Lancer_la_requête_à_partir_de_Excel_Files3[[#This Row],[Coût total]]</f>
        <v>0.69999186916788458</v>
      </c>
      <c r="M10" s="49">
        <f>Tableau_Lancer_la_requête_à_partir_de_Excel_Files3[[#This Row],[''FNADT'']]+Tableau_Lancer_la_requête_à_partir_de_Excel_Files3[[#This Row],[''Agriculture'']]</f>
        <v>39787</v>
      </c>
      <c r="N10" s="47">
        <v>39787</v>
      </c>
      <c r="O10" s="47"/>
      <c r="P10" s="49">
        <f>Tableau_Lancer_la_requête_à_partir_de_Excel_Files3[[#This Row],[''ALPC'']]+Tableau_Lancer_la_requête_à_partir_de_Excel_Files3[[#This Row],[''AURA'']]+Tableau_Lancer_la_requête_à_partir_de_Excel_Files3[[#This Row],[''BFC'']]+Tableau_Lancer_la_requête_à_partir_de_Excel_Files3[[#This Row],[''LRMP'']]</f>
        <v>16000</v>
      </c>
      <c r="Q10" s="47"/>
      <c r="R10" s="47">
        <v>16000</v>
      </c>
      <c r="S10" s="47"/>
      <c r="T10" s="47"/>
      <c r="U10"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0" s="47"/>
      <c r="W10" s="47"/>
      <c r="X10" s="47"/>
      <c r="Y10" s="47"/>
      <c r="Z10" s="47"/>
      <c r="AA10" s="47"/>
      <c r="AB10" s="47"/>
      <c r="AC10" s="47"/>
      <c r="AD10" s="47"/>
      <c r="AE10" s="47"/>
      <c r="AF10" s="47"/>
      <c r="AG10" s="47"/>
      <c r="AH10" s="47"/>
      <c r="AI10" s="47"/>
      <c r="AJ10" s="47"/>
      <c r="AK10" s="47"/>
      <c r="AL10" s="47"/>
      <c r="AM10" s="47"/>
      <c r="AN10" s="47"/>
      <c r="AO10" s="47"/>
      <c r="AP10" s="47"/>
      <c r="AQ10" s="47"/>
      <c r="AR10" s="47">
        <v>0</v>
      </c>
      <c r="AS10" s="47">
        <v>0</v>
      </c>
      <c r="AT10" s="50" t="s">
        <v>77</v>
      </c>
      <c r="AU10" s="37"/>
      <c r="AV10" s="57" t="s">
        <v>321</v>
      </c>
      <c r="AW10" s="40" t="s">
        <v>268</v>
      </c>
      <c r="AX10" s="40" t="s">
        <v>286</v>
      </c>
      <c r="AY10" s="49">
        <f t="shared" si="0"/>
        <v>0</v>
      </c>
      <c r="AZ10" s="49"/>
      <c r="BA10" s="49"/>
      <c r="BB10" s="49">
        <f t="shared" si="1"/>
        <v>0</v>
      </c>
      <c r="BC10" s="49"/>
      <c r="BD10" s="49"/>
      <c r="BE10" s="49"/>
      <c r="BF10" s="49"/>
      <c r="BG10" s="49">
        <f t="shared" si="2"/>
        <v>6289</v>
      </c>
      <c r="BH10" s="49"/>
      <c r="BI10" s="49">
        <v>6289</v>
      </c>
      <c r="BJ10" s="49"/>
      <c r="BK10" s="49"/>
      <c r="BL10" s="49"/>
      <c r="BM10" s="49"/>
      <c r="BN10" s="49"/>
      <c r="BO10" s="49"/>
      <c r="BP10" s="49"/>
      <c r="BQ10" s="49"/>
      <c r="BR10" s="49"/>
      <c r="BS10" s="49"/>
      <c r="BT10" s="49"/>
      <c r="BU10" s="49"/>
      <c r="BV10" s="49"/>
      <c r="BW10" s="49"/>
      <c r="BX10" s="49"/>
      <c r="BY10" s="49"/>
      <c r="BZ10" s="49"/>
      <c r="CA10" s="49"/>
      <c r="CB10" s="49"/>
      <c r="CC10" s="49"/>
      <c r="CD10" s="49"/>
      <c r="CE10" s="37" t="str">
        <f>VLOOKUP(Tableau3[[#This Row],[NumSym]],Tableau_Lancer_la_requête_à_partir_de_Excel_Files3[[ID_Synergie]:[Avis Prog]],44)</f>
        <v>1-Favorable</v>
      </c>
      <c r="CM10" s="37"/>
      <c r="CN10" s="37"/>
      <c r="CO10" s="37"/>
      <c r="CP10" s="37"/>
      <c r="CQ10" s="37"/>
      <c r="CR10" s="37"/>
      <c r="CS10" s="37"/>
      <c r="CT10" s="37"/>
      <c r="CU10" s="37"/>
      <c r="CV10" s="37"/>
      <c r="CW10" s="37"/>
      <c r="CX10" s="37"/>
      <c r="CY10" s="37"/>
      <c r="CZ10" s="37"/>
      <c r="DA10" s="37"/>
      <c r="DB10" s="37"/>
      <c r="DC10" s="37"/>
      <c r="DD10" s="37"/>
      <c r="DE10" s="37"/>
      <c r="DF10" s="37"/>
      <c r="DG10" s="37"/>
      <c r="DH10" s="37"/>
    </row>
    <row r="11" spans="1:112" ht="60" x14ac:dyDescent="0.25">
      <c r="A11" s="43" t="s">
        <v>4</v>
      </c>
      <c r="B11" s="45" t="s">
        <v>279</v>
      </c>
      <c r="C11" s="45" t="s">
        <v>279</v>
      </c>
      <c r="D11" s="46" t="s">
        <v>280</v>
      </c>
      <c r="E11" s="46" t="s">
        <v>281</v>
      </c>
      <c r="F11" s="47">
        <v>93909.359999999986</v>
      </c>
      <c r="G11" s="47"/>
      <c r="H11" s="47">
        <f>IF(Tableau_Lancer_la_requête_à_partir_de_Excel_Files3[[#This Row],[Coût total Eligible FEDER]]="",Tableau_Lancer_la_requête_à_partir_de_Excel_Files3[[#This Row],[Coût total déposé]],Tableau_Lancer_la_requête_à_partir_de_Excel_Files3[[#This Row],[Coût total Eligible FEDER]])</f>
        <v>93909.359999999986</v>
      </c>
      <c r="I11" s="47">
        <f>Tableau_Lancer_la_requête_à_partir_de_Excel_Files3[[#This Row],[Aide Massif Obtenu]]+Tableau_Lancer_la_requête_à_partir_de_Excel_Files3[[#This Row],[''Autre Public'']]</f>
        <v>20000</v>
      </c>
      <c r="J11" s="48">
        <f>Tableau_Lancer_la_requête_à_partir_de_Excel_Files3[[#This Row],[Aide Publique Obtenue]]/Tableau_Lancer_la_requête_à_partir_de_Excel_Files3[[#This Row],[Coût total]]</f>
        <v>0.21297131617125281</v>
      </c>
      <c r="K11" s="47">
        <f>Tableau_Lancer_la_requête_à_partir_de_Excel_Files3[[#This Row],[Etat]]+Tableau_Lancer_la_requête_à_partir_de_Excel_Files3[[#This Row],[Régions]]+Tableau_Lancer_la_requête_à_partir_de_Excel_Files3[[#This Row],[Départements]]+Tableau_Lancer_la_requête_à_partir_de_Excel_Files3[[#This Row],[''FEDER'']]</f>
        <v>20000</v>
      </c>
      <c r="L11" s="48">
        <f>Tableau_Lancer_la_requête_à_partir_de_Excel_Files3[[#This Row],[Aide Massif Obtenu]]/Tableau_Lancer_la_requête_à_partir_de_Excel_Files3[[#This Row],[Coût total]]</f>
        <v>0.21297131617125281</v>
      </c>
      <c r="M11" s="49">
        <f>Tableau_Lancer_la_requête_à_partir_de_Excel_Files3[[#This Row],[''FNADT'']]+Tableau_Lancer_la_requête_à_partir_de_Excel_Files3[[#This Row],[''Agriculture'']]</f>
        <v>20000</v>
      </c>
      <c r="N11" s="47">
        <v>20000</v>
      </c>
      <c r="O11" s="47"/>
      <c r="P11" s="47">
        <f>Tableau_Lancer_la_requête_à_partir_de_Excel_Files3[[#This Row],[''ALPC'']]+Tableau_Lancer_la_requête_à_partir_de_Excel_Files3[[#This Row],[''AURA'']]+Tableau_Lancer_la_requête_à_partir_de_Excel_Files3[[#This Row],[''BFC'']]+Tableau_Lancer_la_requête_à_partir_de_Excel_Files3[[#This Row],[''LRMP'']]</f>
        <v>0</v>
      </c>
      <c r="Q11" s="47"/>
      <c r="R11" s="47"/>
      <c r="S11" s="47"/>
      <c r="T11" s="47"/>
      <c r="U11" s="47">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1" s="47"/>
      <c r="W11" s="47"/>
      <c r="X11" s="47"/>
      <c r="Y11" s="47"/>
      <c r="Z11" s="47"/>
      <c r="AA11" s="47"/>
      <c r="AB11" s="47"/>
      <c r="AC11" s="47"/>
      <c r="AD11" s="47"/>
      <c r="AE11" s="47"/>
      <c r="AF11" s="47"/>
      <c r="AG11" s="47"/>
      <c r="AH11" s="47"/>
      <c r="AI11" s="47"/>
      <c r="AJ11" s="47"/>
      <c r="AK11" s="47"/>
      <c r="AL11" s="47"/>
      <c r="AM11" s="47"/>
      <c r="AN11" s="47"/>
      <c r="AO11" s="47"/>
      <c r="AP11" s="47"/>
      <c r="AQ11" s="47"/>
      <c r="AR11" s="47">
        <v>0</v>
      </c>
      <c r="AS11" s="47">
        <v>0</v>
      </c>
      <c r="AT11" s="50" t="s">
        <v>77</v>
      </c>
      <c r="AU11" s="37"/>
      <c r="AV11" s="56" t="s">
        <v>323</v>
      </c>
      <c r="AW11" s="40" t="s">
        <v>279</v>
      </c>
      <c r="AX11" s="40" t="s">
        <v>293</v>
      </c>
      <c r="AY11" s="49">
        <f t="shared" si="0"/>
        <v>0</v>
      </c>
      <c r="AZ11" s="49"/>
      <c r="BA11" s="49"/>
      <c r="BB11" s="49">
        <f t="shared" si="1"/>
        <v>-8756</v>
      </c>
      <c r="BC11" s="49"/>
      <c r="BD11" s="49"/>
      <c r="BE11" s="49"/>
      <c r="BF11" s="49">
        <v>-8756</v>
      </c>
      <c r="BG11" s="49">
        <f t="shared" si="2"/>
        <v>0</v>
      </c>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37" t="str">
        <f>VLOOKUP(Tableau3[[#This Row],[NumSym]],Tableau_Lancer_la_requête_à_partir_de_Excel_Files3[[ID_Synergie]:[Avis Prog]],44)</f>
        <v>1-Favorable</v>
      </c>
      <c r="CM11" s="37"/>
      <c r="CN11" s="37"/>
      <c r="CO11" s="37"/>
      <c r="CP11" s="37"/>
      <c r="CQ11" s="37"/>
      <c r="CR11" s="37"/>
      <c r="CS11" s="37"/>
      <c r="CT11" s="37"/>
      <c r="CU11" s="37"/>
      <c r="CV11" s="37"/>
      <c r="CW11" s="37"/>
      <c r="CX11" s="37"/>
      <c r="CY11" s="37"/>
      <c r="CZ11" s="37"/>
      <c r="DA11" s="37"/>
      <c r="DB11" s="37"/>
      <c r="DC11" s="37"/>
      <c r="DD11" s="37"/>
      <c r="DE11" s="37"/>
      <c r="DF11" s="37"/>
      <c r="DG11" s="37"/>
      <c r="DH11" s="37"/>
    </row>
    <row r="12" spans="1:112" ht="75" x14ac:dyDescent="0.25">
      <c r="A12" s="43" t="s">
        <v>5</v>
      </c>
      <c r="B12" s="45" t="s">
        <v>397</v>
      </c>
      <c r="C12" s="45" t="s">
        <v>397</v>
      </c>
      <c r="D12" s="46" t="s">
        <v>398</v>
      </c>
      <c r="E12" s="46" t="s">
        <v>399</v>
      </c>
      <c r="F12" s="47">
        <v>84000</v>
      </c>
      <c r="G12" s="47">
        <v>60266.58</v>
      </c>
      <c r="H12" s="47">
        <f>IF(Tableau_Lancer_la_requête_à_partir_de_Excel_Files3[[#This Row],[Coût total Eligible FEDER]]="",Tableau_Lancer_la_requête_à_partir_de_Excel_Files3[[#This Row],[Coût total déposé]],Tableau_Lancer_la_requête_à_partir_de_Excel_Files3[[#This Row],[Coût total Eligible FEDER]])</f>
        <v>60266.58</v>
      </c>
      <c r="I12" s="47">
        <f>Tableau_Lancer_la_requête_à_partir_de_Excel_Files3[[#This Row],[Aide Massif Obtenu]]+Tableau_Lancer_la_requête_à_partir_de_Excel_Files3[[#This Row],[''Autre Public'']]</f>
        <v>47856.75</v>
      </c>
      <c r="J12" s="48">
        <f>Tableau_Lancer_la_requête_à_partir_de_Excel_Files3[[#This Row],[Aide Publique Obtenue]]/Tableau_Lancer_la_requête_à_partir_de_Excel_Files3[[#This Row],[Coût total]]</f>
        <v>0.79408438308594909</v>
      </c>
      <c r="K12" s="47">
        <f>Tableau_Lancer_la_requête_à_partir_de_Excel_Files3[[#This Row],[Etat]]+Tableau_Lancer_la_requête_à_partir_de_Excel_Files3[[#This Row],[Régions]]+Tableau_Lancer_la_requête_à_partir_de_Excel_Files3[[#This Row],[Départements]]+Tableau_Lancer_la_requête_à_partir_de_Excel_Files3[[#This Row],[''FEDER'']]</f>
        <v>37686.75</v>
      </c>
      <c r="L12" s="48">
        <f>Tableau_Lancer_la_requête_à_partir_de_Excel_Files3[[#This Row],[Aide Massif Obtenu]]/Tableau_Lancer_la_requête_à_partir_de_Excel_Files3[[#This Row],[Coût total]]</f>
        <v>0.62533414041413993</v>
      </c>
      <c r="M12" s="49">
        <f>Tableau_Lancer_la_requête_à_partir_de_Excel_Files3[[#This Row],[''FNADT'']]+Tableau_Lancer_la_requête_à_partir_de_Excel_Files3[[#This Row],[''Agriculture'']]</f>
        <v>0</v>
      </c>
      <c r="N12" s="47"/>
      <c r="O12" s="47"/>
      <c r="P12" s="49">
        <f>Tableau_Lancer_la_requête_à_partir_de_Excel_Files3[[#This Row],[''ALPC'']]+Tableau_Lancer_la_requête_à_partir_de_Excel_Files3[[#This Row],[''AURA'']]+Tableau_Lancer_la_requête_à_partir_de_Excel_Files3[[#This Row],[''BFC'']]+Tableau_Lancer_la_requête_à_partir_de_Excel_Files3[[#This Row],[''LRMP'']]</f>
        <v>6500</v>
      </c>
      <c r="Q12" s="47"/>
      <c r="R12" s="47"/>
      <c r="S12" s="47"/>
      <c r="T12" s="47">
        <v>6500</v>
      </c>
      <c r="U12"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1053.75</v>
      </c>
      <c r="V12" s="47"/>
      <c r="W12" s="47"/>
      <c r="X12" s="47"/>
      <c r="Y12" s="47"/>
      <c r="Z12" s="47"/>
      <c r="AA12" s="47"/>
      <c r="AB12" s="47"/>
      <c r="AC12" s="47"/>
      <c r="AD12" s="47"/>
      <c r="AE12" s="47"/>
      <c r="AF12" s="47"/>
      <c r="AG12" s="47"/>
      <c r="AH12" s="47"/>
      <c r="AI12" s="47">
        <v>1053.75</v>
      </c>
      <c r="AJ12" s="47"/>
      <c r="AK12" s="47"/>
      <c r="AL12" s="47"/>
      <c r="AM12" s="47"/>
      <c r="AN12" s="47"/>
      <c r="AO12" s="47"/>
      <c r="AP12" s="47"/>
      <c r="AQ12" s="47"/>
      <c r="AR12" s="47">
        <v>30133</v>
      </c>
      <c r="AS12" s="47">
        <v>10170</v>
      </c>
      <c r="AT12" s="50" t="s">
        <v>77</v>
      </c>
      <c r="AU12" s="37"/>
      <c r="AV12" s="57" t="s">
        <v>355</v>
      </c>
      <c r="AW12" s="40" t="s">
        <v>397</v>
      </c>
      <c r="AX12" s="40" t="s">
        <v>335</v>
      </c>
      <c r="AY12" s="49">
        <f t="shared" si="0"/>
        <v>-38026</v>
      </c>
      <c r="AZ12" s="49">
        <v>-38026</v>
      </c>
      <c r="BA12" s="49"/>
      <c r="BB12" s="49">
        <f t="shared" si="1"/>
        <v>0</v>
      </c>
      <c r="BC12" s="49"/>
      <c r="BD12" s="49"/>
      <c r="BE12" s="49"/>
      <c r="BF12" s="49"/>
      <c r="BG12" s="49">
        <f t="shared" si="2"/>
        <v>0</v>
      </c>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37" t="str">
        <f>VLOOKUP(Tableau3[[#This Row],[NumSym]],Tableau_Lancer_la_requête_à_partir_de_Excel_Files3[[ID_Synergie]:[Avis Prog]],44)</f>
        <v>1-Favorable</v>
      </c>
      <c r="CM12" s="37"/>
      <c r="CN12" s="37"/>
      <c r="CO12" s="37"/>
      <c r="CP12" s="37"/>
      <c r="CQ12" s="37"/>
      <c r="CR12" s="37"/>
      <c r="CS12" s="37"/>
      <c r="CT12" s="37"/>
      <c r="CU12" s="37"/>
      <c r="CV12" s="37"/>
      <c r="CW12" s="37"/>
      <c r="CX12" s="37"/>
      <c r="CY12" s="37"/>
      <c r="CZ12" s="37"/>
      <c r="DA12" s="37"/>
      <c r="DB12" s="37"/>
      <c r="DC12" s="37"/>
      <c r="DD12" s="37"/>
      <c r="DE12" s="37"/>
      <c r="DF12" s="37"/>
      <c r="DG12" s="37"/>
      <c r="DH12" s="37"/>
    </row>
    <row r="13" spans="1:112" ht="75" x14ac:dyDescent="0.25">
      <c r="A13" s="43" t="s">
        <v>5</v>
      </c>
      <c r="B13" s="45" t="s">
        <v>400</v>
      </c>
      <c r="C13" s="45" t="s">
        <v>400</v>
      </c>
      <c r="D13" s="46" t="s">
        <v>401</v>
      </c>
      <c r="E13" s="46" t="s">
        <v>402</v>
      </c>
      <c r="F13" s="47">
        <v>329512.9916666667</v>
      </c>
      <c r="G13" s="47">
        <v>330859.93</v>
      </c>
      <c r="H13" s="47">
        <f>IF(Tableau_Lancer_la_requête_à_partir_de_Excel_Files3[[#This Row],[Coût total Eligible FEDER]]="",Tableau_Lancer_la_requête_à_partir_de_Excel_Files3[[#This Row],[Coût total déposé]],Tableau_Lancer_la_requête_à_partir_de_Excel_Files3[[#This Row],[Coût total Eligible FEDER]])</f>
        <v>330859.93</v>
      </c>
      <c r="I13" s="47">
        <f>Tableau_Lancer_la_requête_à_partir_de_Excel_Files3[[#This Row],[Aide Massif Obtenu]]+Tableau_Lancer_la_requête_à_partir_de_Excel_Files3[[#This Row],[''Autre Public'']]</f>
        <v>198515</v>
      </c>
      <c r="J13" s="48">
        <f>Tableau_Lancer_la_requête_à_partir_de_Excel_Files3[[#This Row],[Aide Publique Obtenue]]/Tableau_Lancer_la_requête_à_partir_de_Excel_Files3[[#This Row],[Coût total]]</f>
        <v>0.59999710451489241</v>
      </c>
      <c r="K13"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198515</v>
      </c>
      <c r="L13" s="48">
        <f>Tableau_Lancer_la_requête_à_partir_de_Excel_Files3[[#This Row],[Aide Massif Obtenu]]/Tableau_Lancer_la_requête_à_partir_de_Excel_Files3[[#This Row],[Coût total]]</f>
        <v>0.59999710451489241</v>
      </c>
      <c r="M13" s="49">
        <f>Tableau_Lancer_la_requête_à_partir_de_Excel_Files3[[#This Row],[''FNADT'']]+Tableau_Lancer_la_requête_à_partir_de_Excel_Files3[[#This Row],[''Agriculture'']]</f>
        <v>0</v>
      </c>
      <c r="N13" s="47"/>
      <c r="O13" s="47"/>
      <c r="P13" s="47">
        <f>Tableau_Lancer_la_requête_à_partir_de_Excel_Files3[[#This Row],[''ALPC'']]+Tableau_Lancer_la_requête_à_partir_de_Excel_Files3[[#This Row],[''AURA'']]+Tableau_Lancer_la_requête_à_partir_de_Excel_Files3[[#This Row],[''BFC'']]+Tableau_Lancer_la_requête_à_partir_de_Excel_Files3[[#This Row],[''LRMP'']]</f>
        <v>0</v>
      </c>
      <c r="Q13" s="47"/>
      <c r="R13" s="47"/>
      <c r="S13" s="47"/>
      <c r="T13" s="47"/>
      <c r="U13" s="47">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3" s="47"/>
      <c r="W13" s="47"/>
      <c r="X13" s="47"/>
      <c r="Y13" s="47"/>
      <c r="Z13" s="47"/>
      <c r="AA13" s="47"/>
      <c r="AB13" s="47"/>
      <c r="AC13" s="47"/>
      <c r="AD13" s="47"/>
      <c r="AE13" s="47"/>
      <c r="AF13" s="47"/>
      <c r="AG13" s="47"/>
      <c r="AH13" s="47"/>
      <c r="AI13" s="47"/>
      <c r="AJ13" s="47"/>
      <c r="AK13" s="47"/>
      <c r="AL13" s="47"/>
      <c r="AM13" s="47"/>
      <c r="AN13" s="47"/>
      <c r="AO13" s="47"/>
      <c r="AP13" s="47"/>
      <c r="AQ13" s="47"/>
      <c r="AR13" s="47">
        <v>198515</v>
      </c>
      <c r="AS13" s="47">
        <v>0</v>
      </c>
      <c r="AT13" s="50" t="s">
        <v>77</v>
      </c>
      <c r="AU13" s="37"/>
      <c r="AV13" s="56" t="s">
        <v>355</v>
      </c>
      <c r="AW13" s="40" t="s">
        <v>400</v>
      </c>
      <c r="AX13" s="40" t="s">
        <v>282</v>
      </c>
      <c r="AY13" s="49">
        <f t="shared" si="0"/>
        <v>-2400</v>
      </c>
      <c r="AZ13" s="49">
        <v>-2400</v>
      </c>
      <c r="BA13" s="49"/>
      <c r="BB13" s="49">
        <f t="shared" si="1"/>
        <v>0</v>
      </c>
      <c r="BC13" s="49"/>
      <c r="BD13" s="49"/>
      <c r="BE13" s="49"/>
      <c r="BF13" s="49"/>
      <c r="BG13" s="49">
        <f t="shared" si="2"/>
        <v>0</v>
      </c>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37" t="str">
        <f>VLOOKUP(Tableau3[[#This Row],[NumSym]],Tableau_Lancer_la_requête_à_partir_de_Excel_Files3[[ID_Synergie]:[Avis Prog]],44)</f>
        <v>1-Favorable</v>
      </c>
      <c r="CM13" s="37"/>
      <c r="CN13" s="37"/>
      <c r="CO13" s="37"/>
      <c r="CP13" s="37"/>
      <c r="CQ13" s="37"/>
      <c r="CR13" s="37"/>
      <c r="CS13" s="37"/>
      <c r="CT13" s="37"/>
      <c r="CU13" s="37"/>
      <c r="CV13" s="37"/>
      <c r="CW13" s="37"/>
      <c r="CX13" s="37"/>
      <c r="CY13" s="37"/>
      <c r="CZ13" s="37"/>
      <c r="DA13" s="37"/>
      <c r="DB13" s="37"/>
      <c r="DC13" s="37"/>
      <c r="DD13" s="37"/>
      <c r="DE13" s="37"/>
      <c r="DF13" s="37"/>
      <c r="DG13" s="37"/>
      <c r="DH13" s="37"/>
    </row>
    <row r="14" spans="1:112" ht="45" x14ac:dyDescent="0.25">
      <c r="A14" s="43" t="s">
        <v>4</v>
      </c>
      <c r="B14" s="45" t="s">
        <v>286</v>
      </c>
      <c r="C14" s="45" t="s">
        <v>286</v>
      </c>
      <c r="D14" s="46" t="s">
        <v>287</v>
      </c>
      <c r="E14" s="46" t="s">
        <v>288</v>
      </c>
      <c r="F14" s="47">
        <v>200731.84</v>
      </c>
      <c r="G14" s="47"/>
      <c r="H14" s="47">
        <f>IF(Tableau_Lancer_la_requête_à_partir_de_Excel_Files3[[#This Row],[Coût total Eligible FEDER]]="",Tableau_Lancer_la_requête_à_partir_de_Excel_Files3[[#This Row],[Coût total déposé]],Tableau_Lancer_la_requête_à_partir_de_Excel_Files3[[#This Row],[Coût total Eligible FEDER]])</f>
        <v>200731.84</v>
      </c>
      <c r="I14" s="47">
        <f>Tableau_Lancer_la_requête_à_partir_de_Excel_Files3[[#This Row],[Aide Massif Obtenu]]+Tableau_Lancer_la_requête_à_partir_de_Excel_Files3[[#This Row],[''Autre Public'']]</f>
        <v>99789</v>
      </c>
      <c r="J14" s="48">
        <f>Tableau_Lancer_la_requête_à_partir_de_Excel_Files3[[#This Row],[Aide Publique Obtenue]]/Tableau_Lancer_la_requête_à_partir_de_Excel_Files3[[#This Row],[Coût total]]</f>
        <v>0.49712591684508051</v>
      </c>
      <c r="K14" s="47">
        <f>Tableau_Lancer_la_requête_à_partir_de_Excel_Files3[[#This Row],[Etat]]+Tableau_Lancer_la_requête_à_partir_de_Excel_Files3[[#This Row],[Régions]]+Tableau_Lancer_la_requête_à_partir_de_Excel_Files3[[#This Row],[Départements]]+Tableau_Lancer_la_requête_à_partir_de_Excel_Files3[[#This Row],[''FEDER'']]</f>
        <v>99789</v>
      </c>
      <c r="L14" s="48">
        <f>Tableau_Lancer_la_requête_à_partir_de_Excel_Files3[[#This Row],[Aide Massif Obtenu]]/Tableau_Lancer_la_requête_à_partir_de_Excel_Files3[[#This Row],[Coût total]]</f>
        <v>0.49712591684508051</v>
      </c>
      <c r="M14" s="49">
        <f>Tableau_Lancer_la_requête_à_partir_de_Excel_Files3[[#This Row],[''FNADT'']]+Tableau_Lancer_la_requête_à_partir_de_Excel_Files3[[#This Row],[''Agriculture'']]</f>
        <v>51000</v>
      </c>
      <c r="N14" s="47">
        <v>51000</v>
      </c>
      <c r="O14" s="47"/>
      <c r="P14" s="49">
        <f>Tableau_Lancer_la_requête_à_partir_de_Excel_Files3[[#This Row],[''ALPC'']]+Tableau_Lancer_la_requête_à_partir_de_Excel_Files3[[#This Row],[''AURA'']]+Tableau_Lancer_la_requête_à_partir_de_Excel_Files3[[#This Row],[''BFC'']]+Tableau_Lancer_la_requête_à_partir_de_Excel_Files3[[#This Row],[''LRMP'']]</f>
        <v>42500</v>
      </c>
      <c r="Q14" s="47">
        <v>17500</v>
      </c>
      <c r="R14" s="47">
        <v>25000</v>
      </c>
      <c r="S14" s="47"/>
      <c r="T14" s="47"/>
      <c r="U14"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6289</v>
      </c>
      <c r="V14" s="47"/>
      <c r="W14" s="47">
        <v>6289</v>
      </c>
      <c r="X14" s="47"/>
      <c r="Y14" s="47"/>
      <c r="Z14" s="47"/>
      <c r="AA14" s="47"/>
      <c r="AB14" s="47"/>
      <c r="AC14" s="47"/>
      <c r="AD14" s="47"/>
      <c r="AE14" s="47"/>
      <c r="AF14" s="47"/>
      <c r="AG14" s="47"/>
      <c r="AH14" s="47"/>
      <c r="AI14" s="47"/>
      <c r="AJ14" s="47"/>
      <c r="AK14" s="47"/>
      <c r="AL14" s="47"/>
      <c r="AM14" s="47"/>
      <c r="AN14" s="47"/>
      <c r="AO14" s="47"/>
      <c r="AP14" s="47"/>
      <c r="AQ14" s="47"/>
      <c r="AR14" s="47">
        <v>0</v>
      </c>
      <c r="AS14" s="47">
        <v>0</v>
      </c>
      <c r="AT14" s="47" t="s">
        <v>77</v>
      </c>
      <c r="AU14" s="37"/>
      <c r="AV14" s="55" t="s">
        <v>325</v>
      </c>
      <c r="AW14" s="40" t="s">
        <v>286</v>
      </c>
      <c r="AX14" s="40"/>
      <c r="AY14" s="49">
        <f t="shared" si="0"/>
        <v>0</v>
      </c>
      <c r="AZ14" s="47"/>
      <c r="BA14" s="47"/>
      <c r="BB14" s="49">
        <f t="shared" si="1"/>
        <v>0</v>
      </c>
      <c r="BC14" s="47"/>
      <c r="BD14" s="47"/>
      <c r="BE14" s="47"/>
      <c r="BF14" s="47"/>
      <c r="BG14" s="49">
        <f t="shared" si="2"/>
        <v>0</v>
      </c>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37" t="e">
        <f>VLOOKUP(Tableau3[[#This Row],[NumSym]],Tableau_Lancer_la_requête_à_partir_de_Excel_Files3[[ID_Synergie]:[Avis Prog]],44)</f>
        <v>#N/A</v>
      </c>
      <c r="CM14" s="37"/>
      <c r="CN14" s="37"/>
      <c r="CO14" s="37"/>
      <c r="CP14" s="37"/>
      <c r="CQ14" s="37"/>
      <c r="CR14" s="37"/>
      <c r="CS14" s="37"/>
      <c r="CT14" s="37"/>
      <c r="CU14" s="37"/>
      <c r="CV14" s="37"/>
      <c r="CW14" s="37"/>
      <c r="CX14" s="37"/>
      <c r="CY14" s="37"/>
      <c r="CZ14" s="37"/>
      <c r="DA14" s="37"/>
      <c r="DB14" s="37"/>
      <c r="DC14" s="37"/>
      <c r="DD14" s="37"/>
      <c r="DE14" s="37"/>
      <c r="DF14" s="37"/>
      <c r="DG14" s="37"/>
      <c r="DH14" s="37"/>
    </row>
    <row r="15" spans="1:112" ht="90" x14ac:dyDescent="0.25">
      <c r="A15" s="43" t="s">
        <v>5</v>
      </c>
      <c r="B15" s="45" t="s">
        <v>296</v>
      </c>
      <c r="C15" s="45" t="s">
        <v>296</v>
      </c>
      <c r="D15" s="46" t="s">
        <v>178</v>
      </c>
      <c r="E15" s="46" t="s">
        <v>297</v>
      </c>
      <c r="F15" s="47">
        <v>199703.22</v>
      </c>
      <c r="G15" s="47">
        <v>178308.45</v>
      </c>
      <c r="H15" s="47">
        <f>IF(Tableau_Lancer_la_requête_à_partir_de_Excel_Files3[[#This Row],[Coût total Eligible FEDER]]="",Tableau_Lancer_la_requête_à_partir_de_Excel_Files3[[#This Row],[Coût total déposé]],Tableau_Lancer_la_requête_à_partir_de_Excel_Files3[[#This Row],[Coût total Eligible FEDER]])</f>
        <v>178308.45</v>
      </c>
      <c r="I15" s="47">
        <f>Tableau_Lancer_la_requête_à_partir_de_Excel_Files3[[#This Row],[Aide Massif Obtenu]]+Tableau_Lancer_la_requête_à_partir_de_Excel_Files3[[#This Row],[''Autre Public'']]</f>
        <v>124815.69</v>
      </c>
      <c r="J15" s="48">
        <f>Tableau_Lancer_la_requête_à_partir_de_Excel_Files3[[#This Row],[Aide Publique Obtenue]]/Tableau_Lancer_la_requête_à_partir_de_Excel_Files3[[#This Row],[Coût total]]</f>
        <v>0.69999873814168645</v>
      </c>
      <c r="K15"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124815.69</v>
      </c>
      <c r="L15" s="48">
        <f>Tableau_Lancer_la_requête_à_partir_de_Excel_Files3[[#This Row],[Aide Massif Obtenu]]/Tableau_Lancer_la_requête_à_partir_de_Excel_Files3[[#This Row],[Coût total]]</f>
        <v>0.69999873814168645</v>
      </c>
      <c r="M15" s="49">
        <f>Tableau_Lancer_la_requête_à_partir_de_Excel_Files3[[#This Row],[''FNADT'']]+Tableau_Lancer_la_requête_à_partir_de_Excel_Files3[[#This Row],[''Agriculture'']]</f>
        <v>35661.69</v>
      </c>
      <c r="N15" s="47">
        <v>35661.69</v>
      </c>
      <c r="O15" s="47"/>
      <c r="P15" s="49">
        <f>Tableau_Lancer_la_requête_à_partir_de_Excel_Files3[[#This Row],[''ALPC'']]+Tableau_Lancer_la_requête_à_partir_de_Excel_Files3[[#This Row],[''AURA'']]+Tableau_Lancer_la_requête_à_partir_de_Excel_Files3[[#This Row],[''BFC'']]+Tableau_Lancer_la_requête_à_partir_de_Excel_Files3[[#This Row],[''LRMP'']]</f>
        <v>0</v>
      </c>
      <c r="Q15" s="47"/>
      <c r="R15" s="47"/>
      <c r="S15" s="47"/>
      <c r="T15" s="47"/>
      <c r="U15"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5" s="47"/>
      <c r="W15" s="47"/>
      <c r="X15" s="47"/>
      <c r="Y15" s="47"/>
      <c r="Z15" s="47"/>
      <c r="AA15" s="47"/>
      <c r="AB15" s="47"/>
      <c r="AC15" s="47"/>
      <c r="AD15" s="47"/>
      <c r="AE15" s="47"/>
      <c r="AF15" s="47"/>
      <c r="AG15" s="47"/>
      <c r="AH15" s="47"/>
      <c r="AI15" s="47"/>
      <c r="AJ15" s="47"/>
      <c r="AK15" s="47"/>
      <c r="AL15" s="47"/>
      <c r="AM15" s="47"/>
      <c r="AN15" s="47"/>
      <c r="AO15" s="47"/>
      <c r="AP15" s="47"/>
      <c r="AQ15" s="47"/>
      <c r="AR15" s="47">
        <v>89154</v>
      </c>
      <c r="AS15" s="47">
        <v>0</v>
      </c>
      <c r="AT15" s="41" t="s">
        <v>77</v>
      </c>
      <c r="AV15" s="64" t="s">
        <v>327</v>
      </c>
      <c r="AW15" s="40" t="s">
        <v>296</v>
      </c>
      <c r="AX15" s="49"/>
      <c r="AY15" s="49">
        <f t="shared" si="0"/>
        <v>0</v>
      </c>
      <c r="BA15" s="49">
        <f t="shared" ref="BA15:BA23" si="3">SUM(BB15:BE15)</f>
        <v>0</v>
      </c>
      <c r="BB15" s="49">
        <f t="shared" si="1"/>
        <v>0</v>
      </c>
      <c r="BF15" s="49">
        <f t="shared" ref="BF15:BF23" si="4">SUM(BG15:CB15)</f>
        <v>0</v>
      </c>
      <c r="BG15" s="49">
        <f t="shared" si="2"/>
        <v>0</v>
      </c>
      <c r="CE15" s="37" t="e">
        <f>VLOOKUP(Tableau3[[#This Row],[NumSym]],Tableau_Lancer_la_requête_à_partir_de_Excel_Files3[[ID_Synergie]:[Avis Prog]],44)</f>
        <v>#N/A</v>
      </c>
      <c r="CM15" s="37"/>
      <c r="CN15" s="37"/>
      <c r="CO15" s="37"/>
      <c r="CP15" s="37"/>
      <c r="CQ15" s="37"/>
      <c r="CR15" s="37"/>
      <c r="CS15" s="37"/>
      <c r="CT15" s="37"/>
      <c r="CU15" s="37"/>
      <c r="CV15" s="37"/>
      <c r="CW15" s="37"/>
      <c r="CX15" s="37"/>
      <c r="CY15" s="37"/>
      <c r="CZ15" s="37"/>
      <c r="DA15" s="37"/>
      <c r="DB15" s="37"/>
      <c r="DC15" s="37"/>
      <c r="DD15" s="37"/>
      <c r="DE15" s="37"/>
      <c r="DF15" s="37"/>
      <c r="DG15" s="37"/>
      <c r="DH15" s="37"/>
    </row>
    <row r="16" spans="1:112" ht="90" x14ac:dyDescent="0.25">
      <c r="A16" s="43" t="s">
        <v>5</v>
      </c>
      <c r="B16" s="45" t="s">
        <v>298</v>
      </c>
      <c r="C16" s="45" t="s">
        <v>298</v>
      </c>
      <c r="D16" s="46" t="s">
        <v>182</v>
      </c>
      <c r="E16" s="46" t="s">
        <v>299</v>
      </c>
      <c r="F16" s="47">
        <v>325860.57928645902</v>
      </c>
      <c r="G16" s="47">
        <v>29951.95</v>
      </c>
      <c r="H16" s="47">
        <f>IF(Tableau_Lancer_la_requête_à_partir_de_Excel_Files3[[#This Row],[Coût total Eligible FEDER]]="",Tableau_Lancer_la_requête_à_partir_de_Excel_Files3[[#This Row],[Coût total déposé]],Tableau_Lancer_la_requête_à_partir_de_Excel_Files3[[#This Row],[Coût total Eligible FEDER]])</f>
        <v>29951.95</v>
      </c>
      <c r="I16" s="47">
        <f>Tableau_Lancer_la_requête_à_partir_de_Excel_Files3[[#This Row],[Aide Massif Obtenu]]+Tableau_Lancer_la_requête_à_partir_de_Excel_Files3[[#This Row],[''Autre Public'']]</f>
        <v>20966.39</v>
      </c>
      <c r="J16" s="48">
        <f>Tableau_Lancer_la_requête_à_partir_de_Excel_Files3[[#This Row],[Aide Publique Obtenue]]/Tableau_Lancer_la_requête_à_partir_de_Excel_Files3[[#This Row],[Coût total]]</f>
        <v>0.70000083467019669</v>
      </c>
      <c r="K16" s="47">
        <f>Tableau_Lancer_la_requête_à_partir_de_Excel_Files3[[#This Row],[Etat]]+Tableau_Lancer_la_requête_à_partir_de_Excel_Files3[[#This Row],[Régions]]+Tableau_Lancer_la_requête_à_partir_de_Excel_Files3[[#This Row],[Départements]]+Tableau_Lancer_la_requête_à_partir_de_Excel_Files3[[#This Row],[''FEDER'']]</f>
        <v>20966.39</v>
      </c>
      <c r="L16" s="48">
        <f>Tableau_Lancer_la_requête_à_partir_de_Excel_Files3[[#This Row],[Aide Massif Obtenu]]/Tableau_Lancer_la_requête_à_partir_de_Excel_Files3[[#This Row],[Coût total]]</f>
        <v>0.70000083467019669</v>
      </c>
      <c r="M16" s="49">
        <f>Tableau_Lancer_la_requête_à_partir_de_Excel_Files3[[#This Row],[''FNADT'']]+Tableau_Lancer_la_requête_à_partir_de_Excel_Files3[[#This Row],[''Agriculture'']]</f>
        <v>5990.39</v>
      </c>
      <c r="N16" s="47">
        <v>5990.39</v>
      </c>
      <c r="O16" s="47"/>
      <c r="P16" s="49">
        <f>Tableau_Lancer_la_requête_à_partir_de_Excel_Files3[[#This Row],[''ALPC'']]+Tableau_Lancer_la_requête_à_partir_de_Excel_Files3[[#This Row],[''AURA'']]+Tableau_Lancer_la_requête_à_partir_de_Excel_Files3[[#This Row],[''BFC'']]+Tableau_Lancer_la_requête_à_partir_de_Excel_Files3[[#This Row],[''LRMP'']]</f>
        <v>0</v>
      </c>
      <c r="Q16" s="47"/>
      <c r="R16" s="47"/>
      <c r="S16" s="47"/>
      <c r="T16" s="47"/>
      <c r="U16"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6" s="47"/>
      <c r="W16" s="47"/>
      <c r="X16" s="47"/>
      <c r="Y16" s="47"/>
      <c r="Z16" s="47"/>
      <c r="AA16" s="47"/>
      <c r="AB16" s="47"/>
      <c r="AC16" s="47"/>
      <c r="AD16" s="47"/>
      <c r="AE16" s="47"/>
      <c r="AF16" s="47"/>
      <c r="AG16" s="47"/>
      <c r="AH16" s="47"/>
      <c r="AI16" s="47"/>
      <c r="AJ16" s="47"/>
      <c r="AK16" s="47"/>
      <c r="AL16" s="47"/>
      <c r="AM16" s="47"/>
      <c r="AN16" s="47"/>
      <c r="AO16" s="47"/>
      <c r="AP16" s="47"/>
      <c r="AQ16" s="47"/>
      <c r="AR16" s="47">
        <v>14976</v>
      </c>
      <c r="AS16" s="47">
        <v>0</v>
      </c>
      <c r="AT16" s="41" t="s">
        <v>77</v>
      </c>
      <c r="AV16" s="55" t="s">
        <v>327</v>
      </c>
      <c r="AW16" s="40" t="s">
        <v>298</v>
      </c>
      <c r="AX16" s="49"/>
      <c r="AY16" s="49">
        <f t="shared" si="0"/>
        <v>0</v>
      </c>
      <c r="BA16" s="49">
        <f t="shared" si="3"/>
        <v>0</v>
      </c>
      <c r="BB16" s="49">
        <f t="shared" si="1"/>
        <v>0</v>
      </c>
      <c r="BF16" s="49">
        <f t="shared" si="4"/>
        <v>0</v>
      </c>
      <c r="BG16" s="49">
        <f t="shared" si="2"/>
        <v>0</v>
      </c>
      <c r="CE16" s="37" t="e">
        <f>VLOOKUP(Tableau3[[#This Row],[NumSym]],Tableau_Lancer_la_requête_à_partir_de_Excel_Files3[[ID_Synergie]:[Avis Prog]],44)</f>
        <v>#N/A</v>
      </c>
      <c r="CM16" s="37"/>
      <c r="CN16" s="37"/>
      <c r="CO16" s="37"/>
      <c r="CP16" s="37"/>
      <c r="CQ16" s="37"/>
      <c r="CR16" s="37"/>
      <c r="CS16" s="37"/>
      <c r="CT16" s="37"/>
      <c r="CU16" s="37"/>
      <c r="CV16" s="37"/>
      <c r="CW16" s="37"/>
      <c r="CX16" s="37"/>
      <c r="CY16" s="37"/>
      <c r="CZ16" s="37"/>
      <c r="DA16" s="37"/>
      <c r="DB16" s="37"/>
      <c r="DC16" s="37"/>
      <c r="DD16" s="37"/>
      <c r="DE16" s="37"/>
      <c r="DF16" s="37"/>
      <c r="DG16" s="37"/>
      <c r="DH16" s="37"/>
    </row>
    <row r="17" spans="1:112" ht="180" x14ac:dyDescent="0.25">
      <c r="A17" s="43" t="s">
        <v>5</v>
      </c>
      <c r="B17" s="45" t="s">
        <v>300</v>
      </c>
      <c r="C17" s="45" t="s">
        <v>300</v>
      </c>
      <c r="D17" s="46" t="s">
        <v>301</v>
      </c>
      <c r="E17" s="46" t="s">
        <v>299</v>
      </c>
      <c r="F17" s="47">
        <v>136518.49699999997</v>
      </c>
      <c r="G17" s="47">
        <v>143108.35</v>
      </c>
      <c r="H17" s="47">
        <f>IF(Tableau_Lancer_la_requête_à_partir_de_Excel_Files3[[#This Row],[Coût total Eligible FEDER]]="",Tableau_Lancer_la_requête_à_partir_de_Excel_Files3[[#This Row],[Coût total déposé]],Tableau_Lancer_la_requête_à_partir_de_Excel_Files3[[#This Row],[Coût total Eligible FEDER]])</f>
        <v>143108.35</v>
      </c>
      <c r="I17" s="47">
        <f>Tableau_Lancer_la_requête_à_partir_de_Excel_Files3[[#This Row],[Aide Massif Obtenu]]+Tableau_Lancer_la_requête_à_partir_de_Excel_Files3[[#This Row],[''Autre Public'']]</f>
        <v>100175.67</v>
      </c>
      <c r="J17" s="48">
        <f>Tableau_Lancer_la_requête_à_partir_de_Excel_Files3[[#This Row],[Aide Publique Obtenue]]/Tableau_Lancer_la_requête_à_partir_de_Excel_Files3[[#This Row],[Coût total]]</f>
        <v>0.69999877715032</v>
      </c>
      <c r="K17"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100175.67</v>
      </c>
      <c r="L17" s="48">
        <f>Tableau_Lancer_la_requête_à_partir_de_Excel_Files3[[#This Row],[Aide Massif Obtenu]]/Tableau_Lancer_la_requête_à_partir_de_Excel_Files3[[#This Row],[Coût total]]</f>
        <v>0.69999877715032</v>
      </c>
      <c r="M17" s="49">
        <f>Tableau_Lancer_la_requête_à_partir_de_Excel_Files3[[#This Row],[''FNADT'']]+Tableau_Lancer_la_requête_à_partir_de_Excel_Files3[[#This Row],[''Agriculture'']]</f>
        <v>28621.67</v>
      </c>
      <c r="N17" s="47">
        <v>28621.67</v>
      </c>
      <c r="O17" s="47"/>
      <c r="P17" s="49">
        <f>Tableau_Lancer_la_requête_à_partir_de_Excel_Files3[[#This Row],[''ALPC'']]+Tableau_Lancer_la_requête_à_partir_de_Excel_Files3[[#This Row],[''AURA'']]+Tableau_Lancer_la_requête_à_partir_de_Excel_Files3[[#This Row],[''BFC'']]+Tableau_Lancer_la_requête_à_partir_de_Excel_Files3[[#This Row],[''LRMP'']]</f>
        <v>0</v>
      </c>
      <c r="Q17" s="47"/>
      <c r="R17" s="47"/>
      <c r="S17" s="47"/>
      <c r="T17" s="47"/>
      <c r="U17"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7" s="47"/>
      <c r="W17" s="47"/>
      <c r="X17" s="47"/>
      <c r="Y17" s="47"/>
      <c r="Z17" s="47"/>
      <c r="AA17" s="47"/>
      <c r="AB17" s="47"/>
      <c r="AC17" s="47"/>
      <c r="AD17" s="47"/>
      <c r="AE17" s="47"/>
      <c r="AF17" s="47"/>
      <c r="AG17" s="47"/>
      <c r="AH17" s="47"/>
      <c r="AI17" s="47"/>
      <c r="AJ17" s="47"/>
      <c r="AK17" s="47"/>
      <c r="AL17" s="47"/>
      <c r="AM17" s="47"/>
      <c r="AN17" s="47"/>
      <c r="AO17" s="47"/>
      <c r="AP17" s="47"/>
      <c r="AQ17" s="47"/>
      <c r="AR17" s="47">
        <v>71554</v>
      </c>
      <c r="AS17" s="47">
        <v>0</v>
      </c>
      <c r="AT17" s="41" t="s">
        <v>77</v>
      </c>
      <c r="AV17" s="64" t="s">
        <v>356</v>
      </c>
      <c r="AW17" s="40" t="s">
        <v>300</v>
      </c>
      <c r="AX17" s="49"/>
      <c r="AY17" s="49">
        <f t="shared" si="0"/>
        <v>0</v>
      </c>
      <c r="BA17" s="49">
        <f t="shared" si="3"/>
        <v>0</v>
      </c>
      <c r="BB17" s="49">
        <f t="shared" si="1"/>
        <v>0</v>
      </c>
      <c r="BF17" s="49">
        <f t="shared" si="4"/>
        <v>0</v>
      </c>
      <c r="BG17" s="49">
        <f t="shared" si="2"/>
        <v>0</v>
      </c>
      <c r="CE17" s="37" t="e">
        <f>VLOOKUP(Tableau3[[#This Row],[NumSym]],Tableau_Lancer_la_requête_à_partir_de_Excel_Files3[[ID_Synergie]:[Avis Prog]],44)</f>
        <v>#N/A</v>
      </c>
      <c r="CM17" s="37"/>
      <c r="CN17" s="37"/>
      <c r="CO17" s="37"/>
      <c r="CP17" s="37"/>
      <c r="CQ17" s="37"/>
      <c r="CR17" s="37"/>
      <c r="CS17" s="37"/>
      <c r="CT17" s="37"/>
      <c r="CU17" s="37"/>
      <c r="CV17" s="37"/>
      <c r="CW17" s="37"/>
      <c r="CX17" s="37"/>
      <c r="CY17" s="37"/>
      <c r="CZ17" s="37"/>
      <c r="DA17" s="37"/>
      <c r="DB17" s="37"/>
      <c r="DC17" s="37"/>
      <c r="DD17" s="37"/>
      <c r="DE17" s="37"/>
      <c r="DF17" s="37"/>
      <c r="DG17" s="37"/>
      <c r="DH17" s="37"/>
    </row>
    <row r="18" spans="1:112" ht="180" x14ac:dyDescent="0.25">
      <c r="A18" s="43" t="s">
        <v>5</v>
      </c>
      <c r="B18" s="45" t="s">
        <v>302</v>
      </c>
      <c r="C18" s="45" t="s">
        <v>302</v>
      </c>
      <c r="D18" s="46" t="s">
        <v>303</v>
      </c>
      <c r="E18" s="46" t="s">
        <v>299</v>
      </c>
      <c r="F18" s="47">
        <v>500093.6</v>
      </c>
      <c r="G18" s="47">
        <v>500093.6</v>
      </c>
      <c r="H18" s="47">
        <f>IF(Tableau_Lancer_la_requête_à_partir_de_Excel_Files3[[#This Row],[Coût total Eligible FEDER]]="",Tableau_Lancer_la_requête_à_partir_de_Excel_Files3[[#This Row],[Coût total déposé]],Tableau_Lancer_la_requête_à_partir_de_Excel_Files3[[#This Row],[Coût total Eligible FEDER]])</f>
        <v>500093.6</v>
      </c>
      <c r="I18" s="47">
        <f>Tableau_Lancer_la_requête_à_partir_de_Excel_Files3[[#This Row],[Aide Massif Obtenu]]+Tableau_Lancer_la_requête_à_partir_de_Excel_Files3[[#This Row],[''Autre Public'']]</f>
        <v>350065.72</v>
      </c>
      <c r="J18" s="48">
        <f>Tableau_Lancer_la_requête_à_partir_de_Excel_Files3[[#This Row],[Aide Publique Obtenue]]/Tableau_Lancer_la_requête_à_partir_de_Excel_Files3[[#This Row],[Coût total]]</f>
        <v>0.70000039992513396</v>
      </c>
      <c r="K18" s="47">
        <f>Tableau_Lancer_la_requête_à_partir_de_Excel_Files3[[#This Row],[Etat]]+Tableau_Lancer_la_requête_à_partir_de_Excel_Files3[[#This Row],[Régions]]+Tableau_Lancer_la_requête_à_partir_de_Excel_Files3[[#This Row],[Départements]]+Tableau_Lancer_la_requête_à_partir_de_Excel_Files3[[#This Row],[''FEDER'']]</f>
        <v>350065.72</v>
      </c>
      <c r="L18" s="48">
        <f>Tableau_Lancer_la_requête_à_partir_de_Excel_Files3[[#This Row],[Aide Massif Obtenu]]/Tableau_Lancer_la_requête_à_partir_de_Excel_Files3[[#This Row],[Coût total]]</f>
        <v>0.70000039992513396</v>
      </c>
      <c r="M18" s="49">
        <f>Tableau_Lancer_la_requête_à_partir_de_Excel_Files3[[#This Row],[''FNADT'']]+Tableau_Lancer_la_requête_à_partir_de_Excel_Files3[[#This Row],[''Agriculture'']]</f>
        <v>100018.72</v>
      </c>
      <c r="N18" s="47">
        <v>100018.72</v>
      </c>
      <c r="O18" s="47"/>
      <c r="P18" s="49">
        <f>Tableau_Lancer_la_requête_à_partir_de_Excel_Files3[[#This Row],[''ALPC'']]+Tableau_Lancer_la_requête_à_partir_de_Excel_Files3[[#This Row],[''AURA'']]+Tableau_Lancer_la_requête_à_partir_de_Excel_Files3[[#This Row],[''BFC'']]+Tableau_Lancer_la_requête_à_partir_de_Excel_Files3[[#This Row],[''LRMP'']]</f>
        <v>0</v>
      </c>
      <c r="Q18" s="47"/>
      <c r="R18" s="47"/>
      <c r="S18" s="47"/>
      <c r="T18" s="47"/>
      <c r="U18"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8" s="47"/>
      <c r="W18" s="47"/>
      <c r="X18" s="47"/>
      <c r="Y18" s="47"/>
      <c r="Z18" s="47"/>
      <c r="AA18" s="47"/>
      <c r="AB18" s="47"/>
      <c r="AC18" s="47"/>
      <c r="AD18" s="47"/>
      <c r="AE18" s="47"/>
      <c r="AF18" s="47"/>
      <c r="AG18" s="47"/>
      <c r="AH18" s="47"/>
      <c r="AI18" s="47"/>
      <c r="AJ18" s="47"/>
      <c r="AK18" s="47"/>
      <c r="AL18" s="47"/>
      <c r="AM18" s="47"/>
      <c r="AN18" s="47"/>
      <c r="AO18" s="47"/>
      <c r="AP18" s="47"/>
      <c r="AQ18" s="47"/>
      <c r="AR18" s="47">
        <v>250047</v>
      </c>
      <c r="AS18" s="47">
        <v>0</v>
      </c>
      <c r="AT18" s="41" t="s">
        <v>77</v>
      </c>
      <c r="AV18" s="55" t="s">
        <v>356</v>
      </c>
      <c r="AW18" s="40" t="s">
        <v>302</v>
      </c>
      <c r="AX18" s="49"/>
      <c r="AY18" s="49">
        <f t="shared" si="0"/>
        <v>0</v>
      </c>
      <c r="BA18" s="49">
        <f t="shared" si="3"/>
        <v>0</v>
      </c>
      <c r="BB18" s="49">
        <f t="shared" si="1"/>
        <v>0</v>
      </c>
      <c r="BF18" s="49">
        <f t="shared" si="4"/>
        <v>0</v>
      </c>
      <c r="BG18" s="49">
        <f t="shared" si="2"/>
        <v>0</v>
      </c>
      <c r="CE18" s="37" t="e">
        <f>VLOOKUP(Tableau3[[#This Row],[NumSym]],Tableau_Lancer_la_requête_à_partir_de_Excel_Files3[[ID_Synergie]:[Avis Prog]],44)</f>
        <v>#N/A</v>
      </c>
      <c r="CM18" s="37"/>
      <c r="CN18" s="37"/>
      <c r="CO18" s="37"/>
      <c r="CP18" s="37"/>
      <c r="CQ18" s="37"/>
      <c r="CR18" s="37"/>
      <c r="CS18" s="37"/>
      <c r="CT18" s="37"/>
      <c r="CU18" s="37"/>
      <c r="CV18" s="37"/>
      <c r="CW18" s="37"/>
      <c r="CX18" s="37"/>
      <c r="CY18" s="37"/>
      <c r="CZ18" s="37"/>
      <c r="DA18" s="37"/>
      <c r="DB18" s="37"/>
      <c r="DC18" s="37"/>
      <c r="DD18" s="37"/>
      <c r="DE18" s="37"/>
      <c r="DF18" s="37"/>
      <c r="DG18" s="37"/>
      <c r="DH18" s="37"/>
    </row>
    <row r="19" spans="1:112" ht="90" x14ac:dyDescent="0.25">
      <c r="A19" s="43" t="s">
        <v>5</v>
      </c>
      <c r="B19" s="45" t="s">
        <v>304</v>
      </c>
      <c r="C19" s="45" t="s">
        <v>304</v>
      </c>
      <c r="D19" s="46" t="s">
        <v>305</v>
      </c>
      <c r="E19" s="46" t="s">
        <v>299</v>
      </c>
      <c r="F19" s="47">
        <v>192427.82</v>
      </c>
      <c r="G19" s="47">
        <v>172475.92</v>
      </c>
      <c r="H19" s="47">
        <f>IF(Tableau_Lancer_la_requête_à_partir_de_Excel_Files3[[#This Row],[Coût total Eligible FEDER]]="",Tableau_Lancer_la_requête_à_partir_de_Excel_Files3[[#This Row],[Coût total déposé]],Tableau_Lancer_la_requête_à_partir_de_Excel_Files3[[#This Row],[Coût total Eligible FEDER]])</f>
        <v>172475.92</v>
      </c>
      <c r="I19" s="47">
        <f>Tableau_Lancer_la_requête_à_partir_de_Excel_Files3[[#This Row],[Aide Massif Obtenu]]+Tableau_Lancer_la_requête_à_partir_de_Excel_Files3[[#This Row],[''Autre Public'']]</f>
        <v>120733.18</v>
      </c>
      <c r="J19" s="48">
        <f>Tableau_Lancer_la_requête_à_partir_de_Excel_Files3[[#This Row],[Aide Publique Obtenue]]/Tableau_Lancer_la_requête_à_partir_de_Excel_Files3[[#This Row],[Coût total]]</f>
        <v>0.70000020872478885</v>
      </c>
      <c r="K19"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120733.18</v>
      </c>
      <c r="L19" s="48">
        <f>Tableau_Lancer_la_requête_à_partir_de_Excel_Files3[[#This Row],[Aide Massif Obtenu]]/Tableau_Lancer_la_requête_à_partir_de_Excel_Files3[[#This Row],[Coût total]]</f>
        <v>0.70000020872478885</v>
      </c>
      <c r="M19" s="49">
        <f>Tableau_Lancer_la_requête_à_partir_de_Excel_Files3[[#This Row],[''FNADT'']]+Tableau_Lancer_la_requête_à_partir_de_Excel_Files3[[#This Row],[''Agriculture'']]</f>
        <v>34495.18</v>
      </c>
      <c r="N19" s="47">
        <v>34495.18</v>
      </c>
      <c r="O19" s="47"/>
      <c r="P19" s="49">
        <f>Tableau_Lancer_la_requête_à_partir_de_Excel_Files3[[#This Row],[''ALPC'']]+Tableau_Lancer_la_requête_à_partir_de_Excel_Files3[[#This Row],[''AURA'']]+Tableau_Lancer_la_requête_à_partir_de_Excel_Files3[[#This Row],[''BFC'']]+Tableau_Lancer_la_requête_à_partir_de_Excel_Files3[[#This Row],[''LRMP'']]</f>
        <v>0</v>
      </c>
      <c r="Q19" s="47"/>
      <c r="R19" s="47"/>
      <c r="S19" s="47"/>
      <c r="T19" s="47"/>
      <c r="U19"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9" s="47"/>
      <c r="W19" s="47"/>
      <c r="X19" s="47"/>
      <c r="Y19" s="47"/>
      <c r="Z19" s="47"/>
      <c r="AA19" s="47"/>
      <c r="AB19" s="47"/>
      <c r="AC19" s="47"/>
      <c r="AD19" s="47"/>
      <c r="AE19" s="47"/>
      <c r="AF19" s="47"/>
      <c r="AG19" s="47"/>
      <c r="AH19" s="47"/>
      <c r="AI19" s="47"/>
      <c r="AJ19" s="47"/>
      <c r="AK19" s="47"/>
      <c r="AL19" s="47"/>
      <c r="AM19" s="47"/>
      <c r="AN19" s="47"/>
      <c r="AO19" s="47"/>
      <c r="AP19" s="47"/>
      <c r="AQ19" s="47"/>
      <c r="AR19" s="47">
        <v>86238</v>
      </c>
      <c r="AS19" s="47">
        <v>0</v>
      </c>
      <c r="AT19" s="41" t="s">
        <v>77</v>
      </c>
      <c r="AV19" s="64" t="s">
        <v>327</v>
      </c>
      <c r="AW19" s="40" t="s">
        <v>304</v>
      </c>
      <c r="AX19" s="49"/>
      <c r="AY19" s="49">
        <f t="shared" si="0"/>
        <v>0</v>
      </c>
      <c r="BA19" s="49">
        <f t="shared" si="3"/>
        <v>0</v>
      </c>
      <c r="BB19" s="49">
        <f t="shared" si="1"/>
        <v>0</v>
      </c>
      <c r="BF19" s="49">
        <f t="shared" si="4"/>
        <v>0</v>
      </c>
      <c r="BG19" s="49">
        <f t="shared" si="2"/>
        <v>0</v>
      </c>
      <c r="CE19" s="37" t="e">
        <f>VLOOKUP(Tableau3[[#This Row],[NumSym]],Tableau_Lancer_la_requête_à_partir_de_Excel_Files3[[ID_Synergie]:[Avis Prog]],44)</f>
        <v>#N/A</v>
      </c>
      <c r="CM19" s="37"/>
      <c r="CN19" s="37"/>
      <c r="CO19" s="37"/>
      <c r="CP19" s="37"/>
      <c r="CQ19" s="37"/>
      <c r="CR19" s="37"/>
      <c r="CS19" s="37"/>
      <c r="CT19" s="37"/>
      <c r="CU19" s="37"/>
      <c r="CV19" s="37"/>
      <c r="CW19" s="37"/>
      <c r="CX19" s="37"/>
      <c r="CY19" s="37"/>
      <c r="CZ19" s="37"/>
      <c r="DA19" s="37"/>
      <c r="DB19" s="37"/>
      <c r="DC19" s="37"/>
      <c r="DD19" s="37"/>
      <c r="DE19" s="37"/>
      <c r="DF19" s="37"/>
      <c r="DG19" s="37"/>
      <c r="DH19" s="37"/>
    </row>
    <row r="20" spans="1:112" ht="90" x14ac:dyDescent="0.25">
      <c r="A20" s="43" t="s">
        <v>5</v>
      </c>
      <c r="B20" s="45" t="s">
        <v>306</v>
      </c>
      <c r="C20" s="45" t="s">
        <v>306</v>
      </c>
      <c r="D20" s="46" t="s">
        <v>307</v>
      </c>
      <c r="E20" s="46" t="s">
        <v>299</v>
      </c>
      <c r="F20" s="47">
        <v>186336.74</v>
      </c>
      <c r="G20" s="47">
        <v>183186.38</v>
      </c>
      <c r="H20" s="47">
        <f>IF(Tableau_Lancer_la_requête_à_partir_de_Excel_Files3[[#This Row],[Coût total Eligible FEDER]]="",Tableau_Lancer_la_requête_à_partir_de_Excel_Files3[[#This Row],[Coût total déposé]],Tableau_Lancer_la_requête_à_partir_de_Excel_Files3[[#This Row],[Coût total Eligible FEDER]])</f>
        <v>183186.38</v>
      </c>
      <c r="I20" s="47">
        <f>Tableau_Lancer_la_requête_à_partir_de_Excel_Files3[[#This Row],[Aide Massif Obtenu]]+Tableau_Lancer_la_requête_à_partir_de_Excel_Files3[[#This Row],[''Autre Public'']]</f>
        <v>128230.28</v>
      </c>
      <c r="J20" s="48">
        <f>Tableau_Lancer_la_requête_à_partir_de_Excel_Files3[[#This Row],[Aide Publique Obtenue]]/Tableau_Lancer_la_requête_à_partir_de_Excel_Files3[[#This Row],[Coût total]]</f>
        <v>0.69999898464067034</v>
      </c>
      <c r="K20"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128230.28</v>
      </c>
      <c r="L20" s="48">
        <f>Tableau_Lancer_la_requête_à_partir_de_Excel_Files3[[#This Row],[Aide Massif Obtenu]]/Tableau_Lancer_la_requête_à_partir_de_Excel_Files3[[#This Row],[Coût total]]</f>
        <v>0.69999898464067034</v>
      </c>
      <c r="M20" s="49">
        <f>Tableau_Lancer_la_requête_à_partir_de_Excel_Files3[[#This Row],[''FNADT'']]+Tableau_Lancer_la_requête_à_partir_de_Excel_Files3[[#This Row],[''Agriculture'']]</f>
        <v>36637.279999999999</v>
      </c>
      <c r="N20" s="47">
        <v>36637.279999999999</v>
      </c>
      <c r="O20" s="47"/>
      <c r="P20" s="49">
        <f>Tableau_Lancer_la_requête_à_partir_de_Excel_Files3[[#This Row],[''ALPC'']]+Tableau_Lancer_la_requête_à_partir_de_Excel_Files3[[#This Row],[''AURA'']]+Tableau_Lancer_la_requête_à_partir_de_Excel_Files3[[#This Row],[''BFC'']]+Tableau_Lancer_la_requête_à_partir_de_Excel_Files3[[#This Row],[''LRMP'']]</f>
        <v>0</v>
      </c>
      <c r="Q20" s="47"/>
      <c r="R20" s="47"/>
      <c r="S20" s="47"/>
      <c r="T20" s="47"/>
      <c r="U20"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0" s="47"/>
      <c r="W20" s="47"/>
      <c r="X20" s="47"/>
      <c r="Y20" s="47"/>
      <c r="Z20" s="47"/>
      <c r="AA20" s="47"/>
      <c r="AB20" s="47"/>
      <c r="AC20" s="47"/>
      <c r="AD20" s="47"/>
      <c r="AE20" s="47"/>
      <c r="AF20" s="47"/>
      <c r="AG20" s="47"/>
      <c r="AH20" s="47"/>
      <c r="AI20" s="47"/>
      <c r="AJ20" s="47"/>
      <c r="AK20" s="47"/>
      <c r="AL20" s="47"/>
      <c r="AM20" s="47"/>
      <c r="AN20" s="47"/>
      <c r="AO20" s="47"/>
      <c r="AP20" s="47"/>
      <c r="AQ20" s="47"/>
      <c r="AR20" s="47">
        <v>91593</v>
      </c>
      <c r="AS20" s="47">
        <v>0</v>
      </c>
      <c r="AT20" s="41" t="s">
        <v>77</v>
      </c>
      <c r="AV20" s="55" t="s">
        <v>327</v>
      </c>
      <c r="AW20" s="40" t="s">
        <v>306</v>
      </c>
      <c r="AX20" s="49"/>
      <c r="AY20" s="49">
        <f t="shared" si="0"/>
        <v>0</v>
      </c>
      <c r="BA20" s="49">
        <f t="shared" si="3"/>
        <v>0</v>
      </c>
      <c r="BB20" s="49">
        <f t="shared" si="1"/>
        <v>0</v>
      </c>
      <c r="BF20" s="49">
        <f t="shared" si="4"/>
        <v>0</v>
      </c>
      <c r="BG20" s="49">
        <f t="shared" si="2"/>
        <v>0</v>
      </c>
      <c r="CE20" s="37" t="e">
        <f>VLOOKUP(Tableau3[[#This Row],[NumSym]],Tableau_Lancer_la_requête_à_partir_de_Excel_Files3[[ID_Synergie]:[Avis Prog]],44)</f>
        <v>#N/A</v>
      </c>
      <c r="CM20" s="37"/>
      <c r="CN20" s="37"/>
      <c r="CO20" s="37"/>
      <c r="CP20" s="37"/>
      <c r="CQ20" s="37"/>
      <c r="CR20" s="37"/>
      <c r="CS20" s="37"/>
      <c r="CT20" s="37"/>
      <c r="CU20" s="37"/>
      <c r="CV20" s="37"/>
      <c r="CW20" s="37"/>
      <c r="CX20" s="37"/>
      <c r="CY20" s="37"/>
      <c r="CZ20" s="37"/>
      <c r="DA20" s="37"/>
      <c r="DB20" s="37"/>
      <c r="DC20" s="37"/>
      <c r="DD20" s="37"/>
      <c r="DE20" s="37"/>
      <c r="DF20" s="37"/>
      <c r="DG20" s="37"/>
      <c r="DH20" s="37"/>
    </row>
    <row r="21" spans="1:112" ht="90" x14ac:dyDescent="0.25">
      <c r="A21" s="43" t="s">
        <v>5</v>
      </c>
      <c r="B21" s="45" t="s">
        <v>308</v>
      </c>
      <c r="C21" s="45" t="s">
        <v>308</v>
      </c>
      <c r="D21" s="46" t="s">
        <v>183</v>
      </c>
      <c r="E21" s="46" t="s">
        <v>299</v>
      </c>
      <c r="F21" s="47">
        <v>246000</v>
      </c>
      <c r="G21" s="47">
        <v>218250.06</v>
      </c>
      <c r="H21" s="47">
        <f>IF(Tableau_Lancer_la_requête_à_partir_de_Excel_Files3[[#This Row],[Coût total Eligible FEDER]]="",Tableau_Lancer_la_requête_à_partir_de_Excel_Files3[[#This Row],[Coût total déposé]],Tableau_Lancer_la_requête_à_partir_de_Excel_Files3[[#This Row],[Coût total Eligible FEDER]])</f>
        <v>218250.06</v>
      </c>
      <c r="I21" s="47">
        <f>Tableau_Lancer_la_requête_à_partir_de_Excel_Files3[[#This Row],[Aide Massif Obtenu]]+Tableau_Lancer_la_requête_à_partir_de_Excel_Files3[[#This Row],[''Autre Public'']]</f>
        <v>152775.01</v>
      </c>
      <c r="J21" s="48">
        <f>Tableau_Lancer_la_requête_à_partir_de_Excel_Files3[[#This Row],[Aide Publique Obtenue]]/Tableau_Lancer_la_requête_à_partir_de_Excel_Files3[[#This Row],[Coût total]]</f>
        <v>0.69999985337919268</v>
      </c>
      <c r="K21"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152775.01</v>
      </c>
      <c r="L21" s="48">
        <f>Tableau_Lancer_la_requête_à_partir_de_Excel_Files3[[#This Row],[Aide Massif Obtenu]]/Tableau_Lancer_la_requête_à_partir_de_Excel_Files3[[#This Row],[Coût total]]</f>
        <v>0.69999985337919268</v>
      </c>
      <c r="M21" s="49">
        <f>Tableau_Lancer_la_requête_à_partir_de_Excel_Files3[[#This Row],[''FNADT'']]+Tableau_Lancer_la_requête_à_partir_de_Excel_Files3[[#This Row],[''Agriculture'']]</f>
        <v>43650.01</v>
      </c>
      <c r="N21" s="47">
        <v>43650.01</v>
      </c>
      <c r="O21" s="47"/>
      <c r="P21" s="49">
        <f>Tableau_Lancer_la_requête_à_partir_de_Excel_Files3[[#This Row],[''ALPC'']]+Tableau_Lancer_la_requête_à_partir_de_Excel_Files3[[#This Row],[''AURA'']]+Tableau_Lancer_la_requête_à_partir_de_Excel_Files3[[#This Row],[''BFC'']]+Tableau_Lancer_la_requête_à_partir_de_Excel_Files3[[#This Row],[''LRMP'']]</f>
        <v>0</v>
      </c>
      <c r="Q21" s="47"/>
      <c r="R21" s="47"/>
      <c r="S21" s="47"/>
      <c r="T21" s="47"/>
      <c r="U21"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1" s="47"/>
      <c r="W21" s="47"/>
      <c r="X21" s="47"/>
      <c r="Y21" s="47"/>
      <c r="Z21" s="47"/>
      <c r="AA21" s="47"/>
      <c r="AB21" s="47"/>
      <c r="AC21" s="47"/>
      <c r="AD21" s="47"/>
      <c r="AE21" s="47"/>
      <c r="AF21" s="47"/>
      <c r="AG21" s="47"/>
      <c r="AH21" s="47"/>
      <c r="AI21" s="47"/>
      <c r="AJ21" s="47"/>
      <c r="AK21" s="47"/>
      <c r="AL21" s="47"/>
      <c r="AM21" s="47"/>
      <c r="AN21" s="47"/>
      <c r="AO21" s="47"/>
      <c r="AP21" s="47"/>
      <c r="AQ21" s="47"/>
      <c r="AR21" s="47">
        <v>109125</v>
      </c>
      <c r="AS21" s="47">
        <v>0</v>
      </c>
      <c r="AT21" s="41" t="s">
        <v>77</v>
      </c>
      <c r="AV21" s="64" t="s">
        <v>327</v>
      </c>
      <c r="AW21" s="40" t="s">
        <v>308</v>
      </c>
      <c r="AX21" s="49"/>
      <c r="AY21" s="49">
        <f t="shared" si="0"/>
        <v>0</v>
      </c>
      <c r="BA21" s="49">
        <f t="shared" si="3"/>
        <v>0</v>
      </c>
      <c r="BB21" s="49">
        <f t="shared" si="1"/>
        <v>0</v>
      </c>
      <c r="BF21" s="49">
        <f t="shared" si="4"/>
        <v>0</v>
      </c>
      <c r="BG21" s="49">
        <f t="shared" si="2"/>
        <v>0</v>
      </c>
      <c r="CE21" s="37" t="e">
        <f>VLOOKUP(Tableau3[[#This Row],[NumSym]],Tableau_Lancer_la_requête_à_partir_de_Excel_Files3[[ID_Synergie]:[Avis Prog]],44)</f>
        <v>#N/A</v>
      </c>
      <c r="CM21" s="37"/>
      <c r="CN21" s="37"/>
      <c r="CO21" s="37"/>
      <c r="CP21" s="37"/>
      <c r="CQ21" s="37"/>
      <c r="CR21" s="37"/>
      <c r="CS21" s="37"/>
      <c r="CT21" s="37"/>
      <c r="CU21" s="37"/>
      <c r="CV21" s="37"/>
      <c r="CW21" s="37"/>
      <c r="CX21" s="37"/>
      <c r="CY21" s="37"/>
      <c r="CZ21" s="37"/>
      <c r="DA21" s="37"/>
      <c r="DB21" s="37"/>
      <c r="DC21" s="37"/>
      <c r="DD21" s="37"/>
      <c r="DE21" s="37"/>
      <c r="DF21" s="37"/>
      <c r="DG21" s="37"/>
      <c r="DH21" s="37"/>
    </row>
    <row r="22" spans="1:112" ht="75" x14ac:dyDescent="0.25">
      <c r="A22" s="43" t="s">
        <v>5</v>
      </c>
      <c r="B22" s="45" t="s">
        <v>403</v>
      </c>
      <c r="C22" s="45" t="s">
        <v>403</v>
      </c>
      <c r="D22" s="46" t="s">
        <v>404</v>
      </c>
      <c r="E22" s="46" t="s">
        <v>405</v>
      </c>
      <c r="F22" s="47">
        <v>260439.78644</v>
      </c>
      <c r="G22" s="47">
        <v>258758.82</v>
      </c>
      <c r="H22" s="47">
        <f>IF(Tableau_Lancer_la_requête_à_partir_de_Excel_Files3[[#This Row],[Coût total Eligible FEDER]]="",Tableau_Lancer_la_requête_à_partir_de_Excel_Files3[[#This Row],[Coût total déposé]],Tableau_Lancer_la_requête_à_partir_de_Excel_Files3[[#This Row],[Coût total Eligible FEDER]])</f>
        <v>258758.82</v>
      </c>
      <c r="I22" s="47">
        <f>Tableau_Lancer_la_requête_à_partir_de_Excel_Files3[[#This Row],[Aide Massif Obtenu]]+Tableau_Lancer_la_requête_à_partir_de_Excel_Files3[[#This Row],[''Autre Public'']]</f>
        <v>179494.8088458167</v>
      </c>
      <c r="J22" s="48">
        <f>Tableau_Lancer_la_requête_à_partir_de_Excel_Files3[[#This Row],[Aide Publique Obtenue]]/Tableau_Lancer_la_requête_à_partir_de_Excel_Files3[[#This Row],[Coût total]]</f>
        <v>0.69367609902463112</v>
      </c>
      <c r="K22"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179494.8088458167</v>
      </c>
      <c r="L22" s="48">
        <f>Tableau_Lancer_la_requête_à_partir_de_Excel_Files3[[#This Row],[Aide Massif Obtenu]]/Tableau_Lancer_la_requête_à_partir_de_Excel_Files3[[#This Row],[Coût total]]</f>
        <v>0.69367609902463112</v>
      </c>
      <c r="M22" s="49">
        <f>Tableau_Lancer_la_requête_à_partir_de_Excel_Files3[[#This Row],[''FNADT'']]+Tableau_Lancer_la_requête_à_partir_de_Excel_Files3[[#This Row],[''Agriculture'']]</f>
        <v>25757.67</v>
      </c>
      <c r="N22" s="47">
        <v>25757.67</v>
      </c>
      <c r="O22" s="47"/>
      <c r="P22" s="49">
        <f>Tableau_Lancer_la_requête_à_partir_de_Excel_Files3[[#This Row],[''ALPC'']]+Tableau_Lancer_la_requête_à_partir_de_Excel_Files3[[#This Row],[''AURA'']]+Tableau_Lancer_la_requête_à_partir_de_Excel_Files3[[#This Row],[''BFC'']]+Tableau_Lancer_la_requête_à_partir_de_Excel_Files3[[#This Row],[''LRMP'']]</f>
        <v>22571.09</v>
      </c>
      <c r="Q22" s="47"/>
      <c r="R22" s="47">
        <v>9655</v>
      </c>
      <c r="S22" s="47"/>
      <c r="T22" s="47">
        <v>12916.09</v>
      </c>
      <c r="U22"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28307.048845816713</v>
      </c>
      <c r="V22" s="47"/>
      <c r="W22" s="47"/>
      <c r="X22" s="47"/>
      <c r="Y22" s="47"/>
      <c r="Z22" s="47"/>
      <c r="AA22" s="47"/>
      <c r="AB22" s="47"/>
      <c r="AC22" s="47"/>
      <c r="AD22" s="47">
        <v>8941.9108349914513</v>
      </c>
      <c r="AE22" s="47"/>
      <c r="AF22" s="47"/>
      <c r="AG22" s="47">
        <v>10920</v>
      </c>
      <c r="AH22" s="47"/>
      <c r="AI22" s="47">
        <v>8445.1380108252597</v>
      </c>
      <c r="AJ22" s="47"/>
      <c r="AK22" s="47"/>
      <c r="AL22" s="47"/>
      <c r="AM22" s="47"/>
      <c r="AN22" s="47"/>
      <c r="AO22" s="47"/>
      <c r="AP22" s="47"/>
      <c r="AQ22" s="47"/>
      <c r="AR22" s="47">
        <v>102859</v>
      </c>
      <c r="AS22" s="47">
        <v>0</v>
      </c>
      <c r="AT22" s="41" t="s">
        <v>77</v>
      </c>
      <c r="AV22" s="55" t="s">
        <v>355</v>
      </c>
      <c r="AW22" s="40" t="s">
        <v>403</v>
      </c>
      <c r="AX22" s="49"/>
      <c r="AY22" s="49">
        <f t="shared" si="0"/>
        <v>0</v>
      </c>
      <c r="BA22" s="49">
        <f t="shared" si="3"/>
        <v>0</v>
      </c>
      <c r="BB22" s="49">
        <f t="shared" si="1"/>
        <v>0</v>
      </c>
      <c r="BF22" s="49">
        <f t="shared" si="4"/>
        <v>0</v>
      </c>
      <c r="BG22" s="49">
        <f t="shared" si="2"/>
        <v>0</v>
      </c>
      <c r="CE22" s="37" t="e">
        <f>VLOOKUP(Tableau3[[#This Row],[NumSym]],Tableau_Lancer_la_requête_à_partir_de_Excel_Files3[[ID_Synergie]:[Avis Prog]],44)</f>
        <v>#N/A</v>
      </c>
      <c r="CM22" s="37"/>
      <c r="CN22" s="37"/>
      <c r="CO22" s="37"/>
      <c r="CP22" s="37"/>
      <c r="CQ22" s="37"/>
      <c r="CR22" s="37"/>
      <c r="CS22" s="37"/>
      <c r="CT22" s="37"/>
      <c r="CU22" s="37"/>
      <c r="CV22" s="37"/>
      <c r="CW22" s="37"/>
      <c r="CX22" s="37"/>
      <c r="CY22" s="37"/>
      <c r="CZ22" s="37"/>
      <c r="DA22" s="37"/>
      <c r="DB22" s="37"/>
      <c r="DC22" s="37"/>
      <c r="DD22" s="37"/>
      <c r="DE22" s="37"/>
      <c r="DF22" s="37"/>
      <c r="DG22" s="37"/>
      <c r="DH22" s="37"/>
    </row>
    <row r="23" spans="1:112" ht="75" x14ac:dyDescent="0.25">
      <c r="A23" s="43" t="s">
        <v>4</v>
      </c>
      <c r="B23" s="45" t="s">
        <v>309</v>
      </c>
      <c r="C23" s="45" t="s">
        <v>309</v>
      </c>
      <c r="D23" s="46" t="s">
        <v>310</v>
      </c>
      <c r="E23" s="46" t="s">
        <v>311</v>
      </c>
      <c r="F23" s="47">
        <v>96552.84</v>
      </c>
      <c r="G23" s="47"/>
      <c r="H23" s="47">
        <f>IF(Tableau_Lancer_la_requête_à_partir_de_Excel_Files3[[#This Row],[Coût total Eligible FEDER]]="",Tableau_Lancer_la_requête_à_partir_de_Excel_Files3[[#This Row],[Coût total déposé]],Tableau_Lancer_la_requête_à_partir_de_Excel_Files3[[#This Row],[Coût total Eligible FEDER]])</f>
        <v>96552.84</v>
      </c>
      <c r="I23" s="47">
        <f>Tableau_Lancer_la_requête_à_partir_de_Excel_Files3[[#This Row],[Aide Massif Obtenu]]+Tableau_Lancer_la_requête_à_partir_de_Excel_Files3[[#This Row],[''Autre Public'']]</f>
        <v>60000</v>
      </c>
      <c r="J23" s="48">
        <f>Tableau_Lancer_la_requête_à_partir_de_Excel_Files3[[#This Row],[Aide Publique Obtenue]]/Tableau_Lancer_la_requête_à_partir_de_Excel_Files3[[#This Row],[Coût total]]</f>
        <v>0.62142138957279769</v>
      </c>
      <c r="K23" s="47">
        <f>Tableau_Lancer_la_requête_à_partir_de_Excel_Files3[[#This Row],[Etat]]+Tableau_Lancer_la_requête_à_partir_de_Excel_Files3[[#This Row],[Régions]]+Tableau_Lancer_la_requête_à_partir_de_Excel_Files3[[#This Row],[Départements]]+Tableau_Lancer_la_requête_à_partir_de_Excel_Files3[[#This Row],[''FEDER'']]</f>
        <v>60000</v>
      </c>
      <c r="L23" s="48">
        <f>Tableau_Lancer_la_requête_à_partir_de_Excel_Files3[[#This Row],[Aide Massif Obtenu]]/Tableau_Lancer_la_requête_à_partir_de_Excel_Files3[[#This Row],[Coût total]]</f>
        <v>0.62142138957279769</v>
      </c>
      <c r="M23" s="49">
        <f>Tableau_Lancer_la_requête_à_partir_de_Excel_Files3[[#This Row],[''FNADT'']]+Tableau_Lancer_la_requête_à_partir_de_Excel_Files3[[#This Row],[''Agriculture'']]</f>
        <v>50344.72</v>
      </c>
      <c r="N23" s="47">
        <v>50344.72</v>
      </c>
      <c r="O23" s="47"/>
      <c r="P23" s="49">
        <f>Tableau_Lancer_la_requête_à_partir_de_Excel_Files3[[#This Row],[''ALPC'']]+Tableau_Lancer_la_requête_à_partir_de_Excel_Files3[[#This Row],[''AURA'']]+Tableau_Lancer_la_requête_à_partir_de_Excel_Files3[[#This Row],[''BFC'']]+Tableau_Lancer_la_requête_à_partir_de_Excel_Files3[[#This Row],[''LRMP'']]</f>
        <v>0</v>
      </c>
      <c r="Q23" s="47"/>
      <c r="R23" s="47"/>
      <c r="S23" s="47"/>
      <c r="T23" s="47"/>
      <c r="U23"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9655.2800000000007</v>
      </c>
      <c r="V23" s="47"/>
      <c r="W23" s="47">
        <v>9655.2800000000007</v>
      </c>
      <c r="X23" s="47"/>
      <c r="Y23" s="47"/>
      <c r="Z23" s="47"/>
      <c r="AA23" s="47"/>
      <c r="AB23" s="47"/>
      <c r="AC23" s="47"/>
      <c r="AD23" s="47"/>
      <c r="AE23" s="47"/>
      <c r="AF23" s="47"/>
      <c r="AG23" s="47"/>
      <c r="AH23" s="47"/>
      <c r="AI23" s="47"/>
      <c r="AJ23" s="47"/>
      <c r="AK23" s="47"/>
      <c r="AL23" s="47"/>
      <c r="AM23" s="47"/>
      <c r="AN23" s="47"/>
      <c r="AO23" s="47"/>
      <c r="AP23" s="47"/>
      <c r="AQ23" s="47"/>
      <c r="AR23" s="47">
        <v>0</v>
      </c>
      <c r="AS23" s="47">
        <v>0</v>
      </c>
      <c r="AT23" s="41" t="s">
        <v>77</v>
      </c>
      <c r="AV23" s="64" t="s">
        <v>328</v>
      </c>
      <c r="AW23" s="40" t="s">
        <v>309</v>
      </c>
      <c r="AX23" s="49"/>
      <c r="AY23" s="49">
        <f t="shared" si="0"/>
        <v>0</v>
      </c>
      <c r="BA23" s="49">
        <f t="shared" si="3"/>
        <v>0</v>
      </c>
      <c r="BB23" s="49">
        <f t="shared" si="1"/>
        <v>0</v>
      </c>
      <c r="BF23" s="49">
        <f t="shared" si="4"/>
        <v>0</v>
      </c>
      <c r="BG23" s="49">
        <f t="shared" si="2"/>
        <v>0</v>
      </c>
      <c r="CE23" s="37" t="e">
        <f>VLOOKUP(Tableau3[[#This Row],[NumSym]],Tableau_Lancer_la_requête_à_partir_de_Excel_Files3[[ID_Synergie]:[Avis Prog]],44)</f>
        <v>#N/A</v>
      </c>
      <c r="CM23" s="37"/>
      <c r="CN23" s="37"/>
      <c r="CO23" s="37"/>
      <c r="CP23" s="37"/>
      <c r="CQ23" s="37"/>
      <c r="CR23" s="37"/>
      <c r="CS23" s="37"/>
      <c r="CT23" s="37"/>
      <c r="CU23" s="37"/>
      <c r="CV23" s="37"/>
      <c r="CW23" s="37"/>
      <c r="CX23" s="37"/>
      <c r="CY23" s="37"/>
      <c r="CZ23" s="37"/>
      <c r="DA23" s="37"/>
      <c r="DB23" s="37"/>
      <c r="DC23" s="37"/>
      <c r="DD23" s="37"/>
      <c r="DE23" s="37"/>
      <c r="DF23" s="37"/>
      <c r="DG23" s="37"/>
      <c r="DH23" s="37"/>
    </row>
    <row r="24" spans="1:112" ht="75" x14ac:dyDescent="0.25">
      <c r="A24" s="43" t="s">
        <v>4</v>
      </c>
      <c r="B24" s="45" t="s">
        <v>312</v>
      </c>
      <c r="C24" s="45" t="s">
        <v>312</v>
      </c>
      <c r="D24" s="46" t="s">
        <v>313</v>
      </c>
      <c r="E24" s="46" t="s">
        <v>311</v>
      </c>
      <c r="F24" s="47">
        <v>100709.77799999999</v>
      </c>
      <c r="G24" s="47"/>
      <c r="H24" s="47">
        <f>IF(Tableau_Lancer_la_requête_à_partir_de_Excel_Files3[[#This Row],[Coût total Eligible FEDER]]="",Tableau_Lancer_la_requête_à_partir_de_Excel_Files3[[#This Row],[Coût total déposé]],Tableau_Lancer_la_requête_à_partir_de_Excel_Files3[[#This Row],[Coût total Eligible FEDER]])</f>
        <v>100709.77799999999</v>
      </c>
      <c r="I24" s="47">
        <f>Tableau_Lancer_la_requête_à_partir_de_Excel_Files3[[#This Row],[Aide Massif Obtenu]]+Tableau_Lancer_la_requête_à_partir_de_Excel_Files3[[#This Row],[''Autre Public'']]</f>
        <v>32400</v>
      </c>
      <c r="J24" s="48">
        <f>Tableau_Lancer_la_requête_à_partir_de_Excel_Files3[[#This Row],[Aide Publique Obtenue]]/Tableau_Lancer_la_requête_à_partir_de_Excel_Files3[[#This Row],[Coût total]]</f>
        <v>0.32171652686991331</v>
      </c>
      <c r="K24" s="47">
        <f>Tableau_Lancer_la_requête_à_partir_de_Excel_Files3[[#This Row],[Etat]]+Tableau_Lancer_la_requête_à_partir_de_Excel_Files3[[#This Row],[Régions]]+Tableau_Lancer_la_requête_à_partir_de_Excel_Files3[[#This Row],[Départements]]+Tableau_Lancer_la_requête_à_partir_de_Excel_Files3[[#This Row],[''FEDER'']]</f>
        <v>32400</v>
      </c>
      <c r="L24" s="48">
        <f>Tableau_Lancer_la_requête_à_partir_de_Excel_Files3[[#This Row],[Aide Massif Obtenu]]/Tableau_Lancer_la_requête_à_partir_de_Excel_Files3[[#This Row],[Coût total]]</f>
        <v>0.32171652686991331</v>
      </c>
      <c r="M24" s="49">
        <f>Tableau_Lancer_la_requête_à_partir_de_Excel_Files3[[#This Row],[''FNADT'']]+Tableau_Lancer_la_requête_à_partir_de_Excel_Files3[[#This Row],[''Agriculture'']]</f>
        <v>32400</v>
      </c>
      <c r="N24" s="47">
        <v>32400</v>
      </c>
      <c r="O24" s="47"/>
      <c r="P24" s="49">
        <f>Tableau_Lancer_la_requête_à_partir_de_Excel_Files3[[#This Row],[''ALPC'']]+Tableau_Lancer_la_requête_à_partir_de_Excel_Files3[[#This Row],[''AURA'']]+Tableau_Lancer_la_requête_à_partir_de_Excel_Files3[[#This Row],[''BFC'']]+Tableau_Lancer_la_requête_à_partir_de_Excel_Files3[[#This Row],[''LRMP'']]</f>
        <v>0</v>
      </c>
      <c r="Q24" s="47"/>
      <c r="R24" s="47"/>
      <c r="S24" s="47"/>
      <c r="T24" s="47"/>
      <c r="U24"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4" s="47"/>
      <c r="W24" s="47"/>
      <c r="X24" s="47"/>
      <c r="Y24" s="47"/>
      <c r="Z24" s="47"/>
      <c r="AA24" s="47"/>
      <c r="AB24" s="47"/>
      <c r="AC24" s="47"/>
      <c r="AD24" s="47"/>
      <c r="AE24" s="47"/>
      <c r="AF24" s="47"/>
      <c r="AG24" s="47"/>
      <c r="AH24" s="47"/>
      <c r="AI24" s="47"/>
      <c r="AJ24" s="47"/>
      <c r="AK24" s="47"/>
      <c r="AL24" s="47"/>
      <c r="AM24" s="47"/>
      <c r="AN24" s="47"/>
      <c r="AO24" s="47"/>
      <c r="AP24" s="47"/>
      <c r="AQ24" s="47"/>
      <c r="AR24" s="47">
        <v>0</v>
      </c>
      <c r="AS24" s="47">
        <v>0</v>
      </c>
      <c r="AT24" s="41" t="s">
        <v>77</v>
      </c>
      <c r="AV24" s="55" t="s">
        <v>329</v>
      </c>
      <c r="AW24" s="40" t="s">
        <v>312</v>
      </c>
      <c r="AX24" s="51" t="s">
        <v>11</v>
      </c>
      <c r="AY24" s="49">
        <f>SUBTOTAL(109,Tableau3[Etat])</f>
        <v>-20926</v>
      </c>
      <c r="AZ24" s="49">
        <f>SUBTOTAL(109,Tableau3[''FNADT''])</f>
        <v>-20926</v>
      </c>
      <c r="BA24" s="49">
        <f>SUBTOTAL(109,Tableau3[''Agriculture''])</f>
        <v>0</v>
      </c>
      <c r="BB24" s="49">
        <f>SUBTOTAL(109,Tableau3[Régions])</f>
        <v>-7125</v>
      </c>
      <c r="BC24" s="49">
        <f>SUBTOTAL(109,Tableau3[''ALPC''])</f>
        <v>-14369</v>
      </c>
      <c r="BD24" s="49">
        <f>SUBTOTAL(109,Tableau3[''AURA''])</f>
        <v>16000</v>
      </c>
      <c r="BE24" s="49">
        <f>SUBTOTAL(109,Tableau3[''BFC''])</f>
        <v>0</v>
      </c>
      <c r="BF24" s="49">
        <f>SUBTOTAL(109,Tableau3[''LRMP''])</f>
        <v>-8756</v>
      </c>
      <c r="BG24" s="49">
        <f>SUBTOTAL(109,Tableau3[Départements])</f>
        <v>6289</v>
      </c>
      <c r="BH24" s="49">
        <f>SUBTOTAL(109,Tableau3[''03''])</f>
        <v>0</v>
      </c>
      <c r="BI24" s="49">
        <f>SUBTOTAL(109,Tableau3[''07''])</f>
        <v>6289</v>
      </c>
      <c r="BJ24" s="49">
        <f>SUBTOTAL(109,Tableau3[''11''])</f>
        <v>0</v>
      </c>
      <c r="BK24" s="49">
        <f>SUBTOTAL(109,Tableau3[''12''])</f>
        <v>0</v>
      </c>
      <c r="BL24" s="49">
        <f>SUBTOTAL(109,Tableau3[''15''])</f>
        <v>0</v>
      </c>
      <c r="BM24" s="49">
        <f>SUBTOTAL(109,Tableau3[''19''])</f>
        <v>0</v>
      </c>
      <c r="BN24" s="49">
        <f>SUBTOTAL(109,Tableau3[''21''])</f>
        <v>0</v>
      </c>
      <c r="BO24" s="49">
        <f>SUBTOTAL(109,Tableau3[''23''])</f>
        <v>0</v>
      </c>
      <c r="BP24" s="49">
        <f>SUBTOTAL(109,Tableau3[''30''])</f>
        <v>0</v>
      </c>
      <c r="BQ24" s="49">
        <f>SUBTOTAL(109,Tableau3[''34''])</f>
        <v>0</v>
      </c>
      <c r="BR24" s="49">
        <f>SUBTOTAL(109,Tableau3[''42''])</f>
        <v>0</v>
      </c>
      <c r="BS24" s="49">
        <f>SUBTOTAL(109,Tableau3[''43''])</f>
        <v>0</v>
      </c>
      <c r="BT24" s="49">
        <f>SUBTOTAL(109,Tableau3[''46''])</f>
        <v>0</v>
      </c>
      <c r="BU24" s="49">
        <f>SUBTOTAL(109,Tableau3[''48''])</f>
        <v>0</v>
      </c>
      <c r="BV24" s="49">
        <f>SUBTOTAL(109,Tableau3[''58''])</f>
        <v>0</v>
      </c>
      <c r="BW24" s="49">
        <f>SUBTOTAL(109,Tableau3[''63''])</f>
        <v>0</v>
      </c>
      <c r="BX24" s="49">
        <f>SUBTOTAL(109,Tableau3[''69''])</f>
        <v>0</v>
      </c>
      <c r="BY24" s="49">
        <f>SUBTOTAL(109,Tableau3[''71''])</f>
        <v>0</v>
      </c>
      <c r="BZ24" s="49">
        <f>SUBTOTAL(109,Tableau3[''81''])</f>
        <v>0</v>
      </c>
      <c r="CA24" s="49">
        <f>SUBTOTAL(109,Tableau3[''82''])</f>
        <v>0</v>
      </c>
      <c r="CB24" s="49">
        <f>SUBTOTAL(109,Tableau3[''87''])</f>
        <v>0</v>
      </c>
      <c r="CC24" s="49">
        <f>SUBTOTAL(109,Tableau3[''89''])</f>
        <v>0</v>
      </c>
      <c r="CD24" s="49">
        <f>SUBTOTAL(109,Tableau3[''FEDER''])</f>
        <v>1622.6</v>
      </c>
      <c r="CE24" s="37">
        <f>SUBTOTAL(103,Tableau3[Avis])</f>
        <v>17</v>
      </c>
      <c r="CM24" s="37"/>
      <c r="CN24" s="37"/>
      <c r="CO24" s="37"/>
      <c r="CP24" s="37"/>
      <c r="CQ24" s="37"/>
      <c r="CR24" s="37"/>
      <c r="CS24" s="37"/>
      <c r="CT24" s="37"/>
      <c r="CU24" s="37"/>
      <c r="CV24" s="37"/>
      <c r="CW24" s="37"/>
      <c r="CX24" s="37"/>
      <c r="CY24" s="37"/>
      <c r="CZ24" s="37"/>
      <c r="DA24" s="37"/>
      <c r="DB24" s="37"/>
      <c r="DC24" s="37"/>
      <c r="DD24" s="37"/>
      <c r="DE24" s="37"/>
      <c r="DF24" s="37"/>
      <c r="DG24" s="37"/>
      <c r="DH24" s="37"/>
    </row>
    <row r="25" spans="1:112" ht="75" x14ac:dyDescent="0.25">
      <c r="A25" s="43" t="s">
        <v>5</v>
      </c>
      <c r="B25" s="45" t="s">
        <v>314</v>
      </c>
      <c r="C25" s="45" t="s">
        <v>314</v>
      </c>
      <c r="D25" s="46" t="s">
        <v>315</v>
      </c>
      <c r="E25" s="46" t="s">
        <v>311</v>
      </c>
      <c r="F25" s="47">
        <v>102164.25</v>
      </c>
      <c r="G25" s="47">
        <v>45044.6</v>
      </c>
      <c r="H25" s="47">
        <f>IF(Tableau_Lancer_la_requête_à_partir_de_Excel_Files3[[#This Row],[Coût total Eligible FEDER]]="",Tableau_Lancer_la_requête_à_partir_de_Excel_Files3[[#This Row],[Coût total déposé]],Tableau_Lancer_la_requête_à_partir_de_Excel_Files3[[#This Row],[Coût total Eligible FEDER]])</f>
        <v>45044.6</v>
      </c>
      <c r="I25" s="47">
        <f>Tableau_Lancer_la_requête_à_partir_de_Excel_Files3[[#This Row],[Aide Massif Obtenu]]+Tableau_Lancer_la_requête_à_partir_de_Excel_Files3[[#This Row],[''Autre Public'']]</f>
        <v>33000</v>
      </c>
      <c r="J25" s="48">
        <f>Tableau_Lancer_la_requête_à_partir_de_Excel_Files3[[#This Row],[Aide Publique Obtenue]]/Tableau_Lancer_la_requête_à_partir_de_Excel_Files3[[#This Row],[Coût total]]</f>
        <v>0.73260723815951301</v>
      </c>
      <c r="K25" s="47">
        <f>Tableau_Lancer_la_requête_à_partir_de_Excel_Files3[[#This Row],[Etat]]+Tableau_Lancer_la_requête_à_partir_de_Excel_Files3[[#This Row],[Régions]]+Tableau_Lancer_la_requête_à_partir_de_Excel_Files3[[#This Row],[Départements]]+Tableau_Lancer_la_requête_à_partir_de_Excel_Files3[[#This Row],[''FEDER'']]</f>
        <v>33000</v>
      </c>
      <c r="L25" s="48">
        <f>Tableau_Lancer_la_requête_à_partir_de_Excel_Files3[[#This Row],[Aide Massif Obtenu]]/Tableau_Lancer_la_requête_à_partir_de_Excel_Files3[[#This Row],[Coût total]]</f>
        <v>0.73260723815951301</v>
      </c>
      <c r="M25" s="49">
        <f>Tableau_Lancer_la_requête_à_partir_de_Excel_Files3[[#This Row],[''FNADT'']]+Tableau_Lancer_la_requête_à_partir_de_Excel_Files3[[#This Row],[''Agriculture'']]</f>
        <v>21628.53</v>
      </c>
      <c r="N25" s="47">
        <v>21628.53</v>
      </c>
      <c r="O25" s="47"/>
      <c r="P25" s="49">
        <f>Tableau_Lancer_la_requête_à_partir_de_Excel_Files3[[#This Row],[''ALPC'']]+Tableau_Lancer_la_requête_à_partir_de_Excel_Files3[[#This Row],[''AURA'']]+Tableau_Lancer_la_requête_à_partir_de_Excel_Files3[[#This Row],[''BFC'']]+Tableau_Lancer_la_requête_à_partir_de_Excel_Files3[[#This Row],[''LRMP'']]</f>
        <v>0</v>
      </c>
      <c r="Q25" s="47"/>
      <c r="R25" s="47"/>
      <c r="S25" s="47"/>
      <c r="T25" s="47"/>
      <c r="U25"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5" s="47"/>
      <c r="W25" s="47"/>
      <c r="X25" s="47"/>
      <c r="Y25" s="47"/>
      <c r="Z25" s="47"/>
      <c r="AA25" s="47"/>
      <c r="AB25" s="47"/>
      <c r="AC25" s="47"/>
      <c r="AD25" s="47"/>
      <c r="AE25" s="47"/>
      <c r="AF25" s="47"/>
      <c r="AG25" s="47"/>
      <c r="AH25" s="47"/>
      <c r="AI25" s="47"/>
      <c r="AJ25" s="47"/>
      <c r="AK25" s="47"/>
      <c r="AL25" s="47"/>
      <c r="AM25" s="47"/>
      <c r="AN25" s="47"/>
      <c r="AO25" s="47"/>
      <c r="AP25" s="47"/>
      <c r="AQ25" s="47"/>
      <c r="AR25" s="47">
        <v>11371.47</v>
      </c>
      <c r="AS25" s="47">
        <v>0</v>
      </c>
      <c r="AT25" s="41" t="s">
        <v>77</v>
      </c>
      <c r="AV25" s="64" t="s">
        <v>332</v>
      </c>
      <c r="AW25" s="40" t="s">
        <v>314</v>
      </c>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M25" s="37"/>
      <c r="CN25" s="37"/>
      <c r="CO25" s="37"/>
      <c r="CP25" s="37"/>
      <c r="CQ25" s="37"/>
      <c r="CR25" s="37"/>
      <c r="CS25" s="37"/>
      <c r="CT25" s="37"/>
      <c r="CU25" s="37"/>
      <c r="CV25" s="37"/>
      <c r="CW25" s="37"/>
      <c r="CX25" s="37"/>
      <c r="CY25" s="37"/>
      <c r="CZ25" s="37"/>
      <c r="DA25" s="37"/>
      <c r="DB25" s="37"/>
      <c r="DC25" s="37"/>
      <c r="DD25" s="37"/>
      <c r="DE25" s="37"/>
      <c r="DF25" s="37"/>
      <c r="DG25" s="37"/>
      <c r="DH25" s="37"/>
    </row>
    <row r="26" spans="1:112" ht="75" x14ac:dyDescent="0.25">
      <c r="A26" s="43" t="s">
        <v>5</v>
      </c>
      <c r="B26" s="45" t="s">
        <v>316</v>
      </c>
      <c r="C26" s="45" t="s">
        <v>316</v>
      </c>
      <c r="D26" s="46" t="s">
        <v>317</v>
      </c>
      <c r="E26" s="46" t="s">
        <v>311</v>
      </c>
      <c r="F26" s="47">
        <v>79078.78</v>
      </c>
      <c r="G26" s="47">
        <v>42703.62</v>
      </c>
      <c r="H26" s="47">
        <f>IF(Tableau_Lancer_la_requête_à_partir_de_Excel_Files3[[#This Row],[Coût total Eligible FEDER]]="",Tableau_Lancer_la_requête_à_partir_de_Excel_Files3[[#This Row],[Coût total déposé]],Tableau_Lancer_la_requête_à_partir_de_Excel_Files3[[#This Row],[Coût total Eligible FEDER]])</f>
        <v>42703.62</v>
      </c>
      <c r="I26" s="47">
        <f>Tableau_Lancer_la_requête_à_partir_de_Excel_Files3[[#This Row],[Aide Massif Obtenu]]+Tableau_Lancer_la_requête_à_partir_de_Excel_Files3[[#This Row],[''Autre Public'']]</f>
        <v>31279.54</v>
      </c>
      <c r="J26" s="48">
        <f>Tableau_Lancer_la_requête_à_partir_de_Excel_Files3[[#This Row],[Aide Publique Obtenue]]/Tableau_Lancer_la_requête_à_partir_de_Excel_Files3[[#This Row],[Coût total]]</f>
        <v>0.73247982255368516</v>
      </c>
      <c r="K26" s="47">
        <f>Tableau_Lancer_la_requête_à_partir_de_Excel_Files3[[#This Row],[Etat]]+Tableau_Lancer_la_requête_à_partir_de_Excel_Files3[[#This Row],[Régions]]+Tableau_Lancer_la_requête_à_partir_de_Excel_Files3[[#This Row],[Départements]]+Tableau_Lancer_la_requête_à_partir_de_Excel_Files3[[#This Row],[''FEDER'']]</f>
        <v>31279.54</v>
      </c>
      <c r="L26" s="48">
        <f>Tableau_Lancer_la_requête_à_partir_de_Excel_Files3[[#This Row],[Aide Massif Obtenu]]/Tableau_Lancer_la_requête_à_partir_de_Excel_Files3[[#This Row],[Coût total]]</f>
        <v>0.73247982255368516</v>
      </c>
      <c r="M26" s="49">
        <f>Tableau_Lancer_la_requête_à_partir_de_Excel_Files3[[#This Row],[''FNADT'']]+Tableau_Lancer_la_requête_à_partir_de_Excel_Files3[[#This Row],[''Agriculture'']]</f>
        <v>20514.27</v>
      </c>
      <c r="N26" s="47">
        <v>20514.27</v>
      </c>
      <c r="O26" s="47"/>
      <c r="P26" s="49">
        <f>Tableau_Lancer_la_requête_à_partir_de_Excel_Files3[[#This Row],[''ALPC'']]+Tableau_Lancer_la_requête_à_partir_de_Excel_Files3[[#This Row],[''AURA'']]+Tableau_Lancer_la_requête_à_partir_de_Excel_Files3[[#This Row],[''BFC'']]+Tableau_Lancer_la_requête_à_partir_de_Excel_Files3[[#This Row],[''LRMP'']]</f>
        <v>0</v>
      </c>
      <c r="Q26" s="47"/>
      <c r="R26" s="47"/>
      <c r="S26" s="47"/>
      <c r="T26" s="47"/>
      <c r="U26"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6" s="47"/>
      <c r="W26" s="47"/>
      <c r="X26" s="47"/>
      <c r="Y26" s="47"/>
      <c r="Z26" s="47"/>
      <c r="AA26" s="47"/>
      <c r="AB26" s="47"/>
      <c r="AC26" s="47"/>
      <c r="AD26" s="47"/>
      <c r="AE26" s="47"/>
      <c r="AF26" s="47"/>
      <c r="AG26" s="47"/>
      <c r="AH26" s="47"/>
      <c r="AI26" s="47"/>
      <c r="AJ26" s="47"/>
      <c r="AK26" s="47"/>
      <c r="AL26" s="47"/>
      <c r="AM26" s="47"/>
      <c r="AN26" s="47"/>
      <c r="AO26" s="47"/>
      <c r="AP26" s="47"/>
      <c r="AQ26" s="47"/>
      <c r="AR26" s="47">
        <v>10765.27</v>
      </c>
      <c r="AS26" s="47">
        <v>0</v>
      </c>
      <c r="AT26" s="41" t="s">
        <v>77</v>
      </c>
      <c r="AV26" s="55" t="s">
        <v>330</v>
      </c>
      <c r="AW26" s="40" t="s">
        <v>316</v>
      </c>
      <c r="CM26" s="37"/>
      <c r="CN26" s="37"/>
      <c r="CO26" s="37"/>
      <c r="CP26" s="37"/>
      <c r="CQ26" s="37"/>
      <c r="CR26" s="37"/>
      <c r="CS26" s="37"/>
      <c r="CT26" s="37"/>
      <c r="CU26" s="37"/>
      <c r="CV26" s="37"/>
      <c r="CW26" s="37"/>
      <c r="CX26" s="37"/>
      <c r="CY26" s="37"/>
      <c r="CZ26" s="37"/>
      <c r="DA26" s="37"/>
      <c r="DB26" s="37"/>
      <c r="DC26" s="37"/>
      <c r="DD26" s="37"/>
      <c r="DE26" s="37"/>
      <c r="DF26" s="37"/>
      <c r="DG26" s="37"/>
      <c r="DH26" s="37"/>
    </row>
    <row r="27" spans="1:112" ht="75" x14ac:dyDescent="0.25">
      <c r="A27" s="43" t="s">
        <v>5</v>
      </c>
      <c r="B27" s="45" t="s">
        <v>318</v>
      </c>
      <c r="C27" s="45" t="s">
        <v>318</v>
      </c>
      <c r="D27" s="46" t="s">
        <v>319</v>
      </c>
      <c r="E27" s="46" t="s">
        <v>311</v>
      </c>
      <c r="F27" s="47">
        <v>134313.15765624651</v>
      </c>
      <c r="G27" s="47">
        <v>116706.45</v>
      </c>
      <c r="H27" s="47">
        <f>IF(Tableau_Lancer_la_requête_à_partir_de_Excel_Files3[[#This Row],[Coût total Eligible FEDER]]="",Tableau_Lancer_la_requête_à_partir_de_Excel_Files3[[#This Row],[Coût total déposé]],Tableau_Lancer_la_requête_à_partir_de_Excel_Files3[[#This Row],[Coût total Eligible FEDER]])</f>
        <v>116706.45</v>
      </c>
      <c r="I27" s="47">
        <f>Tableau_Lancer_la_requête_à_partir_de_Excel_Files3[[#This Row],[Aide Massif Obtenu]]+Tableau_Lancer_la_requête_à_partir_de_Excel_Files3[[#This Row],[''Autre Public'']]</f>
        <v>85500</v>
      </c>
      <c r="J27" s="48">
        <f>Tableau_Lancer_la_requête_à_partir_de_Excel_Files3[[#This Row],[Aide Publique Obtenue]]/Tableau_Lancer_la_requête_à_partir_de_Excel_Files3[[#This Row],[Coût total]]</f>
        <v>0.7326073237597408</v>
      </c>
      <c r="K27" s="47">
        <f>Tableau_Lancer_la_requête_à_partir_de_Excel_Files3[[#This Row],[Etat]]+Tableau_Lancer_la_requête_à_partir_de_Excel_Files3[[#This Row],[Régions]]+Tableau_Lancer_la_requête_à_partir_de_Excel_Files3[[#This Row],[Départements]]+Tableau_Lancer_la_requête_à_partir_de_Excel_Files3[[#This Row],[''FEDER'']]</f>
        <v>85500</v>
      </c>
      <c r="L27" s="48">
        <f>Tableau_Lancer_la_requête_à_partir_de_Excel_Files3[[#This Row],[Aide Massif Obtenu]]/Tableau_Lancer_la_requête_à_partir_de_Excel_Files3[[#This Row],[Coût total]]</f>
        <v>0.7326073237597408</v>
      </c>
      <c r="M27" s="49">
        <f>Tableau_Lancer_la_requête_à_partir_de_Excel_Files3[[#This Row],[''FNADT'']]+Tableau_Lancer_la_requête_à_partir_de_Excel_Files3[[#This Row],[''Agriculture'']]</f>
        <v>15743.6</v>
      </c>
      <c r="N27" s="47">
        <v>15743.6</v>
      </c>
      <c r="O27" s="47"/>
      <c r="P27" s="49">
        <f>Tableau_Lancer_la_requête_à_partir_de_Excel_Files3[[#This Row],[''ALPC'']]+Tableau_Lancer_la_requête_à_partir_de_Excel_Files3[[#This Row],[''AURA'']]+Tableau_Lancer_la_requête_à_partir_de_Excel_Files3[[#This Row],[''BFC'']]+Tableau_Lancer_la_requête_à_partir_de_Excel_Files3[[#This Row],[''LRMP'']]</f>
        <v>40293.949999999997</v>
      </c>
      <c r="Q27" s="47"/>
      <c r="R27" s="47">
        <v>40293.949999999997</v>
      </c>
      <c r="S27" s="47"/>
      <c r="T27" s="47"/>
      <c r="U27"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7" s="47"/>
      <c r="W27" s="47"/>
      <c r="X27" s="47"/>
      <c r="Y27" s="47"/>
      <c r="Z27" s="47"/>
      <c r="AA27" s="47"/>
      <c r="AB27" s="47"/>
      <c r="AC27" s="47"/>
      <c r="AD27" s="47"/>
      <c r="AE27" s="47"/>
      <c r="AF27" s="47"/>
      <c r="AG27" s="47"/>
      <c r="AH27" s="47"/>
      <c r="AI27" s="47"/>
      <c r="AJ27" s="47"/>
      <c r="AK27" s="47"/>
      <c r="AL27" s="47"/>
      <c r="AM27" s="47"/>
      <c r="AN27" s="47"/>
      <c r="AO27" s="47"/>
      <c r="AP27" s="47"/>
      <c r="AQ27" s="47"/>
      <c r="AR27" s="47">
        <v>29462.45</v>
      </c>
      <c r="AS27" s="47">
        <v>0</v>
      </c>
      <c r="AT27" s="41" t="s">
        <v>77</v>
      </c>
      <c r="AV27" s="64" t="s">
        <v>331</v>
      </c>
      <c r="AW27" s="40" t="s">
        <v>318</v>
      </c>
      <c r="CM27" s="37"/>
      <c r="CN27" s="37"/>
      <c r="CO27" s="37"/>
      <c r="CP27" s="37"/>
      <c r="CQ27" s="37"/>
      <c r="CR27" s="37"/>
      <c r="CS27" s="37"/>
      <c r="CT27" s="37"/>
      <c r="CU27" s="37"/>
      <c r="CV27" s="37"/>
      <c r="CW27" s="37"/>
      <c r="CX27" s="37"/>
      <c r="CY27" s="37"/>
      <c r="CZ27" s="37"/>
      <c r="DA27" s="37"/>
      <c r="DB27" s="37"/>
      <c r="DC27" s="37"/>
      <c r="DD27" s="37"/>
      <c r="DE27" s="37"/>
      <c r="DF27" s="37"/>
      <c r="DG27" s="37"/>
      <c r="DH27" s="37"/>
    </row>
    <row r="28" spans="1:112" ht="45" x14ac:dyDescent="0.25">
      <c r="A28" s="43" t="s">
        <v>5</v>
      </c>
      <c r="B28" s="45" t="s">
        <v>125</v>
      </c>
      <c r="C28" s="45" t="s">
        <v>125</v>
      </c>
      <c r="D28" s="46" t="s">
        <v>126</v>
      </c>
      <c r="E28" s="46" t="s">
        <v>127</v>
      </c>
      <c r="F28" s="47">
        <v>382962.56</v>
      </c>
      <c r="G28" s="47">
        <v>245746.12</v>
      </c>
      <c r="H28" s="47">
        <f>IF(Tableau_Lancer_la_requête_à_partir_de_Excel_Files3[[#This Row],[Coût total Eligible FEDER]]="",Tableau_Lancer_la_requête_à_partir_de_Excel_Files3[[#This Row],[Coût total déposé]],Tableau_Lancer_la_requête_à_partir_de_Excel_Files3[[#This Row],[Coût total Eligible FEDER]])</f>
        <v>245746.12</v>
      </c>
      <c r="I28" s="47">
        <f>Tableau_Lancer_la_requête_à_partir_de_Excel_Files3[[#This Row],[Aide Massif Obtenu]]+Tableau_Lancer_la_requête_à_partir_de_Excel_Files3[[#This Row],[''Autre Public'']]</f>
        <v>100000</v>
      </c>
      <c r="J28" s="48">
        <f>Tableau_Lancer_la_requête_à_partir_de_Excel_Files3[[#This Row],[Aide Publique Obtenue]]/Tableau_Lancer_la_requête_à_partir_de_Excel_Files3[[#This Row],[Coût total]]</f>
        <v>0.40692402386658233</v>
      </c>
      <c r="K28"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100000</v>
      </c>
      <c r="L28" s="48">
        <f>Tableau_Lancer_la_requête_à_partir_de_Excel_Files3[[#This Row],[Aide Massif Obtenu]]/Tableau_Lancer_la_requête_à_partir_de_Excel_Files3[[#This Row],[Coût total]]</f>
        <v>0.40692402386658233</v>
      </c>
      <c r="M28" s="49">
        <f>Tableau_Lancer_la_requête_à_partir_de_Excel_Files3[[#This Row],[''FNADT'']]+Tableau_Lancer_la_requête_à_partir_de_Excel_Files3[[#This Row],[''Agriculture'']]</f>
        <v>0</v>
      </c>
      <c r="N28" s="47"/>
      <c r="O28" s="47"/>
      <c r="P28" s="49">
        <f>Tableau_Lancer_la_requête_à_partir_de_Excel_Files3[[#This Row],[''ALPC'']]+Tableau_Lancer_la_requête_à_partir_de_Excel_Files3[[#This Row],[''AURA'']]+Tableau_Lancer_la_requête_à_partir_de_Excel_Files3[[#This Row],[''BFC'']]+Tableau_Lancer_la_requête_à_partir_de_Excel_Files3[[#This Row],[''LRMP'']]</f>
        <v>0</v>
      </c>
      <c r="Q28" s="47"/>
      <c r="R28" s="47"/>
      <c r="S28" s="47"/>
      <c r="T28" s="47"/>
      <c r="U28"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8" s="47"/>
      <c r="W28" s="47"/>
      <c r="X28" s="47"/>
      <c r="Y28" s="47"/>
      <c r="Z28" s="47"/>
      <c r="AA28" s="47"/>
      <c r="AB28" s="47"/>
      <c r="AC28" s="47"/>
      <c r="AD28" s="47"/>
      <c r="AE28" s="47"/>
      <c r="AF28" s="47"/>
      <c r="AG28" s="47"/>
      <c r="AH28" s="47"/>
      <c r="AI28" s="47"/>
      <c r="AJ28" s="47"/>
      <c r="AK28" s="47"/>
      <c r="AL28" s="47"/>
      <c r="AM28" s="47"/>
      <c r="AN28" s="47"/>
      <c r="AO28" s="47"/>
      <c r="AP28" s="47"/>
      <c r="AQ28" s="47"/>
      <c r="AR28" s="47">
        <v>100000</v>
      </c>
      <c r="AS28" s="47">
        <v>0</v>
      </c>
      <c r="AT28" s="41" t="s">
        <v>77</v>
      </c>
      <c r="AV28" s="55" t="s">
        <v>339</v>
      </c>
      <c r="AW28" s="40" t="s">
        <v>125</v>
      </c>
      <c r="CM28" s="37"/>
      <c r="CN28" s="37"/>
      <c r="CO28" s="37"/>
      <c r="CP28" s="37"/>
      <c r="CQ28" s="37"/>
      <c r="CR28" s="37"/>
      <c r="CS28" s="37"/>
      <c r="CT28" s="37"/>
      <c r="CU28" s="37"/>
      <c r="CV28" s="37"/>
      <c r="CW28" s="37"/>
      <c r="CX28" s="37"/>
      <c r="CY28" s="37"/>
      <c r="CZ28" s="37"/>
      <c r="DA28" s="37"/>
      <c r="DB28" s="37"/>
      <c r="DC28" s="37"/>
      <c r="DD28" s="37"/>
      <c r="DE28" s="37"/>
      <c r="DF28" s="37"/>
      <c r="DG28" s="37"/>
      <c r="DH28" s="37"/>
    </row>
    <row r="29" spans="1:112" x14ac:dyDescent="0.25">
      <c r="A29" s="43" t="s">
        <v>4</v>
      </c>
      <c r="B29" s="45" t="s">
        <v>13</v>
      </c>
      <c r="C29" s="45" t="s">
        <v>13</v>
      </c>
      <c r="D29" s="46" t="s">
        <v>14</v>
      </c>
      <c r="E29" s="46" t="s">
        <v>15</v>
      </c>
      <c r="F29" s="47">
        <v>17300.009999999998</v>
      </c>
      <c r="G29" s="47"/>
      <c r="H29" s="47">
        <f>IF(Tableau_Lancer_la_requête_à_partir_de_Excel_Files3[[#This Row],[Coût total Eligible FEDER]]="",Tableau_Lancer_la_requête_à_partir_de_Excel_Files3[[#This Row],[Coût total déposé]],Tableau_Lancer_la_requête_à_partir_de_Excel_Files3[[#This Row],[Coût total Eligible FEDER]])</f>
        <v>17300.009999999998</v>
      </c>
      <c r="I29" s="47">
        <f>Tableau_Lancer_la_requête_à_partir_de_Excel_Files3[[#This Row],[Aide Massif Obtenu]]+Tableau_Lancer_la_requête_à_partir_de_Excel_Files3[[#This Row],[''Autre Public'']]</f>
        <v>6055</v>
      </c>
      <c r="J29" s="48">
        <f>Tableau_Lancer_la_requête_à_partir_de_Excel_Files3[[#This Row],[Aide Publique Obtenue]]/Tableau_Lancer_la_requête_à_partir_de_Excel_Files3[[#This Row],[Coût total]]</f>
        <v>0.34999979768797823</v>
      </c>
      <c r="K29" s="47">
        <f>Tableau_Lancer_la_requête_à_partir_de_Excel_Files3[[#This Row],[Etat]]+Tableau_Lancer_la_requête_à_partir_de_Excel_Files3[[#This Row],[Régions]]+Tableau_Lancer_la_requête_à_partir_de_Excel_Files3[[#This Row],[Départements]]+Tableau_Lancer_la_requête_à_partir_de_Excel_Files3[[#This Row],[''FEDER'']]</f>
        <v>6055</v>
      </c>
      <c r="L29" s="48">
        <f>Tableau_Lancer_la_requête_à_partir_de_Excel_Files3[[#This Row],[Aide Massif Obtenu]]/Tableau_Lancer_la_requête_à_partir_de_Excel_Files3[[#This Row],[Coût total]]</f>
        <v>0.34999979768797823</v>
      </c>
      <c r="M29" s="49">
        <f>Tableau_Lancer_la_requête_à_partir_de_Excel_Files3[[#This Row],[''FNADT'']]+Tableau_Lancer_la_requête_à_partir_de_Excel_Files3[[#This Row],[''Agriculture'']]</f>
        <v>6055</v>
      </c>
      <c r="N29" s="47">
        <v>6055</v>
      </c>
      <c r="O29" s="47"/>
      <c r="P29" s="49">
        <f>Tableau_Lancer_la_requête_à_partir_de_Excel_Files3[[#This Row],[''ALPC'']]+Tableau_Lancer_la_requête_à_partir_de_Excel_Files3[[#This Row],[''AURA'']]+Tableau_Lancer_la_requête_à_partir_de_Excel_Files3[[#This Row],[''BFC'']]+Tableau_Lancer_la_requête_à_partir_de_Excel_Files3[[#This Row],[''LRMP'']]</f>
        <v>0</v>
      </c>
      <c r="Q29" s="47"/>
      <c r="R29" s="47"/>
      <c r="S29" s="47"/>
      <c r="T29" s="47"/>
      <c r="U29"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9" s="47"/>
      <c r="W29" s="47"/>
      <c r="X29" s="47"/>
      <c r="Y29" s="47"/>
      <c r="Z29" s="47"/>
      <c r="AA29" s="47"/>
      <c r="AB29" s="47"/>
      <c r="AC29" s="47"/>
      <c r="AD29" s="47"/>
      <c r="AE29" s="47"/>
      <c r="AF29" s="47"/>
      <c r="AG29" s="47"/>
      <c r="AH29" s="47"/>
      <c r="AI29" s="47"/>
      <c r="AJ29" s="47"/>
      <c r="AK29" s="47"/>
      <c r="AL29" s="47"/>
      <c r="AM29" s="47"/>
      <c r="AN29" s="47"/>
      <c r="AO29" s="47"/>
      <c r="AP29" s="47"/>
      <c r="AQ29" s="47"/>
      <c r="AR29" s="47">
        <v>0</v>
      </c>
      <c r="AS29" s="47">
        <v>0</v>
      </c>
      <c r="AT29" s="41" t="s">
        <v>77</v>
      </c>
      <c r="AV29" s="64"/>
      <c r="AW29" s="40" t="s">
        <v>13</v>
      </c>
      <c r="CM29" s="37"/>
      <c r="CN29" s="37"/>
      <c r="CO29" s="37"/>
      <c r="CP29" s="37"/>
      <c r="CQ29" s="37"/>
      <c r="CR29" s="37"/>
      <c r="CS29" s="37"/>
      <c r="CT29" s="37"/>
      <c r="CU29" s="37"/>
      <c r="CV29" s="37"/>
      <c r="CW29" s="37"/>
      <c r="CX29" s="37"/>
      <c r="CY29" s="37"/>
      <c r="CZ29" s="37"/>
      <c r="DA29" s="37"/>
      <c r="DB29" s="37"/>
      <c r="DC29" s="37"/>
      <c r="DD29" s="37"/>
      <c r="DE29" s="37"/>
      <c r="DF29" s="37"/>
      <c r="DG29" s="37"/>
      <c r="DH29" s="37"/>
    </row>
    <row r="30" spans="1:112" x14ac:dyDescent="0.25">
      <c r="A30" s="43" t="s">
        <v>4</v>
      </c>
      <c r="B30" s="45" t="s">
        <v>16</v>
      </c>
      <c r="C30" s="45" t="s">
        <v>16</v>
      </c>
      <c r="D30" s="46" t="s">
        <v>12</v>
      </c>
      <c r="E30" s="46" t="s">
        <v>17</v>
      </c>
      <c r="F30" s="47">
        <v>31369.11</v>
      </c>
      <c r="G30" s="47"/>
      <c r="H30" s="47">
        <f>IF(Tableau_Lancer_la_requête_à_partir_de_Excel_Files3[[#This Row],[Coût total Eligible FEDER]]="",Tableau_Lancer_la_requête_à_partir_de_Excel_Files3[[#This Row],[Coût total déposé]],Tableau_Lancer_la_requête_à_partir_de_Excel_Files3[[#This Row],[Coût total Eligible FEDER]])</f>
        <v>31369.11</v>
      </c>
      <c r="I30" s="47">
        <f>Tableau_Lancer_la_requête_à_partir_de_Excel_Files3[[#This Row],[Aide Massif Obtenu]]+Tableau_Lancer_la_requête_à_partir_de_Excel_Files3[[#This Row],[''Autre Public'']]</f>
        <v>10979</v>
      </c>
      <c r="J30" s="48">
        <f>Tableau_Lancer_la_requête_à_partir_de_Excel_Files3[[#This Row],[Aide Publique Obtenue]]/Tableau_Lancer_la_requête_à_partir_de_Excel_Files3[[#This Row],[Coût total]]</f>
        <v>0.34999399090379035</v>
      </c>
      <c r="K30"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10979</v>
      </c>
      <c r="L30" s="48">
        <f>Tableau_Lancer_la_requête_à_partir_de_Excel_Files3[[#This Row],[Aide Massif Obtenu]]/Tableau_Lancer_la_requête_à_partir_de_Excel_Files3[[#This Row],[Coût total]]</f>
        <v>0.34999399090379035</v>
      </c>
      <c r="M30" s="49">
        <f>Tableau_Lancer_la_requête_à_partir_de_Excel_Files3[[#This Row],[''FNADT'']]+Tableau_Lancer_la_requête_à_partir_de_Excel_Files3[[#This Row],[''Agriculture'']]</f>
        <v>10979</v>
      </c>
      <c r="N30" s="47">
        <v>10979</v>
      </c>
      <c r="O30" s="47"/>
      <c r="P30" s="49">
        <f>Tableau_Lancer_la_requête_à_partir_de_Excel_Files3[[#This Row],[''ALPC'']]+Tableau_Lancer_la_requête_à_partir_de_Excel_Files3[[#This Row],[''AURA'']]+Tableau_Lancer_la_requête_à_partir_de_Excel_Files3[[#This Row],[''BFC'']]+Tableau_Lancer_la_requête_à_partir_de_Excel_Files3[[#This Row],[''LRMP'']]</f>
        <v>0</v>
      </c>
      <c r="Q30" s="47"/>
      <c r="R30" s="47"/>
      <c r="S30" s="47"/>
      <c r="T30" s="47"/>
      <c r="U30"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0" s="47"/>
      <c r="W30" s="47"/>
      <c r="X30" s="47"/>
      <c r="Y30" s="47"/>
      <c r="Z30" s="47"/>
      <c r="AA30" s="47"/>
      <c r="AB30" s="47"/>
      <c r="AC30" s="47"/>
      <c r="AD30" s="47"/>
      <c r="AE30" s="47"/>
      <c r="AF30" s="47"/>
      <c r="AG30" s="47"/>
      <c r="AH30" s="47"/>
      <c r="AI30" s="47"/>
      <c r="AJ30" s="47"/>
      <c r="AK30" s="47"/>
      <c r="AL30" s="47"/>
      <c r="AM30" s="47"/>
      <c r="AN30" s="47"/>
      <c r="AO30" s="47"/>
      <c r="AP30" s="47"/>
      <c r="AQ30" s="47"/>
      <c r="AR30" s="47">
        <v>0</v>
      </c>
      <c r="AS30" s="47">
        <v>0</v>
      </c>
      <c r="AT30" s="41" t="s">
        <v>77</v>
      </c>
      <c r="AV30" s="55"/>
      <c r="AW30" s="40" t="s">
        <v>16</v>
      </c>
      <c r="BB30" s="37" t="s">
        <v>352</v>
      </c>
      <c r="BG30" s="37" t="s">
        <v>351</v>
      </c>
      <c r="CM30" s="37"/>
      <c r="CN30" s="37"/>
      <c r="CO30" s="37"/>
      <c r="CP30" s="37"/>
      <c r="CQ30" s="37"/>
      <c r="CR30" s="37"/>
      <c r="CS30" s="37"/>
      <c r="CT30" s="37"/>
      <c r="CU30" s="37"/>
      <c r="CV30" s="37"/>
      <c r="CW30" s="37"/>
      <c r="CX30" s="37"/>
      <c r="CY30" s="37"/>
      <c r="CZ30" s="37"/>
      <c r="DA30" s="37"/>
      <c r="DB30" s="37"/>
      <c r="DC30" s="37"/>
      <c r="DD30" s="37"/>
      <c r="DE30" s="37"/>
      <c r="DF30" s="37"/>
      <c r="DG30" s="37"/>
      <c r="DH30" s="37"/>
    </row>
    <row r="31" spans="1:112" ht="90" x14ac:dyDescent="0.25">
      <c r="A31" s="43" t="s">
        <v>5</v>
      </c>
      <c r="B31" s="45" t="s">
        <v>360</v>
      </c>
      <c r="C31" s="45" t="s">
        <v>357</v>
      </c>
      <c r="D31" s="46" t="s">
        <v>358</v>
      </c>
      <c r="E31" s="46" t="s">
        <v>359</v>
      </c>
      <c r="F31" s="47">
        <v>66640</v>
      </c>
      <c r="G31" s="47">
        <v>63357.31</v>
      </c>
      <c r="H31" s="47">
        <f>IF(Tableau_Lancer_la_requête_à_partir_de_Excel_Files3[[#This Row],[Coût total Eligible FEDER]]="",Tableau_Lancer_la_requête_à_partir_de_Excel_Files3[[#This Row],[Coût total déposé]],Tableau_Lancer_la_requête_à_partir_de_Excel_Files3[[#This Row],[Coût total Eligible FEDER]])</f>
        <v>63357.31</v>
      </c>
      <c r="I31" s="47">
        <f>Tableau_Lancer_la_requête_à_partir_de_Excel_Files3[[#This Row],[Aide Massif Obtenu]]+Tableau_Lancer_la_requête_à_partir_de_Excel_Files3[[#This Row],[''Autre Public'']]</f>
        <v>63357.31</v>
      </c>
      <c r="J31" s="48">
        <f>Tableau_Lancer_la_requête_à_partir_de_Excel_Files3[[#This Row],[Aide Publique Obtenue]]/Tableau_Lancer_la_requête_à_partir_de_Excel_Files3[[#This Row],[Coût total]]</f>
        <v>1</v>
      </c>
      <c r="K31" s="47">
        <f>Tableau_Lancer_la_requête_à_partir_de_Excel_Files3[[#This Row],[Etat]]+Tableau_Lancer_la_requête_à_partir_de_Excel_Files3[[#This Row],[Régions]]+Tableau_Lancer_la_requête_à_partir_de_Excel_Files3[[#This Row],[Départements]]+Tableau_Lancer_la_requête_à_partir_de_Excel_Files3[[#This Row],[''FEDER'']]</f>
        <v>63357.31</v>
      </c>
      <c r="L31" s="48">
        <f>Tableau_Lancer_la_requête_à_partir_de_Excel_Files3[[#This Row],[Aide Massif Obtenu]]/Tableau_Lancer_la_requête_à_partir_de_Excel_Files3[[#This Row],[Coût total]]</f>
        <v>1</v>
      </c>
      <c r="M31" s="49">
        <f>Tableau_Lancer_la_requête_à_partir_de_Excel_Files3[[#This Row],[''FNADT'']]+Tableau_Lancer_la_requête_à_partir_de_Excel_Files3[[#This Row],[''Agriculture'']]</f>
        <v>0</v>
      </c>
      <c r="N31" s="47"/>
      <c r="O31" s="47"/>
      <c r="P31" s="49">
        <f>Tableau_Lancer_la_requête_à_partir_de_Excel_Files3[[#This Row],[''ALPC'']]+Tableau_Lancer_la_requête_à_partir_de_Excel_Files3[[#This Row],[''AURA'']]+Tableau_Lancer_la_requête_à_partir_de_Excel_Files3[[#This Row],[''BFC'']]+Tableau_Lancer_la_requête_à_partir_de_Excel_Files3[[#This Row],[''LRMP'']]</f>
        <v>33320</v>
      </c>
      <c r="Q31" s="47"/>
      <c r="R31" s="47">
        <v>33320</v>
      </c>
      <c r="S31" s="47"/>
      <c r="T31" s="47"/>
      <c r="U31"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1" s="47"/>
      <c r="W31" s="47"/>
      <c r="X31" s="47"/>
      <c r="Y31" s="47"/>
      <c r="Z31" s="47"/>
      <c r="AA31" s="47"/>
      <c r="AB31" s="47"/>
      <c r="AC31" s="47"/>
      <c r="AD31" s="47"/>
      <c r="AE31" s="47"/>
      <c r="AF31" s="47"/>
      <c r="AG31" s="47"/>
      <c r="AH31" s="47"/>
      <c r="AI31" s="47"/>
      <c r="AJ31" s="47"/>
      <c r="AK31" s="47"/>
      <c r="AL31" s="47"/>
      <c r="AM31" s="47"/>
      <c r="AN31" s="47"/>
      <c r="AO31" s="47"/>
      <c r="AP31" s="47"/>
      <c r="AQ31" s="47"/>
      <c r="AR31" s="47">
        <v>30037.31</v>
      </c>
      <c r="AS31" s="47">
        <v>0</v>
      </c>
      <c r="AT31" s="41" t="s">
        <v>77</v>
      </c>
      <c r="AV31" s="64" t="s">
        <v>355</v>
      </c>
      <c r="AW31" s="40" t="s">
        <v>357</v>
      </c>
      <c r="AY31" s="40" t="s">
        <v>112</v>
      </c>
      <c r="AZ31" s="52">
        <f ca="1">SUMIF(Tableau_Lancer_la_requête_à_partir_de_Excel_Files3[Avis Prog],"1-Favorable",Tableau3[''FEDER''])</f>
        <v>3245.2</v>
      </c>
      <c r="BB31" s="37">
        <f>SUMIF(Tableau3[Avis],"1-Favorable",Tableau3[''FEDER''])</f>
        <v>1622.6</v>
      </c>
      <c r="BG31" s="37">
        <f>SUMIF(Tableau3[Avis],"0",Tableau3[''FEDER''])</f>
        <v>0</v>
      </c>
      <c r="CM31" s="37"/>
      <c r="CN31" s="37"/>
      <c r="CO31" s="37"/>
      <c r="CP31" s="37"/>
      <c r="CQ31" s="37"/>
      <c r="CR31" s="37"/>
      <c r="CS31" s="37"/>
      <c r="CT31" s="37"/>
      <c r="CU31" s="37"/>
      <c r="CV31" s="37"/>
      <c r="CW31" s="37"/>
      <c r="CX31" s="37"/>
      <c r="CY31" s="37"/>
      <c r="CZ31" s="37"/>
      <c r="DA31" s="37"/>
      <c r="DB31" s="37"/>
      <c r="DC31" s="37"/>
      <c r="DD31" s="37"/>
      <c r="DE31" s="37"/>
      <c r="DF31" s="37"/>
      <c r="DG31" s="37"/>
      <c r="DH31" s="37"/>
    </row>
    <row r="32" spans="1:112" ht="45" x14ac:dyDescent="0.25">
      <c r="A32" s="43" t="s">
        <v>5</v>
      </c>
      <c r="B32" s="45" t="s">
        <v>274</v>
      </c>
      <c r="C32" s="45" t="s">
        <v>271</v>
      </c>
      <c r="D32" s="46" t="s">
        <v>272</v>
      </c>
      <c r="E32" s="46" t="s">
        <v>273</v>
      </c>
      <c r="F32" s="47">
        <v>378718.44</v>
      </c>
      <c r="G32" s="47">
        <v>379249.95</v>
      </c>
      <c r="H32" s="47">
        <f>IF(Tableau_Lancer_la_requête_à_partir_de_Excel_Files3[[#This Row],[Coût total Eligible FEDER]]="",Tableau_Lancer_la_requête_à_partir_de_Excel_Files3[[#This Row],[Coût total déposé]],Tableau_Lancer_la_requête_à_partir_de_Excel_Files3[[#This Row],[Coût total Eligible FEDER]])</f>
        <v>379249.95</v>
      </c>
      <c r="I32" s="47">
        <f>Tableau_Lancer_la_requête_à_partir_de_Excel_Files3[[#This Row],[Aide Massif Obtenu]]+Tableau_Lancer_la_requête_à_partir_de_Excel_Files3[[#This Row],[''Autre Public'']]</f>
        <v>262390.52</v>
      </c>
      <c r="J32" s="48">
        <f>Tableau_Lancer_la_requête_à_partir_de_Excel_Files3[[#This Row],[Aide Publique Obtenue]]/Tableau_Lancer_la_requête_à_partir_de_Excel_Files3[[#This Row],[Coût total]]</f>
        <v>0.69186698640303057</v>
      </c>
      <c r="K32" s="47">
        <f>Tableau_Lancer_la_requête_à_partir_de_Excel_Files3[[#This Row],[Etat]]+Tableau_Lancer_la_requête_à_partir_de_Excel_Files3[[#This Row],[Régions]]+Tableau_Lancer_la_requête_à_partir_de_Excel_Files3[[#This Row],[Départements]]+Tableau_Lancer_la_requête_à_partir_de_Excel_Files3[[#This Row],[''FEDER'']]</f>
        <v>225485.12</v>
      </c>
      <c r="L32" s="48">
        <f>Tableau_Lancer_la_requête_à_partir_de_Excel_Files3[[#This Row],[Aide Massif Obtenu]]/Tableau_Lancer_la_requête_à_partir_de_Excel_Files3[[#This Row],[Coût total]]</f>
        <v>0.59455543764738794</v>
      </c>
      <c r="M32" s="49">
        <f>Tableau_Lancer_la_requête_à_partir_de_Excel_Files3[[#This Row],[''FNADT'']]+Tableau_Lancer_la_requête_à_partir_de_Excel_Files3[[#This Row],[''Agriculture'']]</f>
        <v>90892</v>
      </c>
      <c r="N32" s="47">
        <v>90892</v>
      </c>
      <c r="O32" s="47"/>
      <c r="P32" s="49">
        <f>Tableau_Lancer_la_requête_à_partir_de_Excel_Files3[[#This Row],[''ALPC'']]+Tableau_Lancer_la_requête_à_partir_de_Excel_Files3[[#This Row],[''AURA'']]+Tableau_Lancer_la_requête_à_partir_de_Excel_Files3[[#This Row],[''BFC'']]+Tableau_Lancer_la_requête_à_partir_de_Excel_Files3[[#This Row],[''LRMP'']]</f>
        <v>34593.120000000003</v>
      </c>
      <c r="Q32" s="47"/>
      <c r="R32" s="47">
        <v>34593.120000000003</v>
      </c>
      <c r="S32" s="47"/>
      <c r="T32" s="47"/>
      <c r="U32"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2" s="47"/>
      <c r="W32" s="47"/>
      <c r="X32" s="47"/>
      <c r="Y32" s="47"/>
      <c r="Z32" s="47"/>
      <c r="AA32" s="47"/>
      <c r="AB32" s="47"/>
      <c r="AC32" s="47"/>
      <c r="AD32" s="47"/>
      <c r="AE32" s="47"/>
      <c r="AF32" s="47"/>
      <c r="AG32" s="47"/>
      <c r="AH32" s="47"/>
      <c r="AI32" s="47"/>
      <c r="AJ32" s="47"/>
      <c r="AK32" s="47"/>
      <c r="AL32" s="47"/>
      <c r="AM32" s="47"/>
      <c r="AN32" s="47"/>
      <c r="AO32" s="47"/>
      <c r="AP32" s="47"/>
      <c r="AQ32" s="47"/>
      <c r="AR32" s="47">
        <v>100000</v>
      </c>
      <c r="AS32" s="47">
        <v>36905.4</v>
      </c>
      <c r="AT32" s="41" t="s">
        <v>77</v>
      </c>
      <c r="AV32" s="55" t="s">
        <v>324</v>
      </c>
      <c r="AW32" s="40" t="s">
        <v>271</v>
      </c>
      <c r="AY32" s="40" t="s">
        <v>56</v>
      </c>
      <c r="AZ32" s="52">
        <f ca="1">SUMIF(Tableau_Lancer_la_requête_à_partir_de_Excel_Files3[Avis Prog],"1-Favorable",Tableau3[Etat])</f>
        <v>-41852</v>
      </c>
      <c r="BB32" s="37">
        <f>SUMIF(Tableau3[Avis],"1-Favorable",Tableau3[Etat])</f>
        <v>-20926</v>
      </c>
      <c r="BG32" s="37">
        <f>SUMIF(Tableau3[Avis],"0",Tableau3[Etat])</f>
        <v>0</v>
      </c>
      <c r="CM32" s="37"/>
      <c r="CN32" s="37"/>
      <c r="CO32" s="37"/>
      <c r="CP32" s="37"/>
      <c r="CQ32" s="37"/>
      <c r="CR32" s="37"/>
      <c r="CS32" s="37"/>
      <c r="CT32" s="37"/>
      <c r="CU32" s="37"/>
      <c r="CV32" s="37"/>
      <c r="CW32" s="37"/>
      <c r="CX32" s="37"/>
      <c r="CY32" s="37"/>
      <c r="CZ32" s="37"/>
      <c r="DA32" s="37"/>
      <c r="DB32" s="37"/>
      <c r="DC32" s="37"/>
      <c r="DD32" s="37"/>
      <c r="DE32" s="37"/>
      <c r="DF32" s="37"/>
      <c r="DG32" s="37"/>
      <c r="DH32" s="37"/>
    </row>
    <row r="33" spans="1:112" ht="75" x14ac:dyDescent="0.25">
      <c r="A33" s="43" t="s">
        <v>5</v>
      </c>
      <c r="B33" s="45" t="s">
        <v>366</v>
      </c>
      <c r="C33" s="45" t="s">
        <v>74</v>
      </c>
      <c r="D33" s="46" t="s">
        <v>75</v>
      </c>
      <c r="E33" s="46" t="s">
        <v>365</v>
      </c>
      <c r="F33" s="47">
        <v>82880</v>
      </c>
      <c r="G33" s="47">
        <v>82880</v>
      </c>
      <c r="H33" s="47">
        <f>IF(Tableau_Lancer_la_requête_à_partir_de_Excel_Files3[[#This Row],[Coût total Eligible FEDER]]="",Tableau_Lancer_la_requête_à_partir_de_Excel_Files3[[#This Row],[Coût total déposé]],Tableau_Lancer_la_requête_à_partir_de_Excel_Files3[[#This Row],[Coût total Eligible FEDER]])</f>
        <v>82880</v>
      </c>
      <c r="I33" s="47">
        <f>Tableau_Lancer_la_requête_à_partir_de_Excel_Files3[[#This Row],[Aide Massif Obtenu]]+Tableau_Lancer_la_requête_à_partir_de_Excel_Files3[[#This Row],[''Autre Public'']]</f>
        <v>57880</v>
      </c>
      <c r="J33" s="48">
        <f>Tableau_Lancer_la_requête_à_partir_de_Excel_Files3[[#This Row],[Aide Publique Obtenue]]/Tableau_Lancer_la_requête_à_partir_de_Excel_Files3[[#This Row],[Coût total]]</f>
        <v>0.69835907335907332</v>
      </c>
      <c r="K33" s="47">
        <f>Tableau_Lancer_la_requête_à_partir_de_Excel_Files3[[#This Row],[Etat]]+Tableau_Lancer_la_requête_à_partir_de_Excel_Files3[[#This Row],[Régions]]+Tableau_Lancer_la_requête_à_partir_de_Excel_Files3[[#This Row],[Départements]]+Tableau_Lancer_la_requête_à_partir_de_Excel_Files3[[#This Row],[''FEDER'']]</f>
        <v>57880</v>
      </c>
      <c r="L33" s="48">
        <f>Tableau_Lancer_la_requête_à_partir_de_Excel_Files3[[#This Row],[Aide Massif Obtenu]]/Tableau_Lancer_la_requête_à_partir_de_Excel_Files3[[#This Row],[Coût total]]</f>
        <v>0.69835907335907332</v>
      </c>
      <c r="M33" s="49">
        <f>Tableau_Lancer_la_requête_à_partir_de_Excel_Files3[[#This Row],[''FNADT'']]+Tableau_Lancer_la_requête_à_partir_de_Excel_Files3[[#This Row],[''Agriculture'']]</f>
        <v>16576</v>
      </c>
      <c r="N33" s="47">
        <v>16576</v>
      </c>
      <c r="O33" s="47"/>
      <c r="P33" s="49">
        <f>Tableau_Lancer_la_requête_à_partir_de_Excel_Files3[[#This Row],[''ALPC'']]+Tableau_Lancer_la_requête_à_partir_de_Excel_Files3[[#This Row],[''AURA'']]+Tableau_Lancer_la_requête_à_partir_de_Excel_Files3[[#This Row],[''BFC'']]+Tableau_Lancer_la_requête_à_partir_de_Excel_Files3[[#This Row],[''LRMP'']]</f>
        <v>0</v>
      </c>
      <c r="Q33" s="47"/>
      <c r="R33" s="47"/>
      <c r="S33" s="47"/>
      <c r="T33" s="47"/>
      <c r="U33"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3" s="47"/>
      <c r="W33" s="47"/>
      <c r="X33" s="47"/>
      <c r="Y33" s="47"/>
      <c r="Z33" s="47"/>
      <c r="AA33" s="47"/>
      <c r="AB33" s="47"/>
      <c r="AC33" s="47"/>
      <c r="AD33" s="47"/>
      <c r="AE33" s="47"/>
      <c r="AF33" s="47"/>
      <c r="AG33" s="47"/>
      <c r="AH33" s="47"/>
      <c r="AI33" s="47"/>
      <c r="AJ33" s="47"/>
      <c r="AK33" s="47"/>
      <c r="AL33" s="47"/>
      <c r="AM33" s="47"/>
      <c r="AN33" s="47"/>
      <c r="AO33" s="47"/>
      <c r="AP33" s="47"/>
      <c r="AQ33" s="47"/>
      <c r="AR33" s="47">
        <v>41304</v>
      </c>
      <c r="AS33" s="47">
        <v>0</v>
      </c>
      <c r="AT33" s="41" t="s">
        <v>77</v>
      </c>
      <c r="AV33" s="64" t="s">
        <v>355</v>
      </c>
      <c r="AW33" s="40" t="s">
        <v>74</v>
      </c>
      <c r="AY33" s="40" t="s">
        <v>57</v>
      </c>
      <c r="AZ33" s="52">
        <f ca="1">SUMIF(Tableau_Lancer_la_requête_à_partir_de_Excel_Files3[Avis Prog],"1-Favorable",Tableau3[Régions])</f>
        <v>-41514.400000000001</v>
      </c>
      <c r="BB33" s="37">
        <f>SUMIF(Tableau3[Avis],"1-Favorable",Tableau3[Régions])</f>
        <v>-7125</v>
      </c>
      <c r="BG33" s="37">
        <f>SUMIF(Tableau3[Avis],"0",Tableau3[Régions])</f>
        <v>0</v>
      </c>
      <c r="CM33" s="37"/>
      <c r="CN33" s="37"/>
      <c r="CO33" s="37"/>
      <c r="CP33" s="37"/>
      <c r="CQ33" s="37"/>
      <c r="CR33" s="37"/>
      <c r="CS33" s="37"/>
      <c r="CT33" s="37"/>
      <c r="CU33" s="37"/>
      <c r="CV33" s="37"/>
      <c r="CW33" s="37"/>
      <c r="CX33" s="37"/>
      <c r="CY33" s="37"/>
      <c r="CZ33" s="37"/>
      <c r="DA33" s="37"/>
      <c r="DB33" s="37"/>
      <c r="DC33" s="37"/>
      <c r="DD33" s="37"/>
      <c r="DE33" s="37"/>
      <c r="DF33" s="37"/>
      <c r="DG33" s="37"/>
      <c r="DH33" s="37"/>
    </row>
    <row r="34" spans="1:112" ht="75" x14ac:dyDescent="0.25">
      <c r="A34" s="43" t="s">
        <v>5</v>
      </c>
      <c r="B34" s="45" t="s">
        <v>368</v>
      </c>
      <c r="C34" s="45" t="s">
        <v>74</v>
      </c>
      <c r="D34" s="46" t="s">
        <v>367</v>
      </c>
      <c r="E34" s="46" t="s">
        <v>365</v>
      </c>
      <c r="F34" s="47">
        <v>260000</v>
      </c>
      <c r="G34" s="47">
        <v>262696.65000000002</v>
      </c>
      <c r="H34" s="47">
        <f>IF(Tableau_Lancer_la_requête_à_partir_de_Excel_Files3[[#This Row],[Coût total Eligible FEDER]]="",Tableau_Lancer_la_requête_à_partir_de_Excel_Files3[[#This Row],[Coût total déposé]],Tableau_Lancer_la_requête_à_partir_de_Excel_Files3[[#This Row],[Coût total Eligible FEDER]])</f>
        <v>262696.65000000002</v>
      </c>
      <c r="I34" s="47">
        <f>Tableau_Lancer_la_requête_à_partir_de_Excel_Files3[[#This Row],[Aide Massif Obtenu]]+Tableau_Lancer_la_requête_à_partir_de_Excel_Files3[[#This Row],[''Autre Public'']]</f>
        <v>130674</v>
      </c>
      <c r="J34" s="48">
        <f>Tableau_Lancer_la_requête_à_partir_de_Excel_Files3[[#This Row],[Aide Publique Obtenue]]/Tableau_Lancer_la_requête_à_partir_de_Excel_Files3[[#This Row],[Coût total]]</f>
        <v>0.4974330658575204</v>
      </c>
      <c r="K34"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130674</v>
      </c>
      <c r="L34" s="48">
        <f>Tableau_Lancer_la_requête_à_partir_de_Excel_Files3[[#This Row],[Aide Massif Obtenu]]/Tableau_Lancer_la_requête_à_partir_de_Excel_Files3[[#This Row],[Coût total]]</f>
        <v>0.4974330658575204</v>
      </c>
      <c r="M34" s="49">
        <f>Tableau_Lancer_la_requête_à_partir_de_Excel_Files3[[#This Row],[''FNADT'']]+Tableau_Lancer_la_requête_à_partir_de_Excel_Files3[[#This Row],[''Agriculture'']]</f>
        <v>65000</v>
      </c>
      <c r="N34" s="47">
        <v>65000</v>
      </c>
      <c r="O34" s="47"/>
      <c r="P34" s="49">
        <f>Tableau_Lancer_la_requête_à_partir_de_Excel_Files3[[#This Row],[''ALPC'']]+Tableau_Lancer_la_requête_à_partir_de_Excel_Files3[[#This Row],[''AURA'']]+Tableau_Lancer_la_requête_à_partir_de_Excel_Files3[[#This Row],[''BFC'']]+Tableau_Lancer_la_requête_à_partir_de_Excel_Files3[[#This Row],[''LRMP'']]</f>
        <v>0</v>
      </c>
      <c r="Q34" s="47"/>
      <c r="R34" s="47"/>
      <c r="S34" s="47"/>
      <c r="T34" s="47"/>
      <c r="U34"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4" s="47"/>
      <c r="W34" s="47"/>
      <c r="X34" s="47"/>
      <c r="Y34" s="47"/>
      <c r="Z34" s="47"/>
      <c r="AA34" s="47"/>
      <c r="AB34" s="47"/>
      <c r="AC34" s="47"/>
      <c r="AD34" s="47"/>
      <c r="AE34" s="47"/>
      <c r="AF34" s="47"/>
      <c r="AG34" s="47"/>
      <c r="AH34" s="47"/>
      <c r="AI34" s="47"/>
      <c r="AJ34" s="47"/>
      <c r="AK34" s="47"/>
      <c r="AL34" s="47"/>
      <c r="AM34" s="47"/>
      <c r="AN34" s="47"/>
      <c r="AO34" s="47"/>
      <c r="AP34" s="47"/>
      <c r="AQ34" s="47"/>
      <c r="AR34" s="47">
        <v>65674</v>
      </c>
      <c r="AS34" s="47">
        <v>0</v>
      </c>
      <c r="AT34" s="41" t="s">
        <v>77</v>
      </c>
      <c r="AV34" s="55" t="s">
        <v>355</v>
      </c>
      <c r="AW34" s="40" t="s">
        <v>74</v>
      </c>
      <c r="AY34" s="52" t="s">
        <v>113</v>
      </c>
      <c r="AZ34" s="52">
        <f ca="1">SUMIF(Tableau_Lancer_la_requête_à_partir_de_Excel_Files3[Avis Prog],"1-Favorable",Tableau3[''ALPC''])</f>
        <v>-28738</v>
      </c>
      <c r="BB34" s="37">
        <f>SUMIF(Tableau3[Avis],"1-Favorable",Tableau3[''ALPC''])</f>
        <v>-14369</v>
      </c>
      <c r="BG34" s="37">
        <f>SUMIF(Tableau3[Avis],"0",Tableau3[''ALPC''])</f>
        <v>0</v>
      </c>
      <c r="CM34" s="37"/>
      <c r="CN34" s="37"/>
      <c r="CO34" s="37"/>
      <c r="CP34" s="37"/>
      <c r="CQ34" s="37"/>
      <c r="CR34" s="37"/>
      <c r="CS34" s="37"/>
      <c r="CT34" s="37"/>
      <c r="CU34" s="37"/>
      <c r="CV34" s="37"/>
      <c r="CW34" s="37"/>
      <c r="CX34" s="37"/>
      <c r="CY34" s="37"/>
      <c r="CZ34" s="37"/>
      <c r="DA34" s="37"/>
      <c r="DB34" s="37"/>
      <c r="DC34" s="37"/>
      <c r="DD34" s="37"/>
      <c r="DE34" s="37"/>
      <c r="DF34" s="37"/>
      <c r="DG34" s="37"/>
      <c r="DH34" s="37"/>
    </row>
    <row r="35" spans="1:112" ht="45" x14ac:dyDescent="0.25">
      <c r="A35" s="43" t="s">
        <v>5</v>
      </c>
      <c r="B35" s="45" t="s">
        <v>67</v>
      </c>
      <c r="C35" s="45" t="s">
        <v>65</v>
      </c>
      <c r="D35" s="46" t="s">
        <v>61</v>
      </c>
      <c r="E35" s="46" t="s">
        <v>66</v>
      </c>
      <c r="F35" s="47">
        <v>107000</v>
      </c>
      <c r="G35" s="47">
        <v>107000</v>
      </c>
      <c r="H35" s="47">
        <f>IF(Tableau_Lancer_la_requête_à_partir_de_Excel_Files3[[#This Row],[Coût total Eligible FEDER]]="",Tableau_Lancer_la_requête_à_partir_de_Excel_Files3[[#This Row],[Coût total déposé]],Tableau_Lancer_la_requête_à_partir_de_Excel_Files3[[#This Row],[Coût total Eligible FEDER]])</f>
        <v>107000</v>
      </c>
      <c r="I35" s="47">
        <f>Tableau_Lancer_la_requête_à_partir_de_Excel_Files3[[#This Row],[Aide Massif Obtenu]]+Tableau_Lancer_la_requête_à_partir_de_Excel_Files3[[#This Row],[''Autre Public'']]</f>
        <v>74900</v>
      </c>
      <c r="J35" s="48">
        <f>Tableau_Lancer_la_requête_à_partir_de_Excel_Files3[[#This Row],[Aide Publique Obtenue]]/Tableau_Lancer_la_requête_à_partir_de_Excel_Files3[[#This Row],[Coût total]]</f>
        <v>0.7</v>
      </c>
      <c r="K35" s="47">
        <f>Tableau_Lancer_la_requête_à_partir_de_Excel_Files3[[#This Row],[Etat]]+Tableau_Lancer_la_requête_à_partir_de_Excel_Files3[[#This Row],[Régions]]+Tableau_Lancer_la_requête_à_partir_de_Excel_Files3[[#This Row],[Départements]]+Tableau_Lancer_la_requête_à_partir_de_Excel_Files3[[#This Row],[''FEDER'']]</f>
        <v>74900</v>
      </c>
      <c r="L35" s="48">
        <f>Tableau_Lancer_la_requête_à_partir_de_Excel_Files3[[#This Row],[Aide Massif Obtenu]]/Tableau_Lancer_la_requête_à_partir_de_Excel_Files3[[#This Row],[Coût total]]</f>
        <v>0.7</v>
      </c>
      <c r="M35" s="49">
        <f>Tableau_Lancer_la_requête_à_partir_de_Excel_Files3[[#This Row],[''FNADT'']]+Tableau_Lancer_la_requête_à_partir_de_Excel_Files3[[#This Row],[''Agriculture'']]</f>
        <v>0</v>
      </c>
      <c r="N35" s="47"/>
      <c r="O35" s="47"/>
      <c r="P35" s="49">
        <f>Tableau_Lancer_la_requête_à_partir_de_Excel_Files3[[#This Row],[''ALPC'']]+Tableau_Lancer_la_requête_à_partir_de_Excel_Files3[[#This Row],[''AURA'']]+Tableau_Lancer_la_requête_à_partir_de_Excel_Files3[[#This Row],[''BFC'']]+Tableau_Lancer_la_requête_à_partir_de_Excel_Files3[[#This Row],[''LRMP'']]</f>
        <v>32100</v>
      </c>
      <c r="Q35" s="47"/>
      <c r="R35" s="47"/>
      <c r="S35" s="47">
        <v>32100</v>
      </c>
      <c r="T35" s="47"/>
      <c r="U35"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5" s="47"/>
      <c r="W35" s="47"/>
      <c r="X35" s="47"/>
      <c r="Y35" s="47"/>
      <c r="Z35" s="47"/>
      <c r="AA35" s="47"/>
      <c r="AB35" s="47"/>
      <c r="AC35" s="47"/>
      <c r="AD35" s="47"/>
      <c r="AE35" s="47"/>
      <c r="AF35" s="47"/>
      <c r="AG35" s="47"/>
      <c r="AH35" s="47"/>
      <c r="AI35" s="47"/>
      <c r="AJ35" s="47"/>
      <c r="AK35" s="47"/>
      <c r="AL35" s="47"/>
      <c r="AM35" s="47"/>
      <c r="AN35" s="47"/>
      <c r="AO35" s="47"/>
      <c r="AP35" s="47"/>
      <c r="AQ35" s="47"/>
      <c r="AR35" s="47">
        <v>42800</v>
      </c>
      <c r="AS35" s="47">
        <v>0</v>
      </c>
      <c r="AT35" s="41" t="s">
        <v>77</v>
      </c>
      <c r="AV35" s="64" t="s">
        <v>69</v>
      </c>
      <c r="AW35" s="40" t="s">
        <v>65</v>
      </c>
      <c r="AY35" s="52" t="s">
        <v>114</v>
      </c>
      <c r="AZ35" s="52">
        <f ca="1">SUMIF(Tableau_Lancer_la_requête_à_partir_de_Excel_Files3[Avis Prog],"1-Favorable",Tableau3[''AURA''])</f>
        <v>32000</v>
      </c>
      <c r="BB35" s="37">
        <f>SUMIF(Tableau3[Avis],"1-Favorable",Tableau3[''AURA''])</f>
        <v>16000</v>
      </c>
      <c r="BG35" s="37">
        <f>SUMIF(Tableau3[Avis],"0",Tableau3[''AURA''])</f>
        <v>0</v>
      </c>
      <c r="CM35" s="37"/>
      <c r="CN35" s="37"/>
      <c r="CO35" s="37"/>
      <c r="CP35" s="37"/>
      <c r="CQ35" s="37"/>
      <c r="CR35" s="37"/>
      <c r="CS35" s="37"/>
      <c r="CT35" s="37"/>
      <c r="CU35" s="37"/>
      <c r="CV35" s="37"/>
      <c r="CW35" s="37"/>
      <c r="CX35" s="37"/>
      <c r="CY35" s="37"/>
      <c r="CZ35" s="37"/>
      <c r="DA35" s="37"/>
      <c r="DB35" s="37"/>
      <c r="DC35" s="37"/>
      <c r="DD35" s="37"/>
      <c r="DE35" s="37"/>
      <c r="DF35" s="37"/>
      <c r="DG35" s="37"/>
      <c r="DH35" s="37"/>
    </row>
    <row r="36" spans="1:112" ht="75" x14ac:dyDescent="0.25">
      <c r="A36" s="43" t="s">
        <v>5</v>
      </c>
      <c r="B36" s="45" t="s">
        <v>376</v>
      </c>
      <c r="C36" s="45" t="s">
        <v>373</v>
      </c>
      <c r="D36" s="46" t="s">
        <v>374</v>
      </c>
      <c r="E36" s="46" t="s">
        <v>375</v>
      </c>
      <c r="F36" s="47">
        <v>288621.685</v>
      </c>
      <c r="G36" s="47">
        <v>270620.49</v>
      </c>
      <c r="H36" s="47">
        <f>IF(Tableau_Lancer_la_requête_à_partir_de_Excel_Files3[[#This Row],[Coût total Eligible FEDER]]="",Tableau_Lancer_la_requête_à_partir_de_Excel_Files3[[#This Row],[Coût total déposé]],Tableau_Lancer_la_requête_à_partir_de_Excel_Files3[[#This Row],[Coût total Eligible FEDER]])</f>
        <v>270620.49</v>
      </c>
      <c r="I36" s="47">
        <f>Tableau_Lancer_la_requête_à_partir_de_Excel_Files3[[#This Row],[Aide Massif Obtenu]]+Tableau_Lancer_la_requête_à_partir_de_Excel_Files3[[#This Row],[''Autre Public'']]</f>
        <v>135310.25</v>
      </c>
      <c r="J36" s="48">
        <f>Tableau_Lancer_la_requête_à_partir_de_Excel_Files3[[#This Row],[Aide Publique Obtenue]]/Tableau_Lancer_la_requête_à_partir_de_Excel_Files3[[#This Row],[Coût total]]</f>
        <v>0.50000001847605846</v>
      </c>
      <c r="K36"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135310.25</v>
      </c>
      <c r="L36" s="48">
        <f>Tableau_Lancer_la_requête_à_partir_de_Excel_Files3[[#This Row],[Aide Massif Obtenu]]/Tableau_Lancer_la_requête_à_partir_de_Excel_Files3[[#This Row],[Coût total]]</f>
        <v>0.50000001847605846</v>
      </c>
      <c r="M36" s="49">
        <f>Tableau_Lancer_la_requête_à_partir_de_Excel_Files3[[#This Row],[''FNADT'']]+Tableau_Lancer_la_requête_à_partir_de_Excel_Files3[[#This Row],[''Agriculture'']]</f>
        <v>35310.25</v>
      </c>
      <c r="N36" s="47">
        <v>35310.25</v>
      </c>
      <c r="O36" s="47"/>
      <c r="P36" s="49">
        <f>Tableau_Lancer_la_requête_à_partir_de_Excel_Files3[[#This Row],[''ALPC'']]+Tableau_Lancer_la_requête_à_partir_de_Excel_Files3[[#This Row],[''AURA'']]+Tableau_Lancer_la_requête_à_partir_de_Excel_Files3[[#This Row],[''BFC'']]+Tableau_Lancer_la_requête_à_partir_de_Excel_Files3[[#This Row],[''LRMP'']]</f>
        <v>0</v>
      </c>
      <c r="Q36" s="47"/>
      <c r="R36" s="47"/>
      <c r="S36" s="47"/>
      <c r="T36" s="47"/>
      <c r="U36"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6" s="47"/>
      <c r="W36" s="47"/>
      <c r="X36" s="47"/>
      <c r="Y36" s="47"/>
      <c r="Z36" s="47"/>
      <c r="AA36" s="47"/>
      <c r="AB36" s="47"/>
      <c r="AC36" s="47"/>
      <c r="AD36" s="47"/>
      <c r="AE36" s="47"/>
      <c r="AF36" s="47"/>
      <c r="AG36" s="47"/>
      <c r="AH36" s="47"/>
      <c r="AI36" s="47"/>
      <c r="AJ36" s="47"/>
      <c r="AK36" s="47"/>
      <c r="AL36" s="47"/>
      <c r="AM36" s="47"/>
      <c r="AN36" s="47"/>
      <c r="AO36" s="47"/>
      <c r="AP36" s="47"/>
      <c r="AQ36" s="47"/>
      <c r="AR36" s="47">
        <v>100000</v>
      </c>
      <c r="AS36" s="47">
        <v>0</v>
      </c>
      <c r="AT36" s="41" t="s">
        <v>77</v>
      </c>
      <c r="AV36" s="55" t="s">
        <v>355</v>
      </c>
      <c r="AW36" s="40" t="s">
        <v>373</v>
      </c>
      <c r="AY36" s="52" t="s">
        <v>115</v>
      </c>
      <c r="AZ36" s="52">
        <f ca="1">SUMIF(Tableau_Lancer_la_requête_à_partir_de_Excel_Files3[Avis Prog],"1-Favorable",Tableau3[''BFC''])</f>
        <v>0</v>
      </c>
      <c r="BB36" s="37">
        <f>SUMIF(Tableau3[Avis],"1-Favorable",Tableau3[''BFC''])</f>
        <v>0</v>
      </c>
      <c r="BG36" s="37">
        <f>SUMIF(Tableau3[Avis],"0",Tableau3[''BFC''])</f>
        <v>0</v>
      </c>
      <c r="CM36" s="37"/>
      <c r="CN36" s="37"/>
      <c r="CO36" s="37"/>
      <c r="CP36" s="37"/>
      <c r="CQ36" s="37"/>
      <c r="CR36" s="37"/>
      <c r="CS36" s="37"/>
      <c r="CT36" s="37"/>
      <c r="CU36" s="37"/>
      <c r="CV36" s="37"/>
      <c r="CW36" s="37"/>
      <c r="CX36" s="37"/>
      <c r="CY36" s="37"/>
      <c r="CZ36" s="37"/>
      <c r="DA36" s="37"/>
      <c r="DB36" s="37"/>
      <c r="DC36" s="37"/>
      <c r="DD36" s="37"/>
      <c r="DE36" s="37"/>
      <c r="DF36" s="37"/>
      <c r="DG36" s="37"/>
      <c r="DH36" s="37"/>
    </row>
    <row r="37" spans="1:112" ht="45" x14ac:dyDescent="0.25">
      <c r="A37" s="43" t="s">
        <v>5</v>
      </c>
      <c r="B37" s="45" t="s">
        <v>295</v>
      </c>
      <c r="C37" s="45" t="s">
        <v>293</v>
      </c>
      <c r="D37" s="46" t="s">
        <v>227</v>
      </c>
      <c r="E37" s="46" t="s">
        <v>294</v>
      </c>
      <c r="F37" s="47">
        <v>180850.77000000002</v>
      </c>
      <c r="G37" s="47">
        <v>180850.77</v>
      </c>
      <c r="H37" s="47">
        <f>IF(Tableau_Lancer_la_requête_à_partir_de_Excel_Files3[[#This Row],[Coût total Eligible FEDER]]="",Tableau_Lancer_la_requête_à_partir_de_Excel_Files3[[#This Row],[Coût total déposé]],Tableau_Lancer_la_requête_à_partir_de_Excel_Files3[[#This Row],[Coût total Eligible FEDER]])</f>
        <v>180850.77</v>
      </c>
      <c r="I37" s="47">
        <f>Tableau_Lancer_la_requête_à_partir_de_Excel_Files3[[#This Row],[Aide Massif Obtenu]]+Tableau_Lancer_la_requête_à_partir_de_Excel_Files3[[#This Row],[''Autre Public'']]</f>
        <v>152894.77000000002</v>
      </c>
      <c r="J37" s="48">
        <f>Tableau_Lancer_la_requête_à_partir_de_Excel_Files3[[#This Row],[Aide Publique Obtenue]]/Tableau_Lancer_la_requête_à_partir_de_Excel_Files3[[#This Row],[Coût total]]</f>
        <v>0.84541951355805689</v>
      </c>
      <c r="K37"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152894.77000000002</v>
      </c>
      <c r="L37" s="48">
        <f>Tableau_Lancer_la_requête_à_partir_de_Excel_Files3[[#This Row],[Aide Massif Obtenu]]/Tableau_Lancer_la_requête_à_partir_de_Excel_Files3[[#This Row],[Coût total]]</f>
        <v>0.84541951355805689</v>
      </c>
      <c r="M37" s="49">
        <f>Tableau_Lancer_la_requête_à_partir_de_Excel_Files3[[#This Row],[''FNADT'']]+Tableau_Lancer_la_requête_à_partir_de_Excel_Files3[[#This Row],[''Agriculture'']]</f>
        <v>20286.97</v>
      </c>
      <c r="N37" s="47">
        <v>20286.97</v>
      </c>
      <c r="O37" s="47"/>
      <c r="P37" s="49">
        <f>Tableau_Lancer_la_requête_à_partir_de_Excel_Files3[[#This Row],[''ALPC'']]+Tableau_Lancer_la_requête_à_partir_de_Excel_Files3[[#This Row],[''AURA'']]+Tableau_Lancer_la_requête_à_partir_de_Excel_Files3[[#This Row],[''BFC'']]+Tableau_Lancer_la_requête_à_partir_de_Excel_Files3[[#This Row],[''LRMP'']]</f>
        <v>42182.5</v>
      </c>
      <c r="Q37" s="47">
        <v>3000</v>
      </c>
      <c r="R37" s="47">
        <v>21852.5</v>
      </c>
      <c r="S37" s="47">
        <v>4520</v>
      </c>
      <c r="T37" s="47">
        <v>12810</v>
      </c>
      <c r="U37"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7" s="47"/>
      <c r="W37" s="47"/>
      <c r="X37" s="47"/>
      <c r="Y37" s="47"/>
      <c r="Z37" s="47"/>
      <c r="AA37" s="47"/>
      <c r="AB37" s="47"/>
      <c r="AC37" s="47"/>
      <c r="AD37" s="47"/>
      <c r="AE37" s="47"/>
      <c r="AF37" s="47"/>
      <c r="AG37" s="47"/>
      <c r="AH37" s="47"/>
      <c r="AI37" s="47"/>
      <c r="AJ37" s="47"/>
      <c r="AK37" s="47"/>
      <c r="AL37" s="47"/>
      <c r="AM37" s="47"/>
      <c r="AN37" s="47"/>
      <c r="AO37" s="47"/>
      <c r="AP37" s="47"/>
      <c r="AQ37" s="47"/>
      <c r="AR37" s="47">
        <v>90425.3</v>
      </c>
      <c r="AS37" s="47">
        <v>0</v>
      </c>
      <c r="AT37" s="41" t="s">
        <v>77</v>
      </c>
      <c r="AV37" s="64" t="s">
        <v>333</v>
      </c>
      <c r="AW37" s="40" t="s">
        <v>293</v>
      </c>
      <c r="AY37" s="52" t="s">
        <v>116</v>
      </c>
      <c r="AZ37" s="52">
        <f ca="1">SUMIF(Tableau_Lancer_la_requête_à_partir_de_Excel_Files3[Avis Prog],"1-Favorable",Tableau3[''LRMP''])</f>
        <v>-17512</v>
      </c>
      <c r="BB37" s="37">
        <f>SUMIF(Tableau3[Avis],"1-Favorable",Tableau3[''LRMP''])</f>
        <v>-8756</v>
      </c>
      <c r="BG37" s="37">
        <f>SUMIF(Tableau3[Avis],"0",Tableau3[''LRMP''])</f>
        <v>0</v>
      </c>
      <c r="CM37" s="37"/>
      <c r="CN37" s="37"/>
      <c r="CO37" s="37"/>
      <c r="CP37" s="37"/>
      <c r="CQ37" s="37"/>
      <c r="CR37" s="37"/>
      <c r="CS37" s="37"/>
      <c r="CT37" s="37"/>
      <c r="CU37" s="37"/>
      <c r="CV37" s="37"/>
      <c r="CW37" s="37"/>
      <c r="CX37" s="37"/>
      <c r="CY37" s="37"/>
      <c r="CZ37" s="37"/>
      <c r="DA37" s="37"/>
      <c r="DB37" s="37"/>
      <c r="DC37" s="37"/>
      <c r="DD37" s="37"/>
      <c r="DE37" s="37"/>
      <c r="DF37" s="37"/>
      <c r="DG37" s="37"/>
      <c r="DH37" s="37"/>
    </row>
    <row r="38" spans="1:112" ht="30" x14ac:dyDescent="0.25">
      <c r="A38" s="43" t="s">
        <v>5</v>
      </c>
      <c r="B38" s="45" t="s">
        <v>343</v>
      </c>
      <c r="C38" s="45" t="s">
        <v>340</v>
      </c>
      <c r="D38" s="46" t="s">
        <v>341</v>
      </c>
      <c r="E38" s="46" t="s">
        <v>342</v>
      </c>
      <c r="F38" s="47">
        <v>0</v>
      </c>
      <c r="G38" s="47"/>
      <c r="H38" s="47">
        <f>IF(Tableau_Lancer_la_requête_à_partir_de_Excel_Files3[[#This Row],[Coût total Eligible FEDER]]="",Tableau_Lancer_la_requête_à_partir_de_Excel_Files3[[#This Row],[Coût total déposé]],Tableau_Lancer_la_requête_à_partir_de_Excel_Files3[[#This Row],[Coût total Eligible FEDER]])</f>
        <v>0</v>
      </c>
      <c r="I38" s="47">
        <f>Tableau_Lancer_la_requête_à_partir_de_Excel_Files3[[#This Row],[Aide Massif Obtenu]]+Tableau_Lancer_la_requête_à_partir_de_Excel_Files3[[#This Row],[''Autre Public'']]</f>
        <v>0</v>
      </c>
      <c r="J38" s="48" t="e">
        <f>Tableau_Lancer_la_requête_à_partir_de_Excel_Files3[[#This Row],[Aide Publique Obtenue]]/Tableau_Lancer_la_requête_à_partir_de_Excel_Files3[[#This Row],[Coût total]]</f>
        <v>#DIV/0!</v>
      </c>
      <c r="K38" s="47">
        <f>Tableau_Lancer_la_requête_à_partir_de_Excel_Files3[[#This Row],[Etat]]+Tableau_Lancer_la_requête_à_partir_de_Excel_Files3[[#This Row],[Régions]]+Tableau_Lancer_la_requête_à_partir_de_Excel_Files3[[#This Row],[Départements]]+Tableau_Lancer_la_requête_à_partir_de_Excel_Files3[[#This Row],[''FEDER'']]</f>
        <v>0</v>
      </c>
      <c r="L38" s="48" t="e">
        <f>Tableau_Lancer_la_requête_à_partir_de_Excel_Files3[[#This Row],[Aide Massif Obtenu]]/Tableau_Lancer_la_requête_à_partir_de_Excel_Files3[[#This Row],[Coût total]]</f>
        <v>#DIV/0!</v>
      </c>
      <c r="M38" s="49">
        <f>Tableau_Lancer_la_requête_à_partir_de_Excel_Files3[[#This Row],[''FNADT'']]+Tableau_Lancer_la_requête_à_partir_de_Excel_Files3[[#This Row],[''Agriculture'']]</f>
        <v>0</v>
      </c>
      <c r="N38" s="47"/>
      <c r="O38" s="47"/>
      <c r="P38" s="49">
        <f>Tableau_Lancer_la_requête_à_partir_de_Excel_Files3[[#This Row],[''ALPC'']]+Tableau_Lancer_la_requête_à_partir_de_Excel_Files3[[#This Row],[''AURA'']]+Tableau_Lancer_la_requête_à_partir_de_Excel_Files3[[#This Row],[''BFC'']]+Tableau_Lancer_la_requête_à_partir_de_Excel_Files3[[#This Row],[''LRMP'']]</f>
        <v>0</v>
      </c>
      <c r="Q38" s="47"/>
      <c r="R38" s="47"/>
      <c r="S38" s="47"/>
      <c r="T38" s="47"/>
      <c r="U38"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8" s="47"/>
      <c r="W38" s="47"/>
      <c r="X38" s="47"/>
      <c r="Y38" s="47"/>
      <c r="Z38" s="47"/>
      <c r="AA38" s="47"/>
      <c r="AB38" s="47"/>
      <c r="AC38" s="47"/>
      <c r="AD38" s="47"/>
      <c r="AE38" s="47"/>
      <c r="AF38" s="47"/>
      <c r="AG38" s="47"/>
      <c r="AH38" s="47"/>
      <c r="AI38" s="47"/>
      <c r="AJ38" s="47"/>
      <c r="AK38" s="47"/>
      <c r="AL38" s="47"/>
      <c r="AM38" s="47"/>
      <c r="AN38" s="47"/>
      <c r="AO38" s="47"/>
      <c r="AP38" s="47"/>
      <c r="AQ38" s="47"/>
      <c r="AR38" s="47">
        <v>0</v>
      </c>
      <c r="AS38" s="47">
        <v>0</v>
      </c>
      <c r="AT38" s="41" t="s">
        <v>77</v>
      </c>
      <c r="AV38" s="55" t="s">
        <v>377</v>
      </c>
      <c r="AW38" s="40" t="s">
        <v>340</v>
      </c>
      <c r="AY38" s="40" t="s">
        <v>58</v>
      </c>
      <c r="AZ38" s="52">
        <f ca="1">SUMIF(Tableau_Lancer_la_requête_à_partir_de_Excel_Files3[Avis Prog],"1-Favorable",Tableau3[Départements])</f>
        <v>12578</v>
      </c>
      <c r="BB38" s="37">
        <f>SUMIF(Tableau3[Avis],"1-Favorable",Tableau3[Départements])</f>
        <v>6289</v>
      </c>
      <c r="BG38" s="37">
        <f>SUMIF(Tableau3[Avis],"0",Tableau3[Départements])</f>
        <v>0</v>
      </c>
      <c r="CM38" s="37"/>
      <c r="CN38" s="37"/>
      <c r="CO38" s="37"/>
      <c r="CP38" s="37"/>
      <c r="CQ38" s="37"/>
      <c r="CR38" s="37"/>
      <c r="CS38" s="37"/>
      <c r="CT38" s="37"/>
      <c r="CU38" s="37"/>
      <c r="CV38" s="37"/>
      <c r="CW38" s="37"/>
      <c r="CX38" s="37"/>
      <c r="CY38" s="37"/>
      <c r="CZ38" s="37"/>
      <c r="DA38" s="37"/>
      <c r="DB38" s="37"/>
      <c r="DC38" s="37"/>
      <c r="DD38" s="37"/>
      <c r="DE38" s="37"/>
      <c r="DF38" s="37"/>
      <c r="DG38" s="37"/>
      <c r="DH38" s="37"/>
    </row>
    <row r="39" spans="1:112" ht="30" x14ac:dyDescent="0.25">
      <c r="A39" s="43" t="s">
        <v>5</v>
      </c>
      <c r="B39" s="45" t="s">
        <v>412</v>
      </c>
      <c r="C39" s="45" t="s">
        <v>409</v>
      </c>
      <c r="D39" s="46" t="s">
        <v>410</v>
      </c>
      <c r="E39" s="46" t="s">
        <v>411</v>
      </c>
      <c r="F39" s="47">
        <v>99999.85</v>
      </c>
      <c r="G39" s="47">
        <v>96509.28</v>
      </c>
      <c r="H39" s="47">
        <f>IF(Tableau_Lancer_la_requête_à_partir_de_Excel_Files3[[#This Row],[Coût total Eligible FEDER]]="",Tableau_Lancer_la_requête_à_partir_de_Excel_Files3[[#This Row],[Coût total déposé]],Tableau_Lancer_la_requête_à_partir_de_Excel_Files3[[#This Row],[Coût total Eligible FEDER]])</f>
        <v>96509.28</v>
      </c>
      <c r="I39" s="47">
        <f>Tableau_Lancer_la_requête_à_partir_de_Excel_Files3[[#This Row],[Aide Massif Obtenu]]+Tableau_Lancer_la_requête_à_partir_de_Excel_Files3[[#This Row],[''Autre Public'']]</f>
        <v>67556</v>
      </c>
      <c r="J39" s="48">
        <f>Tableau_Lancer_la_requête_à_partir_de_Excel_Files3[[#This Row],[Aide Publique Obtenue]]/Tableau_Lancer_la_requête_à_partir_de_Excel_Files3[[#This Row],[Coût total]]</f>
        <v>0.69999486059786165</v>
      </c>
      <c r="K39" s="47">
        <f>Tableau_Lancer_la_requête_à_partir_de_Excel_Files3[[#This Row],[Etat]]+Tableau_Lancer_la_requête_à_partir_de_Excel_Files3[[#This Row],[Régions]]+Tableau_Lancer_la_requête_à_partir_de_Excel_Files3[[#This Row],[Départements]]+Tableau_Lancer_la_requête_à_partir_de_Excel_Files3[[#This Row],[''FEDER'']]</f>
        <v>67556</v>
      </c>
      <c r="L39" s="48">
        <f>Tableau_Lancer_la_requête_à_partir_de_Excel_Files3[[#This Row],[Aide Massif Obtenu]]/Tableau_Lancer_la_requête_à_partir_de_Excel_Files3[[#This Row],[Coût total]]</f>
        <v>0.69999486059786165</v>
      </c>
      <c r="M39" s="49">
        <f>Tableau_Lancer_la_requête_à_partir_de_Excel_Files3[[#This Row],[''FNADT'']]+Tableau_Lancer_la_requête_à_partir_de_Excel_Files3[[#This Row],[''Agriculture'']]</f>
        <v>30000</v>
      </c>
      <c r="N39" s="47">
        <v>30000</v>
      </c>
      <c r="O39" s="47"/>
      <c r="P39" s="49">
        <f>Tableau_Lancer_la_requête_à_partir_de_Excel_Files3[[#This Row],[''ALPC'']]+Tableau_Lancer_la_requête_à_partir_de_Excel_Files3[[#This Row],[''AURA'']]+Tableau_Lancer_la_requête_à_partir_de_Excel_Files3[[#This Row],[''BFC'']]+Tableau_Lancer_la_requête_à_partir_de_Excel_Files3[[#This Row],[''LRMP'']]</f>
        <v>0</v>
      </c>
      <c r="Q39" s="47"/>
      <c r="R39" s="47"/>
      <c r="S39" s="47"/>
      <c r="T39" s="47"/>
      <c r="U39"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10000</v>
      </c>
      <c r="V39" s="47"/>
      <c r="W39" s="47"/>
      <c r="X39" s="47"/>
      <c r="Y39" s="47"/>
      <c r="Z39" s="47"/>
      <c r="AA39" s="47"/>
      <c r="AB39" s="47"/>
      <c r="AC39" s="47"/>
      <c r="AD39" s="47"/>
      <c r="AE39" s="47"/>
      <c r="AF39" s="47"/>
      <c r="AG39" s="47"/>
      <c r="AH39" s="47"/>
      <c r="AI39" s="47">
        <v>10000</v>
      </c>
      <c r="AJ39" s="47"/>
      <c r="AK39" s="47"/>
      <c r="AL39" s="47"/>
      <c r="AM39" s="47"/>
      <c r="AN39" s="47"/>
      <c r="AO39" s="47"/>
      <c r="AP39" s="47"/>
      <c r="AQ39" s="47"/>
      <c r="AR39" s="47">
        <v>27556</v>
      </c>
      <c r="AS39" s="47">
        <v>0</v>
      </c>
      <c r="AT39" s="41" t="s">
        <v>77</v>
      </c>
      <c r="AV39" s="46" t="s">
        <v>408</v>
      </c>
      <c r="AY39" s="40" t="s">
        <v>32</v>
      </c>
      <c r="AZ39" s="52">
        <f ca="1">SUMIF(Tableau_Lancer_la_requête_à_partir_de_Excel_Files3[Avis Prog],"1-Favorable",Tableau3[''03''])</f>
        <v>0</v>
      </c>
      <c r="BB39" s="37">
        <f>SUMIF(Tableau3[Avis],"1-Favorable",Tableau3[''03''])</f>
        <v>0</v>
      </c>
      <c r="BG39" s="37">
        <f>SUMIF(Tableau3[Avis],"0",Tableau3[''03''])</f>
        <v>0</v>
      </c>
      <c r="CM39" s="37"/>
      <c r="CN39" s="37"/>
      <c r="CO39" s="37"/>
      <c r="CP39" s="37"/>
      <c r="CQ39" s="37"/>
      <c r="CR39" s="37"/>
      <c r="CS39" s="37"/>
      <c r="CT39" s="37"/>
      <c r="CU39" s="37"/>
      <c r="CV39" s="37"/>
      <c r="CW39" s="37"/>
      <c r="CX39" s="37"/>
      <c r="CY39" s="37"/>
      <c r="CZ39" s="37"/>
      <c r="DA39" s="37"/>
      <c r="DB39" s="37"/>
      <c r="DC39" s="37"/>
      <c r="DD39" s="37"/>
      <c r="DE39" s="37"/>
      <c r="DF39" s="37"/>
      <c r="DG39" s="37"/>
      <c r="DH39" s="37"/>
    </row>
    <row r="40" spans="1:112" ht="60" x14ac:dyDescent="0.25">
      <c r="A40" s="43" t="s">
        <v>5</v>
      </c>
      <c r="B40" s="45" t="s">
        <v>19</v>
      </c>
      <c r="C40" s="45" t="s">
        <v>59</v>
      </c>
      <c r="D40" s="46" t="s">
        <v>20</v>
      </c>
      <c r="E40" s="46" t="s">
        <v>21</v>
      </c>
      <c r="F40" s="47">
        <v>282486.90999999997</v>
      </c>
      <c r="G40" s="47">
        <v>287903.82</v>
      </c>
      <c r="H40" s="47">
        <f>IF(Tableau_Lancer_la_requête_à_partir_de_Excel_Files3[[#This Row],[Coût total Eligible FEDER]]="",Tableau_Lancer_la_requête_à_partir_de_Excel_Files3[[#This Row],[Coût total déposé]],Tableau_Lancer_la_requête_à_partir_de_Excel_Files3[[#This Row],[Coût total Eligible FEDER]])</f>
        <v>287903.82</v>
      </c>
      <c r="I40" s="47">
        <f>Tableau_Lancer_la_requête_à_partir_de_Excel_Files3[[#This Row],[Aide Massif Obtenu]]+Tableau_Lancer_la_requête_à_partir_de_Excel_Files3[[#This Row],[''Autre Public'']]</f>
        <v>163451.91</v>
      </c>
      <c r="J40" s="48">
        <f>Tableau_Lancer_la_requête_à_partir_de_Excel_Files3[[#This Row],[Aide Publique Obtenue]]/Tableau_Lancer_la_requête_à_partir_de_Excel_Files3[[#This Row],[Coût total]]</f>
        <v>0.56773095264939522</v>
      </c>
      <c r="K40"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163451.91</v>
      </c>
      <c r="L40" s="48">
        <f>Tableau_Lancer_la_requête_à_partir_de_Excel_Files3[[#This Row],[Aide Massif Obtenu]]/Tableau_Lancer_la_requête_à_partir_de_Excel_Files3[[#This Row],[Coût total]]</f>
        <v>0.56773095264939522</v>
      </c>
      <c r="M40" s="49">
        <f>Tableau_Lancer_la_requête_à_partir_de_Excel_Files3[[#This Row],[''FNADT'']]+Tableau_Lancer_la_requête_à_partir_de_Excel_Files3[[#This Row],[''Agriculture'']]</f>
        <v>19500</v>
      </c>
      <c r="N40" s="47">
        <v>19500</v>
      </c>
      <c r="O40" s="47"/>
      <c r="P40" s="49">
        <f>Tableau_Lancer_la_requête_à_partir_de_Excel_Files3[[#This Row],[''ALPC'']]+Tableau_Lancer_la_requête_à_partir_de_Excel_Files3[[#This Row],[''AURA'']]+Tableau_Lancer_la_requête_à_partir_de_Excel_Files3[[#This Row],[''BFC'']]+Tableau_Lancer_la_requête_à_partir_de_Excel_Files3[[#This Row],[''LRMP'']]</f>
        <v>0</v>
      </c>
      <c r="Q40" s="47"/>
      <c r="R40" s="47"/>
      <c r="S40" s="47"/>
      <c r="T40" s="47"/>
      <c r="U40"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0" s="47"/>
      <c r="W40" s="47"/>
      <c r="X40" s="47"/>
      <c r="Y40" s="47"/>
      <c r="Z40" s="47"/>
      <c r="AA40" s="47"/>
      <c r="AB40" s="47"/>
      <c r="AC40" s="47"/>
      <c r="AD40" s="47"/>
      <c r="AE40" s="47"/>
      <c r="AF40" s="47"/>
      <c r="AG40" s="47"/>
      <c r="AH40" s="47"/>
      <c r="AI40" s="47"/>
      <c r="AJ40" s="47"/>
      <c r="AK40" s="47"/>
      <c r="AL40" s="47"/>
      <c r="AM40" s="47"/>
      <c r="AN40" s="47"/>
      <c r="AO40" s="47"/>
      <c r="AP40" s="47"/>
      <c r="AQ40" s="47"/>
      <c r="AR40" s="47">
        <v>143951.91</v>
      </c>
      <c r="AS40" s="47">
        <v>0</v>
      </c>
      <c r="AT40" s="41" t="s">
        <v>77</v>
      </c>
      <c r="AV40" s="64" t="s">
        <v>378</v>
      </c>
      <c r="AW40" s="40" t="s">
        <v>59</v>
      </c>
      <c r="AY40" s="40" t="s">
        <v>34</v>
      </c>
      <c r="AZ40" s="52">
        <f ca="1">SUMIF(Tableau_Lancer_la_requête_à_partir_de_Excel_Files3[Avis Prog],"1-Favorable",Tableau3[''11''])</f>
        <v>0</v>
      </c>
      <c r="BB40" s="37">
        <f>SUMIF(Tableau3[Avis],"1-Favorable",Tableau3[''11''])</f>
        <v>0</v>
      </c>
      <c r="BG40" s="37">
        <f>SUMIF(Tableau3[Avis],"0",Tableau3[''11''])</f>
        <v>0</v>
      </c>
      <c r="CM40" s="37"/>
      <c r="CN40" s="37"/>
      <c r="CO40" s="37"/>
      <c r="CP40" s="37"/>
      <c r="CQ40" s="37"/>
      <c r="CR40" s="37"/>
      <c r="CS40" s="37"/>
      <c r="CT40" s="37"/>
      <c r="CU40" s="37"/>
      <c r="CV40" s="37"/>
      <c r="CW40" s="37"/>
      <c r="CX40" s="37"/>
      <c r="CY40" s="37"/>
      <c r="CZ40" s="37"/>
      <c r="DA40" s="37"/>
      <c r="DB40" s="37"/>
      <c r="DC40" s="37"/>
      <c r="DD40" s="37"/>
      <c r="DE40" s="37"/>
      <c r="DF40" s="37"/>
      <c r="DG40" s="37"/>
      <c r="DH40" s="37"/>
    </row>
    <row r="41" spans="1:112" ht="45" x14ac:dyDescent="0.25">
      <c r="A41" s="43" t="s">
        <v>5</v>
      </c>
      <c r="B41" s="45" t="s">
        <v>292</v>
      </c>
      <c r="C41" s="45" t="s">
        <v>289</v>
      </c>
      <c r="D41" s="46" t="s">
        <v>290</v>
      </c>
      <c r="E41" s="46" t="s">
        <v>291</v>
      </c>
      <c r="F41" s="47">
        <v>166529.43</v>
      </c>
      <c r="G41" s="47">
        <v>166529.43</v>
      </c>
      <c r="H41" s="47">
        <f>IF(Tableau_Lancer_la_requête_à_partir_de_Excel_Files3[[#This Row],[Coût total Eligible FEDER]]="",Tableau_Lancer_la_requête_à_partir_de_Excel_Files3[[#This Row],[Coût total déposé]],Tableau_Lancer_la_requête_à_partir_de_Excel_Files3[[#This Row],[Coût total Eligible FEDER]])</f>
        <v>166529.43</v>
      </c>
      <c r="I41" s="47">
        <f>Tableau_Lancer_la_requête_à_partir_de_Excel_Files3[[#This Row],[Aide Massif Obtenu]]+Tableau_Lancer_la_requête_à_partir_de_Excel_Files3[[#This Row],[''Autre Public'']]</f>
        <v>106759.37</v>
      </c>
      <c r="J41" s="48">
        <f>Tableau_Lancer_la_requête_à_partir_de_Excel_Files3[[#This Row],[Aide Publique Obtenue]]/Tableau_Lancer_la_requête_à_partir_de_Excel_Files3[[#This Row],[Coût total]]</f>
        <v>0.64108410147083317</v>
      </c>
      <c r="K41"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106759.37</v>
      </c>
      <c r="L41" s="48">
        <f>Tableau_Lancer_la_requête_à_partir_de_Excel_Files3[[#This Row],[Aide Massif Obtenu]]/Tableau_Lancer_la_requête_à_partir_de_Excel_Files3[[#This Row],[Coût total]]</f>
        <v>0.64108410147083317</v>
      </c>
      <c r="M41" s="49">
        <f>Tableau_Lancer_la_requête_à_partir_de_Excel_Files3[[#This Row],[''FNADT'']]+Tableau_Lancer_la_requête_à_partir_de_Excel_Files3[[#This Row],[''Agriculture'']]</f>
        <v>23493.65</v>
      </c>
      <c r="N41" s="47">
        <v>23493.65</v>
      </c>
      <c r="O41" s="47"/>
      <c r="P41" s="49">
        <f>Tableau_Lancer_la_requête_à_partir_de_Excel_Files3[[#This Row],[''ALPC'']]+Tableau_Lancer_la_requête_à_partir_de_Excel_Files3[[#This Row],[''AURA'']]+Tableau_Lancer_la_requête_à_partir_de_Excel_Files3[[#This Row],[''BFC'']]+Tableau_Lancer_la_requête_à_partir_de_Excel_Files3[[#This Row],[''LRMP'']]</f>
        <v>0</v>
      </c>
      <c r="Q41" s="47"/>
      <c r="R41" s="47"/>
      <c r="S41" s="47"/>
      <c r="T41" s="47"/>
      <c r="U41"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1" s="47"/>
      <c r="W41" s="47"/>
      <c r="X41" s="47"/>
      <c r="Y41" s="47"/>
      <c r="Z41" s="47"/>
      <c r="AA41" s="47"/>
      <c r="AB41" s="47"/>
      <c r="AC41" s="47"/>
      <c r="AD41" s="47"/>
      <c r="AE41" s="47"/>
      <c r="AF41" s="47"/>
      <c r="AG41" s="47"/>
      <c r="AH41" s="47"/>
      <c r="AI41" s="47"/>
      <c r="AJ41" s="47"/>
      <c r="AK41" s="47"/>
      <c r="AL41" s="47"/>
      <c r="AM41" s="47"/>
      <c r="AN41" s="47"/>
      <c r="AO41" s="47"/>
      <c r="AP41" s="47"/>
      <c r="AQ41" s="47"/>
      <c r="AR41" s="47">
        <v>83265.72</v>
      </c>
      <c r="AS41" s="47">
        <v>0</v>
      </c>
      <c r="AT41" s="41" t="s">
        <v>77</v>
      </c>
      <c r="AV41" s="55" t="s">
        <v>326</v>
      </c>
      <c r="AW41" s="40" t="s">
        <v>289</v>
      </c>
      <c r="AY41" s="40" t="s">
        <v>35</v>
      </c>
      <c r="AZ41" s="52">
        <f ca="1">SUMIF(Tableau_Lancer_la_requête_à_partir_de_Excel_Files3[Avis Prog],"1-Favorable",Tableau3[''12''])</f>
        <v>0</v>
      </c>
      <c r="BB41" s="37">
        <f>SUMIF(Tableau3[Avis],"1-Favorable",Tableau3[''12''])</f>
        <v>0</v>
      </c>
      <c r="BG41" s="37">
        <f>SUMIF(Tableau3[Avis],"0",Tableau3[''12''])</f>
        <v>0</v>
      </c>
      <c r="CM41" s="37"/>
      <c r="CN41" s="37"/>
      <c r="CO41" s="37"/>
      <c r="CP41" s="37"/>
      <c r="CQ41" s="37"/>
      <c r="CR41" s="37"/>
      <c r="CS41" s="37"/>
      <c r="CT41" s="37"/>
      <c r="CU41" s="37"/>
      <c r="CV41" s="37"/>
      <c r="CW41" s="37"/>
      <c r="CX41" s="37"/>
      <c r="CY41" s="37"/>
      <c r="CZ41" s="37"/>
      <c r="DA41" s="37"/>
      <c r="DB41" s="37"/>
      <c r="DC41" s="37"/>
      <c r="DD41" s="37"/>
      <c r="DE41" s="37"/>
      <c r="DF41" s="37"/>
      <c r="DG41" s="37"/>
      <c r="DH41" s="37"/>
    </row>
    <row r="42" spans="1:112" ht="75" x14ac:dyDescent="0.25">
      <c r="A42" s="43" t="s">
        <v>5</v>
      </c>
      <c r="B42" s="45" t="s">
        <v>364</v>
      </c>
      <c r="C42" s="45" t="s">
        <v>361</v>
      </c>
      <c r="D42" s="46" t="s">
        <v>362</v>
      </c>
      <c r="E42" s="46" t="s">
        <v>363</v>
      </c>
      <c r="F42" s="47">
        <v>75000</v>
      </c>
      <c r="G42" s="47">
        <v>72060.490000000005</v>
      </c>
      <c r="H42" s="47">
        <f>IF(Tableau_Lancer_la_requête_à_partir_de_Excel_Files3[[#This Row],[Coût total Eligible FEDER]]="",Tableau_Lancer_la_requête_à_partir_de_Excel_Files3[[#This Row],[Coût total déposé]],Tableau_Lancer_la_requête_à_partir_de_Excel_Files3[[#This Row],[Coût total Eligible FEDER]])</f>
        <v>72060.490000000005</v>
      </c>
      <c r="I42" s="47">
        <f>Tableau_Lancer_la_requête_à_partir_de_Excel_Files3[[#This Row],[Aide Massif Obtenu]]+Tableau_Lancer_la_requête_à_partir_de_Excel_Files3[[#This Row],[''Autre Public'']]</f>
        <v>50442</v>
      </c>
      <c r="J42" s="48">
        <f>Tableau_Lancer_la_requête_à_partir_de_Excel_Files3[[#This Row],[Aide Publique Obtenue]]/Tableau_Lancer_la_requête_à_partir_de_Excel_Files3[[#This Row],[Coût total]]</f>
        <v>0.69999524011007974</v>
      </c>
      <c r="K42" s="47">
        <f>Tableau_Lancer_la_requête_à_partir_de_Excel_Files3[[#This Row],[Etat]]+Tableau_Lancer_la_requête_à_partir_de_Excel_Files3[[#This Row],[Régions]]+Tableau_Lancer_la_requête_à_partir_de_Excel_Files3[[#This Row],[Départements]]+Tableau_Lancer_la_requête_à_partir_de_Excel_Files3[[#This Row],[''FEDER'']]</f>
        <v>50442</v>
      </c>
      <c r="L42" s="48">
        <f>Tableau_Lancer_la_requête_à_partir_de_Excel_Files3[[#This Row],[Aide Massif Obtenu]]/Tableau_Lancer_la_requête_à_partir_de_Excel_Files3[[#This Row],[Coût total]]</f>
        <v>0.69999524011007974</v>
      </c>
      <c r="M42" s="49">
        <f>Tableau_Lancer_la_requête_à_partir_de_Excel_Files3[[#This Row],[''FNADT'']]+Tableau_Lancer_la_requête_à_partir_de_Excel_Files3[[#This Row],[''Agriculture'']]</f>
        <v>0</v>
      </c>
      <c r="N42" s="47"/>
      <c r="O42" s="47"/>
      <c r="P42" s="49">
        <f>Tableau_Lancer_la_requête_à_partir_de_Excel_Files3[[#This Row],[''ALPC'']]+Tableau_Lancer_la_requête_à_partir_de_Excel_Files3[[#This Row],[''AURA'']]+Tableau_Lancer_la_requête_à_partir_de_Excel_Files3[[#This Row],[''BFC'']]+Tableau_Lancer_la_requête_à_partir_de_Excel_Files3[[#This Row],[''LRMP'']]</f>
        <v>0</v>
      </c>
      <c r="Q42" s="47"/>
      <c r="R42" s="47"/>
      <c r="S42" s="47"/>
      <c r="T42" s="47"/>
      <c r="U42"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2" s="47"/>
      <c r="W42" s="47"/>
      <c r="X42" s="47"/>
      <c r="Y42" s="47"/>
      <c r="Z42" s="47"/>
      <c r="AA42" s="47"/>
      <c r="AB42" s="47"/>
      <c r="AC42" s="47"/>
      <c r="AD42" s="47"/>
      <c r="AE42" s="47"/>
      <c r="AF42" s="47"/>
      <c r="AG42" s="47"/>
      <c r="AH42" s="47"/>
      <c r="AI42" s="47"/>
      <c r="AJ42" s="47"/>
      <c r="AK42" s="47"/>
      <c r="AL42" s="47"/>
      <c r="AM42" s="47"/>
      <c r="AN42" s="47"/>
      <c r="AO42" s="47"/>
      <c r="AP42" s="47"/>
      <c r="AQ42" s="47"/>
      <c r="AR42" s="47">
        <v>50442</v>
      </c>
      <c r="AS42" s="47">
        <v>0</v>
      </c>
      <c r="AT42" s="41" t="s">
        <v>77</v>
      </c>
      <c r="AV42" s="64" t="s">
        <v>355</v>
      </c>
      <c r="AW42" s="40" t="s">
        <v>361</v>
      </c>
      <c r="AY42" s="40" t="s">
        <v>36</v>
      </c>
      <c r="AZ42" s="52">
        <f ca="1">SUMIF(Tableau_Lancer_la_requête_à_partir_de_Excel_Files3[Avis Prog],"1-Favorable",Tableau3[''15''])</f>
        <v>0</v>
      </c>
      <c r="BB42" s="37">
        <f>SUMIF(Tableau3[Avis],"1-Favorable",Tableau3[''15''])</f>
        <v>0</v>
      </c>
      <c r="BG42" s="37">
        <f>SUMIF(Tableau3[Avis],"0",Tableau3[''15''])</f>
        <v>0</v>
      </c>
      <c r="CM42" s="37"/>
      <c r="CN42" s="37"/>
      <c r="CO42" s="37"/>
      <c r="CP42" s="37"/>
      <c r="CQ42" s="37"/>
      <c r="CR42" s="37"/>
      <c r="CS42" s="37"/>
      <c r="CT42" s="37"/>
      <c r="CU42" s="37"/>
      <c r="CV42" s="37"/>
      <c r="CW42" s="37"/>
      <c r="CX42" s="37"/>
      <c r="CY42" s="37"/>
      <c r="CZ42" s="37"/>
      <c r="DA42" s="37"/>
      <c r="DB42" s="37"/>
      <c r="DC42" s="37"/>
      <c r="DD42" s="37"/>
      <c r="DE42" s="37"/>
      <c r="DF42" s="37"/>
      <c r="DG42" s="37"/>
      <c r="DH42" s="37"/>
    </row>
    <row r="43" spans="1:112" ht="75" x14ac:dyDescent="0.25">
      <c r="A43" s="43" t="s">
        <v>5</v>
      </c>
      <c r="B43" s="45" t="s">
        <v>278</v>
      </c>
      <c r="C43" s="45" t="s">
        <v>275</v>
      </c>
      <c r="D43" s="46" t="s">
        <v>276</v>
      </c>
      <c r="E43" s="46" t="s">
        <v>277</v>
      </c>
      <c r="F43" s="47">
        <v>100000</v>
      </c>
      <c r="G43" s="47">
        <v>102795</v>
      </c>
      <c r="H43" s="47">
        <f>IF(Tableau_Lancer_la_requête_à_partir_de_Excel_Files3[[#This Row],[Coût total Eligible FEDER]]="",Tableau_Lancer_la_requête_à_partir_de_Excel_Files3[[#This Row],[Coût total déposé]],Tableau_Lancer_la_requête_à_partir_de_Excel_Files3[[#This Row],[Coût total Eligible FEDER]])</f>
        <v>102795</v>
      </c>
      <c r="I43" s="47">
        <f>Tableau_Lancer_la_requête_à_partir_de_Excel_Files3[[#This Row],[Aide Massif Obtenu]]+Tableau_Lancer_la_requête_à_partir_de_Excel_Files3[[#This Row],[''Autre Public'']]</f>
        <v>61118</v>
      </c>
      <c r="J43" s="48">
        <f>Tableau_Lancer_la_requête_à_partir_de_Excel_Files3[[#This Row],[Aide Publique Obtenue]]/Tableau_Lancer_la_requête_à_partir_de_Excel_Files3[[#This Row],[Coût total]]</f>
        <v>0.59456199231480134</v>
      </c>
      <c r="K43" s="47">
        <f>Tableau_Lancer_la_requête_à_partir_de_Excel_Files3[[#This Row],[Etat]]+Tableau_Lancer_la_requête_à_partir_de_Excel_Files3[[#This Row],[Régions]]+Tableau_Lancer_la_requête_à_partir_de_Excel_Files3[[#This Row],[Départements]]+Tableau_Lancer_la_requête_à_partir_de_Excel_Files3[[#This Row],[''FEDER'']]</f>
        <v>61118</v>
      </c>
      <c r="L43" s="48">
        <f>Tableau_Lancer_la_requête_à_partir_de_Excel_Files3[[#This Row],[Aide Massif Obtenu]]/Tableau_Lancer_la_requête_à_partir_de_Excel_Files3[[#This Row],[Coût total]]</f>
        <v>0.59456199231480134</v>
      </c>
      <c r="M43" s="49">
        <f>Tableau_Lancer_la_requête_à_partir_de_Excel_Files3[[#This Row],[''FNADT'']]+Tableau_Lancer_la_requête_à_partir_de_Excel_Files3[[#This Row],[''Agriculture'']]</f>
        <v>20000</v>
      </c>
      <c r="N43" s="47">
        <v>20000</v>
      </c>
      <c r="O43" s="47"/>
      <c r="P43" s="49">
        <f>Tableau_Lancer_la_requête_à_partir_de_Excel_Files3[[#This Row],[''ALPC'']]+Tableau_Lancer_la_requête_à_partir_de_Excel_Files3[[#This Row],[''AURA'']]+Tableau_Lancer_la_requête_à_partir_de_Excel_Files3[[#This Row],[''BFC'']]+Tableau_Lancer_la_requête_à_partir_de_Excel_Files3[[#This Row],[''LRMP'']]</f>
        <v>0</v>
      </c>
      <c r="Q43" s="47"/>
      <c r="R43" s="47"/>
      <c r="S43" s="47"/>
      <c r="T43" s="47"/>
      <c r="U43"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3" s="47"/>
      <c r="W43" s="47"/>
      <c r="X43" s="47"/>
      <c r="Y43" s="47"/>
      <c r="Z43" s="47"/>
      <c r="AA43" s="47"/>
      <c r="AB43" s="47"/>
      <c r="AC43" s="47"/>
      <c r="AD43" s="47"/>
      <c r="AE43" s="47"/>
      <c r="AF43" s="47"/>
      <c r="AG43" s="47"/>
      <c r="AH43" s="47"/>
      <c r="AI43" s="47"/>
      <c r="AJ43" s="47"/>
      <c r="AK43" s="47"/>
      <c r="AL43" s="47"/>
      <c r="AM43" s="47"/>
      <c r="AN43" s="47"/>
      <c r="AO43" s="47"/>
      <c r="AP43" s="47"/>
      <c r="AQ43" s="47"/>
      <c r="AR43" s="47">
        <v>41118</v>
      </c>
      <c r="AS43" s="47">
        <v>0</v>
      </c>
      <c r="AT43" s="41" t="s">
        <v>77</v>
      </c>
      <c r="AV43" s="55" t="s">
        <v>322</v>
      </c>
      <c r="AW43" s="40" t="s">
        <v>275</v>
      </c>
      <c r="AY43" s="40" t="s">
        <v>37</v>
      </c>
      <c r="AZ43" s="52">
        <f ca="1">SUMIF(Tableau_Lancer_la_requête_à_partir_de_Excel_Files3[Avis Prog],"1-Favorable",Tableau3[''19''])</f>
        <v>0</v>
      </c>
      <c r="BB43" s="37">
        <f>SUMIF(Tableau3[Avis],"1-Favorable",Tableau3[''19''])</f>
        <v>0</v>
      </c>
      <c r="BG43" s="37">
        <f>SUMIF(Tableau3[Avis],"0",Tableau3[''19''])</f>
        <v>0</v>
      </c>
      <c r="CM43" s="37"/>
      <c r="CN43" s="37"/>
      <c r="CO43" s="37"/>
      <c r="CP43" s="37"/>
      <c r="CQ43" s="37"/>
      <c r="CR43" s="37"/>
      <c r="CS43" s="37"/>
      <c r="CT43" s="37"/>
      <c r="CU43" s="37"/>
      <c r="CV43" s="37"/>
      <c r="CW43" s="37"/>
      <c r="CX43" s="37"/>
      <c r="CY43" s="37"/>
      <c r="CZ43" s="37"/>
      <c r="DA43" s="37"/>
      <c r="DB43" s="37"/>
      <c r="DC43" s="37"/>
      <c r="DD43" s="37"/>
      <c r="DE43" s="37"/>
      <c r="DF43" s="37"/>
      <c r="DG43" s="37"/>
      <c r="DH43" s="37"/>
    </row>
    <row r="44" spans="1:112" ht="75" x14ac:dyDescent="0.25">
      <c r="A44" s="43" t="s">
        <v>5</v>
      </c>
      <c r="B44" s="45" t="s">
        <v>393</v>
      </c>
      <c r="C44" s="45" t="s">
        <v>390</v>
      </c>
      <c r="D44" s="46" t="s">
        <v>391</v>
      </c>
      <c r="E44" s="46" t="s">
        <v>392</v>
      </c>
      <c r="F44" s="47">
        <v>126916.25</v>
      </c>
      <c r="G44" s="47">
        <v>126317</v>
      </c>
      <c r="H44" s="47">
        <f>IF(Tableau_Lancer_la_requête_à_partir_de_Excel_Files3[[#This Row],[Coût total Eligible FEDER]]="",Tableau_Lancer_la_requête_à_partir_de_Excel_Files3[[#This Row],[Coût total déposé]],Tableau_Lancer_la_requête_à_partir_de_Excel_Files3[[#This Row],[Coût total Eligible FEDER]])</f>
        <v>126317</v>
      </c>
      <c r="I44" s="47">
        <f>Tableau_Lancer_la_requête_à_partir_de_Excel_Files3[[#This Row],[Aide Massif Obtenu]]+Tableau_Lancer_la_requête_à_partir_de_Excel_Files3[[#This Row],[''Autre Public'']]</f>
        <v>75790</v>
      </c>
      <c r="J44" s="48">
        <f>Tableau_Lancer_la_requête_à_partir_de_Excel_Files3[[#This Row],[Aide Publique Obtenue]]/Tableau_Lancer_la_requête_à_partir_de_Excel_Files3[[#This Row],[Coût total]]</f>
        <v>0.59999841668184017</v>
      </c>
      <c r="K44" s="47">
        <f>Tableau_Lancer_la_requête_à_partir_de_Excel_Files3[[#This Row],[Etat]]+Tableau_Lancer_la_requête_à_partir_de_Excel_Files3[[#This Row],[Régions]]+Tableau_Lancer_la_requête_à_partir_de_Excel_Files3[[#This Row],[Départements]]+Tableau_Lancer_la_requête_à_partir_de_Excel_Files3[[#This Row],[''FEDER'']]</f>
        <v>75790</v>
      </c>
      <c r="L44" s="48">
        <f>Tableau_Lancer_la_requête_à_partir_de_Excel_Files3[[#This Row],[Aide Massif Obtenu]]/Tableau_Lancer_la_requête_à_partir_de_Excel_Files3[[#This Row],[Coût total]]</f>
        <v>0.59999841668184017</v>
      </c>
      <c r="M44" s="49">
        <f>Tableau_Lancer_la_requête_à_partir_de_Excel_Files3[[#This Row],[''FNADT'']]+Tableau_Lancer_la_requête_à_partir_de_Excel_Files3[[#This Row],[''Agriculture'']]</f>
        <v>0</v>
      </c>
      <c r="N44" s="47"/>
      <c r="O44" s="47"/>
      <c r="P44" s="49">
        <f>Tableau_Lancer_la_requête_à_partir_de_Excel_Files3[[#This Row],[''ALPC'']]+Tableau_Lancer_la_requête_à_partir_de_Excel_Files3[[#This Row],[''AURA'']]+Tableau_Lancer_la_requête_à_partir_de_Excel_Files3[[#This Row],[''BFC'']]+Tableau_Lancer_la_requête_à_partir_de_Excel_Files3[[#This Row],[''LRMP'']]</f>
        <v>25383</v>
      </c>
      <c r="Q44" s="47"/>
      <c r="R44" s="47">
        <v>25383</v>
      </c>
      <c r="S44" s="47"/>
      <c r="T44" s="47"/>
      <c r="U44"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4" s="47"/>
      <c r="W44" s="47"/>
      <c r="X44" s="47"/>
      <c r="Y44" s="47"/>
      <c r="Z44" s="47"/>
      <c r="AA44" s="47"/>
      <c r="AB44" s="47"/>
      <c r="AC44" s="47"/>
      <c r="AD44" s="47"/>
      <c r="AE44" s="47"/>
      <c r="AF44" s="47"/>
      <c r="AG44" s="47"/>
      <c r="AH44" s="47"/>
      <c r="AI44" s="47"/>
      <c r="AJ44" s="47"/>
      <c r="AK44" s="47"/>
      <c r="AL44" s="47"/>
      <c r="AM44" s="47"/>
      <c r="AN44" s="47"/>
      <c r="AO44" s="47"/>
      <c r="AP44" s="47"/>
      <c r="AQ44" s="47"/>
      <c r="AR44" s="47">
        <v>50407</v>
      </c>
      <c r="AS44" s="47">
        <v>0</v>
      </c>
      <c r="AT44" s="41" t="s">
        <v>77</v>
      </c>
      <c r="AV44" s="64" t="s">
        <v>355</v>
      </c>
      <c r="AW44" s="40" t="s">
        <v>390</v>
      </c>
      <c r="AY44" s="40" t="s">
        <v>38</v>
      </c>
      <c r="AZ44" s="52">
        <f ca="1">SUMIF(Tableau_Lancer_la_requête_à_partir_de_Excel_Files3[Avis Prog],"1-Favorable",Tableau3[''21''])</f>
        <v>0</v>
      </c>
      <c r="BB44" s="37">
        <f>SUMIF(Tableau3[Avis],"1-Favorable",Tableau3[''21''])</f>
        <v>0</v>
      </c>
      <c r="BG44" s="37">
        <f>SUMIF(Tableau3[Avis],"0",Tableau3[''21''])</f>
        <v>0</v>
      </c>
      <c r="CM44" s="37"/>
      <c r="CN44" s="37"/>
      <c r="CO44" s="37"/>
      <c r="CP44" s="37"/>
      <c r="CQ44" s="37"/>
      <c r="CR44" s="37"/>
      <c r="CS44" s="37"/>
      <c r="CT44" s="37"/>
      <c r="CU44" s="37"/>
      <c r="CV44" s="37"/>
      <c r="CW44" s="37"/>
      <c r="CX44" s="37"/>
      <c r="CY44" s="37"/>
      <c r="CZ44" s="37"/>
      <c r="DA44" s="37"/>
      <c r="DB44" s="37"/>
      <c r="DC44" s="37"/>
      <c r="DD44" s="37"/>
      <c r="DE44" s="37"/>
      <c r="DF44" s="37"/>
      <c r="DG44" s="37"/>
      <c r="DH44" s="37"/>
    </row>
    <row r="45" spans="1:112" ht="30" x14ac:dyDescent="0.25">
      <c r="A45" s="43" t="s">
        <v>5</v>
      </c>
      <c r="B45" s="45" t="s">
        <v>123</v>
      </c>
      <c r="C45" s="45" t="s">
        <v>117</v>
      </c>
      <c r="D45" s="46" t="s">
        <v>121</v>
      </c>
      <c r="E45" s="46" t="s">
        <v>122</v>
      </c>
      <c r="F45" s="47">
        <v>142851.66</v>
      </c>
      <c r="G45" s="47">
        <v>173402</v>
      </c>
      <c r="H45" s="47">
        <f>IF(Tableau_Lancer_la_requête_à_partir_de_Excel_Files3[[#This Row],[Coût total Eligible FEDER]]="",Tableau_Lancer_la_requête_à_partir_de_Excel_Files3[[#This Row],[Coût total déposé]],Tableau_Lancer_la_requête_à_partir_de_Excel_Files3[[#This Row],[Coût total Eligible FEDER]])</f>
        <v>173402</v>
      </c>
      <c r="I45" s="47">
        <f>Tableau_Lancer_la_requête_à_partir_de_Excel_Files3[[#This Row],[Aide Massif Obtenu]]+Tableau_Lancer_la_requête_à_partir_de_Excel_Files3[[#This Row],[''Autre Public'']]</f>
        <v>108635</v>
      </c>
      <c r="J45" s="48">
        <f>Tableau_Lancer_la_requête_à_partir_de_Excel_Files3[[#This Row],[Aide Publique Obtenue]]/Tableau_Lancer_la_requête_à_partir_de_Excel_Files3[[#This Row],[Coût total]]</f>
        <v>0.62649219732183015</v>
      </c>
      <c r="K45" s="47">
        <f>Tableau_Lancer_la_requête_à_partir_de_Excel_Files3[[#This Row],[Etat]]+Tableau_Lancer_la_requête_à_partir_de_Excel_Files3[[#This Row],[Régions]]+Tableau_Lancer_la_requête_à_partir_de_Excel_Files3[[#This Row],[Départements]]+Tableau_Lancer_la_requête_à_partir_de_Excel_Files3[[#This Row],[''FEDER'']]</f>
        <v>108635</v>
      </c>
      <c r="L45" s="48">
        <f>Tableau_Lancer_la_requête_à_partir_de_Excel_Files3[[#This Row],[Aide Massif Obtenu]]/Tableau_Lancer_la_requête_à_partir_de_Excel_Files3[[#This Row],[Coût total]]</f>
        <v>0.62649219732183015</v>
      </c>
      <c r="M45" s="49">
        <f>Tableau_Lancer_la_requête_à_partir_de_Excel_Files3[[#This Row],[''FNADT'']]+Tableau_Lancer_la_requête_à_partir_de_Excel_Files3[[#This Row],[''Agriculture'']]</f>
        <v>0</v>
      </c>
      <c r="N45" s="47"/>
      <c r="O45" s="47"/>
      <c r="P45" s="49">
        <f>Tableau_Lancer_la_requête_à_partir_de_Excel_Files3[[#This Row],[''ALPC'']]+Tableau_Lancer_la_requête_à_partir_de_Excel_Files3[[#This Row],[''AURA'']]+Tableau_Lancer_la_requête_à_partir_de_Excel_Files3[[#This Row],[''BFC'']]+Tableau_Lancer_la_requête_à_partir_de_Excel_Files3[[#This Row],[''LRMP'']]</f>
        <v>21934</v>
      </c>
      <c r="Q45" s="47">
        <v>21934</v>
      </c>
      <c r="R45" s="47"/>
      <c r="S45" s="47"/>
      <c r="T45" s="47"/>
      <c r="U45"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5" s="47"/>
      <c r="W45" s="47"/>
      <c r="X45" s="47"/>
      <c r="Y45" s="47"/>
      <c r="Z45" s="47"/>
      <c r="AA45" s="47"/>
      <c r="AB45" s="47"/>
      <c r="AC45" s="47"/>
      <c r="AD45" s="47"/>
      <c r="AE45" s="47"/>
      <c r="AF45" s="47"/>
      <c r="AG45" s="47"/>
      <c r="AH45" s="47"/>
      <c r="AI45" s="47"/>
      <c r="AJ45" s="47"/>
      <c r="AK45" s="47"/>
      <c r="AL45" s="47"/>
      <c r="AM45" s="47"/>
      <c r="AN45" s="47"/>
      <c r="AO45" s="47"/>
      <c r="AP45" s="47"/>
      <c r="AQ45" s="47"/>
      <c r="AR45" s="47">
        <v>86701</v>
      </c>
      <c r="AS45" s="47">
        <v>0</v>
      </c>
      <c r="AT45" s="41" t="s">
        <v>77</v>
      </c>
      <c r="AV45" s="55" t="s">
        <v>350</v>
      </c>
      <c r="AW45" s="40" t="s">
        <v>117</v>
      </c>
      <c r="AY45" s="40" t="s">
        <v>39</v>
      </c>
      <c r="AZ45" s="52">
        <f ca="1">SUMIF(Tableau_Lancer_la_requête_à_partir_de_Excel_Files3[Avis Prog],"1-Favorable",Tableau3[''23''])</f>
        <v>0</v>
      </c>
      <c r="BB45" s="37">
        <f>SUMIF(Tableau3[Avis],"1-Favorable",Tableau3[''23''])</f>
        <v>0</v>
      </c>
      <c r="BG45" s="37">
        <f>SUMIF(Tableau3[Avis],"0",Tableau3[''23''])</f>
        <v>0</v>
      </c>
      <c r="CM45" s="37"/>
      <c r="CN45" s="37"/>
      <c r="CO45" s="37"/>
      <c r="CP45" s="37"/>
      <c r="CQ45" s="37"/>
      <c r="CR45" s="37"/>
      <c r="CS45" s="37"/>
      <c r="CT45" s="37"/>
      <c r="CU45" s="37"/>
      <c r="CV45" s="37"/>
      <c r="CW45" s="37"/>
      <c r="CX45" s="37"/>
      <c r="CY45" s="37"/>
      <c r="CZ45" s="37"/>
      <c r="DA45" s="37"/>
      <c r="DB45" s="37"/>
      <c r="DC45" s="37"/>
      <c r="DD45" s="37"/>
      <c r="DE45" s="37"/>
      <c r="DF45" s="37"/>
      <c r="DG45" s="37"/>
      <c r="DH45" s="37"/>
    </row>
    <row r="46" spans="1:112" ht="30" x14ac:dyDescent="0.25">
      <c r="A46" s="43" t="s">
        <v>5</v>
      </c>
      <c r="B46" s="45" t="s">
        <v>372</v>
      </c>
      <c r="C46" s="45" t="s">
        <v>369</v>
      </c>
      <c r="D46" s="46" t="s">
        <v>370</v>
      </c>
      <c r="E46" s="46" t="s">
        <v>371</v>
      </c>
      <c r="F46" s="47">
        <v>215469</v>
      </c>
      <c r="G46" s="47">
        <v>61403</v>
      </c>
      <c r="H46" s="47">
        <f>IF(Tableau_Lancer_la_requête_à_partir_de_Excel_Files3[[#This Row],[Coût total Eligible FEDER]]="",Tableau_Lancer_la_requête_à_partir_de_Excel_Files3[[#This Row],[Coût total déposé]],Tableau_Lancer_la_requête_à_partir_de_Excel_Files3[[#This Row],[Coût total Eligible FEDER]])</f>
        <v>61403</v>
      </c>
      <c r="I46" s="47">
        <f>Tableau_Lancer_la_requête_à_partir_de_Excel_Files3[[#This Row],[Aide Massif Obtenu]]+Tableau_Lancer_la_requête_à_partir_de_Excel_Files3[[#This Row],[''Autre Public'']]</f>
        <v>42982</v>
      </c>
      <c r="J46" s="48">
        <f>Tableau_Lancer_la_requête_à_partir_de_Excel_Files3[[#This Row],[Aide Publique Obtenue]]/Tableau_Lancer_la_requête_à_partir_de_Excel_Files3[[#This Row],[Coût total]]</f>
        <v>0.69999837141507748</v>
      </c>
      <c r="K46" s="47">
        <f>Tableau_Lancer_la_requête_à_partir_de_Excel_Files3[[#This Row],[Etat]]+Tableau_Lancer_la_requête_à_partir_de_Excel_Files3[[#This Row],[Régions]]+Tableau_Lancer_la_requête_à_partir_de_Excel_Files3[[#This Row],[Départements]]+Tableau_Lancer_la_requête_à_partir_de_Excel_Files3[[#This Row],[''FEDER'']]</f>
        <v>42982</v>
      </c>
      <c r="L46" s="48">
        <f>Tableau_Lancer_la_requête_à_partir_de_Excel_Files3[[#This Row],[Aide Massif Obtenu]]/Tableau_Lancer_la_requête_à_partir_de_Excel_Files3[[#This Row],[Coût total]]</f>
        <v>0.69999837141507748</v>
      </c>
      <c r="M46" s="49">
        <f>Tableau_Lancer_la_requête_à_partir_de_Excel_Files3[[#This Row],[''FNADT'']]+Tableau_Lancer_la_requête_à_partir_de_Excel_Files3[[#This Row],[''Agriculture'']]</f>
        <v>12281</v>
      </c>
      <c r="N46" s="47">
        <v>12281</v>
      </c>
      <c r="O46" s="47"/>
      <c r="P46" s="49">
        <f>Tableau_Lancer_la_requête_à_partir_de_Excel_Files3[[#This Row],[''ALPC'']]+Tableau_Lancer_la_requête_à_partir_de_Excel_Files3[[#This Row],[''AURA'']]+Tableau_Lancer_la_requête_à_partir_de_Excel_Files3[[#This Row],[''BFC'']]+Tableau_Lancer_la_requête_à_partir_de_Excel_Files3[[#This Row],[''LRMP'']]</f>
        <v>0</v>
      </c>
      <c r="Q46" s="47"/>
      <c r="R46" s="47"/>
      <c r="S46" s="47"/>
      <c r="T46" s="47"/>
      <c r="U46"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6" s="47"/>
      <c r="W46" s="47"/>
      <c r="X46" s="47"/>
      <c r="Y46" s="47"/>
      <c r="Z46" s="47"/>
      <c r="AA46" s="47"/>
      <c r="AB46" s="47"/>
      <c r="AC46" s="47"/>
      <c r="AD46" s="47"/>
      <c r="AE46" s="47"/>
      <c r="AF46" s="47"/>
      <c r="AG46" s="47"/>
      <c r="AH46" s="47"/>
      <c r="AI46" s="47"/>
      <c r="AJ46" s="47"/>
      <c r="AK46" s="47"/>
      <c r="AL46" s="47"/>
      <c r="AM46" s="47"/>
      <c r="AN46" s="47"/>
      <c r="AO46" s="47"/>
      <c r="AP46" s="47"/>
      <c r="AQ46" s="47"/>
      <c r="AR46" s="47">
        <v>30701</v>
      </c>
      <c r="AS46" s="47">
        <v>0</v>
      </c>
      <c r="AT46" s="41" t="s">
        <v>77</v>
      </c>
      <c r="AV46" s="64" t="s">
        <v>407</v>
      </c>
      <c r="AW46" s="40" t="s">
        <v>369</v>
      </c>
      <c r="AY46" s="40" t="s">
        <v>40</v>
      </c>
      <c r="AZ46" s="52">
        <f ca="1">SUMIF(Tableau_Lancer_la_requête_à_partir_de_Excel_Files3[Avis Prog],"1-Favorable",Tableau3[''30''])</f>
        <v>0</v>
      </c>
      <c r="BB46" s="37">
        <f>SUMIF(Tableau3[Avis],"1-Favorable",Tableau3[''30''])</f>
        <v>0</v>
      </c>
      <c r="BG46" s="37">
        <f>SUMIF(Tableau3[Avis],"0",Tableau3[''30''])</f>
        <v>0</v>
      </c>
      <c r="CM46" s="37"/>
      <c r="CN46" s="37"/>
      <c r="CO46" s="37"/>
      <c r="CP46" s="37"/>
      <c r="CQ46" s="37"/>
      <c r="CR46" s="37"/>
      <c r="CS46" s="37"/>
      <c r="CT46" s="37"/>
      <c r="CU46" s="37"/>
      <c r="CV46" s="37"/>
      <c r="CW46" s="37"/>
      <c r="CX46" s="37"/>
      <c r="CY46" s="37"/>
      <c r="CZ46" s="37"/>
      <c r="DA46" s="37"/>
      <c r="DB46" s="37"/>
      <c r="DC46" s="37"/>
      <c r="DD46" s="37"/>
      <c r="DE46" s="37"/>
      <c r="DF46" s="37"/>
      <c r="DG46" s="37"/>
      <c r="DH46" s="37"/>
    </row>
    <row r="47" spans="1:112" ht="105" x14ac:dyDescent="0.25">
      <c r="A47" s="43" t="s">
        <v>5</v>
      </c>
      <c r="B47" s="45" t="s">
        <v>381</v>
      </c>
      <c r="C47" s="45" t="s">
        <v>379</v>
      </c>
      <c r="D47" s="46" t="s">
        <v>89</v>
      </c>
      <c r="E47" s="46" t="s">
        <v>380</v>
      </c>
      <c r="F47" s="47">
        <v>63672.42</v>
      </c>
      <c r="G47" s="47">
        <v>31836.21</v>
      </c>
      <c r="H47" s="47">
        <f>IF(Tableau_Lancer_la_requête_à_partir_de_Excel_Files3[[#This Row],[Coût total Eligible FEDER]]="",Tableau_Lancer_la_requête_à_partir_de_Excel_Files3[[#This Row],[Coût total déposé]],Tableau_Lancer_la_requête_à_partir_de_Excel_Files3[[#This Row],[Coût total Eligible FEDER]])</f>
        <v>31836.21</v>
      </c>
      <c r="I47" s="47">
        <f>Tableau_Lancer_la_requête_à_partir_de_Excel_Files3[[#This Row],[Aide Massif Obtenu]]+Tableau_Lancer_la_requête_à_partir_de_Excel_Files3[[#This Row],[''Autre Public'']]</f>
        <v>22285.35</v>
      </c>
      <c r="J47" s="48">
        <f>Tableau_Lancer_la_requête_à_partir_de_Excel_Files3[[#This Row],[Aide Publique Obtenue]]/Tableau_Lancer_la_requête_à_partir_de_Excel_Files3[[#This Row],[Coût total]]</f>
        <v>0.70000009423232223</v>
      </c>
      <c r="K47" s="47">
        <f>Tableau_Lancer_la_requête_à_partir_de_Excel_Files3[[#This Row],[Etat]]+Tableau_Lancer_la_requête_à_partir_de_Excel_Files3[[#This Row],[Régions]]+Tableau_Lancer_la_requête_à_partir_de_Excel_Files3[[#This Row],[Départements]]+Tableau_Lancer_la_requête_à_partir_de_Excel_Files3[[#This Row],[''FEDER'']]</f>
        <v>22285.35</v>
      </c>
      <c r="L47" s="48">
        <f>Tableau_Lancer_la_requête_à_partir_de_Excel_Files3[[#This Row],[Aide Massif Obtenu]]/Tableau_Lancer_la_requête_à_partir_de_Excel_Files3[[#This Row],[Coût total]]</f>
        <v>0.70000009423232223</v>
      </c>
      <c r="M47" s="49">
        <f>Tableau_Lancer_la_requête_à_partir_de_Excel_Files3[[#This Row],[''FNADT'']]+Tableau_Lancer_la_requête_à_partir_de_Excel_Files3[[#This Row],[''Agriculture'']]</f>
        <v>6367.24</v>
      </c>
      <c r="N47" s="47">
        <v>6367.24</v>
      </c>
      <c r="O47" s="47"/>
      <c r="P47" s="49">
        <f>Tableau_Lancer_la_requête_à_partir_de_Excel_Files3[[#This Row],[''ALPC'']]+Tableau_Lancer_la_requête_à_partir_de_Excel_Files3[[#This Row],[''AURA'']]+Tableau_Lancer_la_requête_à_partir_de_Excel_Files3[[#This Row],[''BFC'']]+Tableau_Lancer_la_requête_à_partir_de_Excel_Files3[[#This Row],[''LRMP'']]</f>
        <v>0</v>
      </c>
      <c r="Q47" s="47"/>
      <c r="R47" s="47"/>
      <c r="S47" s="47"/>
      <c r="T47" s="47"/>
      <c r="U47"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7" s="47"/>
      <c r="W47" s="47"/>
      <c r="X47" s="47"/>
      <c r="Y47" s="47"/>
      <c r="Z47" s="47"/>
      <c r="AA47" s="47"/>
      <c r="AB47" s="47"/>
      <c r="AC47" s="47"/>
      <c r="AD47" s="47"/>
      <c r="AE47" s="47"/>
      <c r="AF47" s="47"/>
      <c r="AG47" s="47"/>
      <c r="AH47" s="47"/>
      <c r="AI47" s="47"/>
      <c r="AJ47" s="47"/>
      <c r="AK47" s="47"/>
      <c r="AL47" s="47"/>
      <c r="AM47" s="47"/>
      <c r="AN47" s="47"/>
      <c r="AO47" s="47"/>
      <c r="AP47" s="47"/>
      <c r="AQ47" s="47"/>
      <c r="AR47" s="47">
        <v>15918.11</v>
      </c>
      <c r="AS47" s="47">
        <v>0</v>
      </c>
      <c r="AT47" s="41" t="s">
        <v>77</v>
      </c>
      <c r="AV47" s="55" t="s">
        <v>406</v>
      </c>
      <c r="AW47" s="40" t="s">
        <v>379</v>
      </c>
      <c r="AY47" s="40" t="s">
        <v>41</v>
      </c>
      <c r="AZ47" s="52">
        <f ca="1">SUMIF(Tableau_Lancer_la_requête_à_partir_de_Excel_Files3[Avis Prog],"1-Favorable",Tableau3[''34''])</f>
        <v>0</v>
      </c>
      <c r="BB47" s="37">
        <f>SUMIF(Tableau3[Avis],"1-Favorable",Tableau3[''34''])</f>
        <v>0</v>
      </c>
      <c r="BG47" s="37">
        <f>SUMIF(Tableau3[Avis],"0",Tableau3[''34''])</f>
        <v>0</v>
      </c>
      <c r="CM47" s="37"/>
      <c r="CN47" s="37"/>
      <c r="CO47" s="37"/>
      <c r="CP47" s="37"/>
      <c r="CQ47" s="37"/>
      <c r="CR47" s="37"/>
      <c r="CS47" s="37"/>
      <c r="CT47" s="37"/>
      <c r="CU47" s="37"/>
      <c r="CV47" s="37"/>
      <c r="CW47" s="37"/>
      <c r="CX47" s="37"/>
      <c r="CY47" s="37"/>
      <c r="CZ47" s="37"/>
      <c r="DA47" s="37"/>
      <c r="DB47" s="37"/>
      <c r="DC47" s="37"/>
      <c r="DD47" s="37"/>
      <c r="DE47" s="37"/>
      <c r="DF47" s="37"/>
      <c r="DG47" s="37"/>
      <c r="DH47" s="37"/>
    </row>
    <row r="48" spans="1:112" ht="105" x14ac:dyDescent="0.25">
      <c r="A48" s="43" t="s">
        <v>5</v>
      </c>
      <c r="B48" s="45" t="s">
        <v>383</v>
      </c>
      <c r="C48" s="45" t="s">
        <v>379</v>
      </c>
      <c r="D48" s="46" t="s">
        <v>382</v>
      </c>
      <c r="E48" s="46" t="s">
        <v>380</v>
      </c>
      <c r="F48" s="47">
        <v>248439.94</v>
      </c>
      <c r="G48" s="47">
        <v>123323.97</v>
      </c>
      <c r="H48" s="47">
        <f>IF(Tableau_Lancer_la_requête_à_partir_de_Excel_Files3[[#This Row],[Coût total Eligible FEDER]]="",Tableau_Lancer_la_requête_à_partir_de_Excel_Files3[[#This Row],[Coût total déposé]],Tableau_Lancer_la_requête_à_partir_de_Excel_Files3[[#This Row],[Coût total Eligible FEDER]])</f>
        <v>123323.97</v>
      </c>
      <c r="I48" s="47">
        <f>Tableau_Lancer_la_requête_à_partir_de_Excel_Files3[[#This Row],[Aide Massif Obtenu]]+Tableau_Lancer_la_requête_à_partir_de_Excel_Files3[[#This Row],[''Autre Public'']]</f>
        <v>85538.44</v>
      </c>
      <c r="J48" s="48">
        <f>Tableau_Lancer_la_requête_à_partir_de_Excel_Files3[[#This Row],[Aide Publique Obtenue]]/Tableau_Lancer_la_requête_à_partir_de_Excel_Files3[[#This Row],[Coût total]]</f>
        <v>0.69360757685630781</v>
      </c>
      <c r="K48" s="47">
        <f>Tableau_Lancer_la_requête_à_partir_de_Excel_Files3[[#This Row],[Etat]]+Tableau_Lancer_la_requête_à_partir_de_Excel_Files3[[#This Row],[Régions]]+Tableau_Lancer_la_requête_à_partir_de_Excel_Files3[[#This Row],[Départements]]+Tableau_Lancer_la_requête_à_partir_de_Excel_Files3[[#This Row],[''FEDER'']]</f>
        <v>85538.44</v>
      </c>
      <c r="L48" s="48">
        <f>Tableau_Lancer_la_requête_à_partir_de_Excel_Files3[[#This Row],[Aide Massif Obtenu]]/Tableau_Lancer_la_requête_à_partir_de_Excel_Files3[[#This Row],[Coût total]]</f>
        <v>0.69360757685630781</v>
      </c>
      <c r="M48" s="49">
        <f>Tableau_Lancer_la_requête_à_partir_de_Excel_Files3[[#This Row],[''FNADT'']]+Tableau_Lancer_la_requête_à_partir_de_Excel_Files3[[#This Row],[''Agriculture'']]</f>
        <v>37363</v>
      </c>
      <c r="N48" s="47">
        <v>37363</v>
      </c>
      <c r="O48" s="47"/>
      <c r="P48" s="49">
        <f>Tableau_Lancer_la_requête_à_partir_de_Excel_Files3[[#This Row],[''ALPC'']]+Tableau_Lancer_la_requête_à_partir_de_Excel_Files3[[#This Row],[''AURA'']]+Tableau_Lancer_la_requête_à_partir_de_Excel_Files3[[#This Row],[''BFC'']]+Tableau_Lancer_la_requête_à_partir_de_Excel_Files3[[#This Row],[''LRMP'']]</f>
        <v>11913.44</v>
      </c>
      <c r="Q48" s="47">
        <v>5956.72</v>
      </c>
      <c r="R48" s="47">
        <v>5956.72</v>
      </c>
      <c r="S48" s="47"/>
      <c r="T48" s="47"/>
      <c r="U48"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8" s="47"/>
      <c r="W48" s="47"/>
      <c r="X48" s="47"/>
      <c r="Y48" s="47"/>
      <c r="Z48" s="47"/>
      <c r="AA48" s="47"/>
      <c r="AB48" s="47"/>
      <c r="AC48" s="47"/>
      <c r="AD48" s="47"/>
      <c r="AE48" s="47"/>
      <c r="AF48" s="47"/>
      <c r="AG48" s="47"/>
      <c r="AH48" s="47"/>
      <c r="AI48" s="47"/>
      <c r="AJ48" s="47"/>
      <c r="AK48" s="47"/>
      <c r="AL48" s="47"/>
      <c r="AM48" s="47"/>
      <c r="AN48" s="47"/>
      <c r="AO48" s="47"/>
      <c r="AP48" s="47"/>
      <c r="AQ48" s="47"/>
      <c r="AR48" s="47">
        <v>36262</v>
      </c>
      <c r="AS48" s="47">
        <v>0</v>
      </c>
      <c r="AT48" s="41" t="s">
        <v>77</v>
      </c>
      <c r="AV48" s="64" t="s">
        <v>406</v>
      </c>
      <c r="AW48" s="40" t="s">
        <v>379</v>
      </c>
      <c r="AY48" s="40" t="s">
        <v>42</v>
      </c>
      <c r="AZ48" s="52">
        <f ca="1">SUMIF(Tableau_Lancer_la_requête_à_partir_de_Excel_Files3[Avis Prog],"1-Favorable",Tableau3[''42''])</f>
        <v>0</v>
      </c>
      <c r="BB48" s="37">
        <f>SUMIF(Tableau3[Avis],"1-Favorable",Tableau3[''42''])</f>
        <v>0</v>
      </c>
      <c r="BG48" s="37">
        <f>SUMIF(Tableau3[Avis],"0",Tableau3[''42''])</f>
        <v>0</v>
      </c>
      <c r="CM48" s="37"/>
      <c r="CN48" s="37"/>
      <c r="CO48" s="37"/>
      <c r="CP48" s="37"/>
      <c r="CQ48" s="37"/>
      <c r="CR48" s="37"/>
      <c r="CS48" s="37"/>
      <c r="CT48" s="37"/>
      <c r="CU48" s="37"/>
      <c r="CV48" s="37"/>
      <c r="CW48" s="37"/>
      <c r="CX48" s="37"/>
      <c r="CY48" s="37"/>
      <c r="CZ48" s="37"/>
      <c r="DA48" s="37"/>
      <c r="DB48" s="37"/>
      <c r="DC48" s="37"/>
      <c r="DD48" s="37"/>
      <c r="DE48" s="37"/>
      <c r="DF48" s="37"/>
      <c r="DG48" s="37"/>
      <c r="DH48" s="37"/>
    </row>
    <row r="49" spans="1:112" ht="105" x14ac:dyDescent="0.25">
      <c r="A49" s="43" t="s">
        <v>5</v>
      </c>
      <c r="B49" s="45" t="s">
        <v>385</v>
      </c>
      <c r="C49" s="45" t="s">
        <v>379</v>
      </c>
      <c r="D49" s="46" t="s">
        <v>384</v>
      </c>
      <c r="E49" s="46" t="s">
        <v>380</v>
      </c>
      <c r="F49" s="47">
        <v>62991.9</v>
      </c>
      <c r="G49" s="47">
        <v>31047.95</v>
      </c>
      <c r="H49" s="47">
        <f>IF(Tableau_Lancer_la_requête_à_partir_de_Excel_Files3[[#This Row],[Coût total Eligible FEDER]]="",Tableau_Lancer_la_requête_à_partir_de_Excel_Files3[[#This Row],[Coût total déposé]],Tableau_Lancer_la_requête_à_partir_de_Excel_Files3[[#This Row],[Coût total Eligible FEDER]])</f>
        <v>31047.95</v>
      </c>
      <c r="I49" s="47">
        <f>Tableau_Lancer_la_requête_à_partir_de_Excel_Files3[[#This Row],[Aide Massif Obtenu]]+Tableau_Lancer_la_requête_à_partir_de_Excel_Files3[[#This Row],[''Autre Public'']]</f>
        <v>21733.57</v>
      </c>
      <c r="J49" s="48">
        <f>Tableau_Lancer_la_requête_à_partir_de_Excel_Files3[[#This Row],[Aide Publique Obtenue]]/Tableau_Lancer_la_requête_à_partir_de_Excel_Files3[[#This Row],[Coût total]]</f>
        <v>0.70000016104122809</v>
      </c>
      <c r="K49" s="47">
        <f>Tableau_Lancer_la_requête_à_partir_de_Excel_Files3[[#This Row],[Etat]]+Tableau_Lancer_la_requête_à_partir_de_Excel_Files3[[#This Row],[Régions]]+Tableau_Lancer_la_requête_à_partir_de_Excel_Files3[[#This Row],[Départements]]+Tableau_Lancer_la_requête_à_partir_de_Excel_Files3[[#This Row],[''FEDER'']]</f>
        <v>21733.57</v>
      </c>
      <c r="L49" s="48">
        <f>Tableau_Lancer_la_requête_à_partir_de_Excel_Files3[[#This Row],[Aide Massif Obtenu]]/Tableau_Lancer_la_requête_à_partir_de_Excel_Files3[[#This Row],[Coût total]]</f>
        <v>0.70000016104122809</v>
      </c>
      <c r="M49" s="49">
        <f>Tableau_Lancer_la_requête_à_partir_de_Excel_Files3[[#This Row],[''FNADT'']]+Tableau_Lancer_la_requête_à_partir_de_Excel_Files3[[#This Row],[''Agriculture'']]</f>
        <v>6209.59</v>
      </c>
      <c r="N49" s="47">
        <v>6209.59</v>
      </c>
      <c r="O49" s="47"/>
      <c r="P49" s="49">
        <f>Tableau_Lancer_la_requête_à_partir_de_Excel_Files3[[#This Row],[''ALPC'']]+Tableau_Lancer_la_requête_à_partir_de_Excel_Files3[[#This Row],[''AURA'']]+Tableau_Lancer_la_requête_à_partir_de_Excel_Files3[[#This Row],[''BFC'']]+Tableau_Lancer_la_requête_à_partir_de_Excel_Files3[[#This Row],[''LRMP'']]</f>
        <v>0</v>
      </c>
      <c r="Q49" s="47"/>
      <c r="R49" s="47"/>
      <c r="S49" s="47"/>
      <c r="T49" s="47"/>
      <c r="U49"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9" s="47"/>
      <c r="W49" s="47"/>
      <c r="X49" s="47"/>
      <c r="Y49" s="47"/>
      <c r="Z49" s="47"/>
      <c r="AA49" s="47"/>
      <c r="AB49" s="47"/>
      <c r="AC49" s="47"/>
      <c r="AD49" s="47"/>
      <c r="AE49" s="47"/>
      <c r="AF49" s="47"/>
      <c r="AG49" s="47"/>
      <c r="AH49" s="47"/>
      <c r="AI49" s="47"/>
      <c r="AJ49" s="47"/>
      <c r="AK49" s="47"/>
      <c r="AL49" s="47"/>
      <c r="AM49" s="47"/>
      <c r="AN49" s="47"/>
      <c r="AO49" s="47"/>
      <c r="AP49" s="47"/>
      <c r="AQ49" s="47"/>
      <c r="AR49" s="47">
        <v>15523.98</v>
      </c>
      <c r="AS49" s="47">
        <v>0</v>
      </c>
      <c r="AT49" s="41" t="s">
        <v>77</v>
      </c>
      <c r="AV49" s="55" t="s">
        <v>406</v>
      </c>
      <c r="AW49" s="40" t="s">
        <v>379</v>
      </c>
      <c r="AY49" s="40" t="s">
        <v>43</v>
      </c>
      <c r="AZ49" s="52">
        <f ca="1">SUMIF(Tableau_Lancer_la_requête_à_partir_de_Excel_Files3[Avis Prog],"1-Favorable",Tableau3[''43''])</f>
        <v>0</v>
      </c>
      <c r="BB49" s="37">
        <f>SUMIF(Tableau3[Avis],"1-Favorable",Tableau3[''43''])</f>
        <v>0</v>
      </c>
      <c r="BG49" s="37">
        <f>SUMIF(Tableau3[Avis],"0",Tableau3[''43''])</f>
        <v>0</v>
      </c>
      <c r="CM49" s="37"/>
      <c r="CN49" s="37"/>
      <c r="CO49" s="37"/>
      <c r="CP49" s="37"/>
      <c r="CQ49" s="37"/>
      <c r="CR49" s="37"/>
      <c r="CS49" s="37"/>
      <c r="CT49" s="37"/>
      <c r="CU49" s="37"/>
      <c r="CV49" s="37"/>
      <c r="CW49" s="37"/>
      <c r="CX49" s="37"/>
      <c r="CY49" s="37"/>
      <c r="CZ49" s="37"/>
      <c r="DA49" s="37"/>
      <c r="DB49" s="37"/>
      <c r="DC49" s="37"/>
      <c r="DD49" s="37"/>
      <c r="DE49" s="37"/>
      <c r="DF49" s="37"/>
      <c r="DG49" s="37"/>
      <c r="DH49" s="37"/>
    </row>
    <row r="50" spans="1:112" ht="105" x14ac:dyDescent="0.25">
      <c r="A50" s="43" t="s">
        <v>5</v>
      </c>
      <c r="B50" s="45" t="s">
        <v>387</v>
      </c>
      <c r="C50" s="45" t="s">
        <v>379</v>
      </c>
      <c r="D50" s="46" t="s">
        <v>386</v>
      </c>
      <c r="E50" s="46" t="s">
        <v>380</v>
      </c>
      <c r="F50" s="47">
        <v>62991.64</v>
      </c>
      <c r="G50" s="47">
        <v>31047.82</v>
      </c>
      <c r="H50" s="47">
        <f>IF(Tableau_Lancer_la_requête_à_partir_de_Excel_Files3[[#This Row],[Coût total Eligible FEDER]]="",Tableau_Lancer_la_requête_à_partir_de_Excel_Files3[[#This Row],[Coût total déposé]],Tableau_Lancer_la_requête_à_partir_de_Excel_Files3[[#This Row],[Coût total Eligible FEDER]])</f>
        <v>31047.82</v>
      </c>
      <c r="I50" s="47">
        <f>Tableau_Lancer_la_requête_à_partir_de_Excel_Files3[[#This Row],[Aide Massif Obtenu]]+Tableau_Lancer_la_requête_à_partir_de_Excel_Files3[[#This Row],[''Autre Public'']]</f>
        <v>21733.47</v>
      </c>
      <c r="J50" s="48">
        <f>Tableau_Lancer_la_requête_à_partir_de_Excel_Files3[[#This Row],[Aide Publique Obtenue]]/Tableau_Lancer_la_requête_à_partir_de_Excel_Files3[[#This Row],[Coût total]]</f>
        <v>0.6999998711664781</v>
      </c>
      <c r="K50" s="47">
        <f>Tableau_Lancer_la_requête_à_partir_de_Excel_Files3[[#This Row],[Etat]]+Tableau_Lancer_la_requête_à_partir_de_Excel_Files3[[#This Row],[Régions]]+Tableau_Lancer_la_requête_à_partir_de_Excel_Files3[[#This Row],[Départements]]+Tableau_Lancer_la_requête_à_partir_de_Excel_Files3[[#This Row],[''FEDER'']]</f>
        <v>21733.47</v>
      </c>
      <c r="L50" s="48">
        <f>Tableau_Lancer_la_requête_à_partir_de_Excel_Files3[[#This Row],[Aide Massif Obtenu]]/Tableau_Lancer_la_requête_à_partir_de_Excel_Files3[[#This Row],[Coût total]]</f>
        <v>0.6999998711664781</v>
      </c>
      <c r="M50" s="49">
        <f>Tableau_Lancer_la_requête_à_partir_de_Excel_Files3[[#This Row],[''FNADT'']]+Tableau_Lancer_la_requête_à_partir_de_Excel_Files3[[#This Row],[''Agriculture'']]</f>
        <v>6209.56</v>
      </c>
      <c r="N50" s="47">
        <v>6209.56</v>
      </c>
      <c r="O50" s="47"/>
      <c r="P50" s="49">
        <f>Tableau_Lancer_la_requête_à_partir_de_Excel_Files3[[#This Row],[''ALPC'']]+Tableau_Lancer_la_requête_à_partir_de_Excel_Files3[[#This Row],[''AURA'']]+Tableau_Lancer_la_requête_à_partir_de_Excel_Files3[[#This Row],[''BFC'']]+Tableau_Lancer_la_requête_à_partir_de_Excel_Files3[[#This Row],[''LRMP'']]</f>
        <v>0</v>
      </c>
      <c r="Q50" s="47"/>
      <c r="R50" s="47"/>
      <c r="S50" s="47"/>
      <c r="T50" s="47"/>
      <c r="U50"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50" s="47"/>
      <c r="W50" s="47"/>
      <c r="X50" s="47"/>
      <c r="Y50" s="47"/>
      <c r="Z50" s="47"/>
      <c r="AA50" s="47"/>
      <c r="AB50" s="47"/>
      <c r="AC50" s="47"/>
      <c r="AD50" s="47"/>
      <c r="AE50" s="47"/>
      <c r="AF50" s="47"/>
      <c r="AG50" s="47"/>
      <c r="AH50" s="47"/>
      <c r="AI50" s="47"/>
      <c r="AJ50" s="47"/>
      <c r="AK50" s="47"/>
      <c r="AL50" s="47"/>
      <c r="AM50" s="47"/>
      <c r="AN50" s="47"/>
      <c r="AO50" s="47"/>
      <c r="AP50" s="47"/>
      <c r="AQ50" s="47"/>
      <c r="AR50" s="47">
        <v>15523.91</v>
      </c>
      <c r="AS50" s="47">
        <v>0</v>
      </c>
      <c r="AT50" s="41" t="s">
        <v>77</v>
      </c>
      <c r="AV50" s="64" t="s">
        <v>406</v>
      </c>
      <c r="AW50" s="40" t="s">
        <v>379</v>
      </c>
      <c r="AY50" s="40" t="s">
        <v>44</v>
      </c>
      <c r="AZ50" s="52">
        <f ca="1">SUMIF(Tableau_Lancer_la_requête_à_partir_de_Excel_Files3[Avis Prog],"1-Favorable",Tableau3[''46''])</f>
        <v>0</v>
      </c>
      <c r="BB50" s="37">
        <f>SUMIF(Tableau3[Avis],"1-Favorable",Tableau3[''46''])</f>
        <v>0</v>
      </c>
      <c r="BG50" s="37">
        <f>SUMIF(Tableau3[Avis],"0",Tableau3[''46''])</f>
        <v>0</v>
      </c>
      <c r="CM50" s="37"/>
      <c r="CN50" s="37"/>
      <c r="CO50" s="37"/>
      <c r="CP50" s="37"/>
      <c r="CQ50" s="37"/>
      <c r="CR50" s="37"/>
      <c r="CS50" s="37"/>
      <c r="CT50" s="37"/>
      <c r="CU50" s="37"/>
      <c r="CV50" s="37"/>
      <c r="CW50" s="37"/>
      <c r="CX50" s="37"/>
      <c r="CY50" s="37"/>
      <c r="CZ50" s="37"/>
      <c r="DA50" s="37"/>
      <c r="DB50" s="37"/>
      <c r="DC50" s="37"/>
      <c r="DD50" s="37"/>
      <c r="DE50" s="37"/>
      <c r="DF50" s="37"/>
      <c r="DG50" s="37"/>
      <c r="DH50" s="37"/>
    </row>
    <row r="51" spans="1:112" ht="105" x14ac:dyDescent="0.25">
      <c r="A51" s="43" t="s">
        <v>5</v>
      </c>
      <c r="B51" s="45" t="s">
        <v>389</v>
      </c>
      <c r="C51" s="45" t="s">
        <v>379</v>
      </c>
      <c r="D51" s="46" t="s">
        <v>388</v>
      </c>
      <c r="E51" s="46" t="s">
        <v>380</v>
      </c>
      <c r="F51" s="47">
        <v>62991.3</v>
      </c>
      <c r="G51" s="47">
        <v>31047.65</v>
      </c>
      <c r="H51" s="47">
        <f>IF(Tableau_Lancer_la_requête_à_partir_de_Excel_Files3[[#This Row],[Coût total Eligible FEDER]]="",Tableau_Lancer_la_requête_à_partir_de_Excel_Files3[[#This Row],[Coût total déposé]],Tableau_Lancer_la_requête_à_partir_de_Excel_Files3[[#This Row],[Coût total Eligible FEDER]])</f>
        <v>31047.65</v>
      </c>
      <c r="I51" s="47">
        <f>Tableau_Lancer_la_requête_à_partir_de_Excel_Files3[[#This Row],[Aide Massif Obtenu]]+Tableau_Lancer_la_requête_à_partir_de_Excel_Files3[[#This Row],[''Autre Public'']]</f>
        <v>21733.360000000001</v>
      </c>
      <c r="J51" s="48">
        <f>Tableau_Lancer_la_requête_à_partir_de_Excel_Files3[[#This Row],[Aide Publique Obtenue]]/Tableau_Lancer_la_requête_à_partir_de_Excel_Files3[[#This Row],[Coût total]]</f>
        <v>0.70000016104278417</v>
      </c>
      <c r="K51" s="47">
        <f>Tableau_Lancer_la_requête_à_partir_de_Excel_Files3[[#This Row],[Etat]]+Tableau_Lancer_la_requête_à_partir_de_Excel_Files3[[#This Row],[Régions]]+Tableau_Lancer_la_requête_à_partir_de_Excel_Files3[[#This Row],[Départements]]+Tableau_Lancer_la_requête_à_partir_de_Excel_Files3[[#This Row],[''FEDER'']]</f>
        <v>21733.360000000001</v>
      </c>
      <c r="L51" s="48">
        <f>Tableau_Lancer_la_requête_à_partir_de_Excel_Files3[[#This Row],[Aide Massif Obtenu]]/Tableau_Lancer_la_requête_à_partir_de_Excel_Files3[[#This Row],[Coût total]]</f>
        <v>0.70000016104278417</v>
      </c>
      <c r="M51" s="49">
        <f>Tableau_Lancer_la_requête_à_partir_de_Excel_Files3[[#This Row],[''FNADT'']]+Tableau_Lancer_la_requête_à_partir_de_Excel_Files3[[#This Row],[''Agriculture'']]</f>
        <v>6209.53</v>
      </c>
      <c r="N51" s="47">
        <v>6209.53</v>
      </c>
      <c r="O51" s="47"/>
      <c r="P51" s="49">
        <f>Tableau_Lancer_la_requête_à_partir_de_Excel_Files3[[#This Row],[''ALPC'']]+Tableau_Lancer_la_requête_à_partir_de_Excel_Files3[[#This Row],[''AURA'']]+Tableau_Lancer_la_requête_à_partir_de_Excel_Files3[[#This Row],[''BFC'']]+Tableau_Lancer_la_requête_à_partir_de_Excel_Files3[[#This Row],[''LRMP'']]</f>
        <v>0</v>
      </c>
      <c r="Q51" s="47"/>
      <c r="R51" s="47"/>
      <c r="S51" s="47"/>
      <c r="T51" s="47"/>
      <c r="U51"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51" s="47"/>
      <c r="W51" s="47"/>
      <c r="X51" s="47"/>
      <c r="Y51" s="47"/>
      <c r="Z51" s="47"/>
      <c r="AA51" s="47"/>
      <c r="AB51" s="47"/>
      <c r="AC51" s="47"/>
      <c r="AD51" s="47"/>
      <c r="AE51" s="47"/>
      <c r="AF51" s="47"/>
      <c r="AG51" s="47"/>
      <c r="AH51" s="47"/>
      <c r="AI51" s="47"/>
      <c r="AJ51" s="47"/>
      <c r="AK51" s="47"/>
      <c r="AL51" s="47"/>
      <c r="AM51" s="47"/>
      <c r="AN51" s="47"/>
      <c r="AO51" s="47"/>
      <c r="AP51" s="47"/>
      <c r="AQ51" s="47"/>
      <c r="AR51" s="47">
        <v>15523.83</v>
      </c>
      <c r="AS51" s="47">
        <v>0</v>
      </c>
      <c r="AT51" s="41" t="s">
        <v>77</v>
      </c>
      <c r="AV51" s="55" t="s">
        <v>406</v>
      </c>
      <c r="AW51" s="40" t="s">
        <v>379</v>
      </c>
      <c r="AY51" s="40" t="s">
        <v>45</v>
      </c>
      <c r="AZ51" s="52">
        <f ca="1">SUMIF(Tableau_Lancer_la_requête_à_partir_de_Excel_Files3[Avis Prog],"1-Favorable",Tableau3[''48''])</f>
        <v>0</v>
      </c>
      <c r="BB51" s="37">
        <f>SUMIF(Tableau3[Avis],"1-Favorable",Tableau3[''48''])</f>
        <v>0</v>
      </c>
      <c r="BG51" s="37">
        <f>SUMIF(Tableau3[Avis],"0",Tableau3[''48''])</f>
        <v>0</v>
      </c>
      <c r="CM51" s="37"/>
      <c r="CN51" s="37"/>
      <c r="CO51" s="37"/>
      <c r="CP51" s="37"/>
      <c r="CQ51" s="37"/>
      <c r="CR51" s="37"/>
      <c r="CS51" s="37"/>
      <c r="CT51" s="37"/>
      <c r="CU51" s="37"/>
      <c r="CV51" s="37"/>
      <c r="CW51" s="37"/>
      <c r="CX51" s="37"/>
      <c r="CY51" s="37"/>
      <c r="CZ51" s="37"/>
      <c r="DA51" s="37"/>
      <c r="DB51" s="37"/>
      <c r="DC51" s="37"/>
      <c r="DD51" s="37"/>
      <c r="DE51" s="37"/>
      <c r="DF51" s="37"/>
      <c r="DG51" s="37"/>
      <c r="DH51" s="37"/>
    </row>
    <row r="52" spans="1:112" ht="30" x14ac:dyDescent="0.25">
      <c r="A52" s="43" t="s">
        <v>5</v>
      </c>
      <c r="B52" s="45" t="s">
        <v>60</v>
      </c>
      <c r="C52" s="45" t="s">
        <v>124</v>
      </c>
      <c r="D52" s="46" t="s">
        <v>63</v>
      </c>
      <c r="E52" s="46" t="s">
        <v>68</v>
      </c>
      <c r="F52" s="47">
        <v>151050</v>
      </c>
      <c r="G52" s="47">
        <v>131679</v>
      </c>
      <c r="H52" s="47">
        <f>IF(Tableau_Lancer_la_requête_à_partir_de_Excel_Files3[[#This Row],[Coût total Eligible FEDER]]="",Tableau_Lancer_la_requête_à_partir_de_Excel_Files3[[#This Row],[Coût total déposé]],Tableau_Lancer_la_requête_à_partir_de_Excel_Files3[[#This Row],[Coût total Eligible FEDER]])</f>
        <v>131679</v>
      </c>
      <c r="I52" s="47">
        <f>Tableau_Lancer_la_requête_à_partir_de_Excel_Files3[[#This Row],[Aide Massif Obtenu]]+Tableau_Lancer_la_requête_à_partir_de_Excel_Files3[[#This Row],[''Autre Public'']]</f>
        <v>65839</v>
      </c>
      <c r="J52" s="48">
        <f>Tableau_Lancer_la_requête_à_partir_de_Excel_Files3[[#This Row],[Aide Publique Obtenue]]/Tableau_Lancer_la_requête_à_partir_de_Excel_Files3[[#This Row],[Coût total]]</f>
        <v>0.49999620288732449</v>
      </c>
      <c r="K52" s="47">
        <f>Tableau_Lancer_la_requête_à_partir_de_Excel_Files3[[#This Row],[Etat]]+Tableau_Lancer_la_requête_à_partir_de_Excel_Files3[[#This Row],[Régions]]+Tableau_Lancer_la_requête_à_partir_de_Excel_Files3[[#This Row],[Départements]]+Tableau_Lancer_la_requête_à_partir_de_Excel_Files3[[#This Row],[''FEDER'']]</f>
        <v>65839</v>
      </c>
      <c r="L52" s="48">
        <f>Tableau_Lancer_la_requête_à_partir_de_Excel_Files3[[#This Row],[Aide Massif Obtenu]]/Tableau_Lancer_la_requête_à_partir_de_Excel_Files3[[#This Row],[Coût total]]</f>
        <v>0.49999620288732449</v>
      </c>
      <c r="M52" s="49">
        <f>Tableau_Lancer_la_requête_à_partir_de_Excel_Files3[[#This Row],[''FNADT'']]+Tableau_Lancer_la_requête_à_partir_de_Excel_Files3[[#This Row],[''Agriculture'']]</f>
        <v>6681</v>
      </c>
      <c r="N52" s="47">
        <v>6681</v>
      </c>
      <c r="O52" s="47"/>
      <c r="P52" s="49">
        <f>Tableau_Lancer_la_requête_à_partir_de_Excel_Files3[[#This Row],[''ALPC'']]+Tableau_Lancer_la_requête_à_partir_de_Excel_Files3[[#This Row],[''AURA'']]+Tableau_Lancer_la_requête_à_partir_de_Excel_Files3[[#This Row],[''BFC'']]+Tableau_Lancer_la_requête_à_partir_de_Excel_Files3[[#This Row],[''LRMP'']]</f>
        <v>6620</v>
      </c>
      <c r="Q52" s="47"/>
      <c r="R52" s="47"/>
      <c r="S52" s="47">
        <v>6620</v>
      </c>
      <c r="T52" s="47"/>
      <c r="U52"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52" s="47"/>
      <c r="W52" s="47"/>
      <c r="X52" s="47"/>
      <c r="Y52" s="47"/>
      <c r="Z52" s="47"/>
      <c r="AA52" s="47"/>
      <c r="AB52" s="47"/>
      <c r="AC52" s="47"/>
      <c r="AD52" s="47"/>
      <c r="AE52" s="47"/>
      <c r="AF52" s="47"/>
      <c r="AG52" s="47"/>
      <c r="AH52" s="47"/>
      <c r="AI52" s="47"/>
      <c r="AJ52" s="47"/>
      <c r="AK52" s="47"/>
      <c r="AL52" s="47"/>
      <c r="AM52" s="47"/>
      <c r="AN52" s="47"/>
      <c r="AO52" s="47"/>
      <c r="AP52" s="47"/>
      <c r="AQ52" s="47"/>
      <c r="AR52" s="47">
        <v>52538</v>
      </c>
      <c r="AS52" s="47">
        <v>0</v>
      </c>
      <c r="AT52" s="41" t="s">
        <v>77</v>
      </c>
      <c r="AV52" s="64" t="s">
        <v>69</v>
      </c>
      <c r="AW52" s="40" t="s">
        <v>124</v>
      </c>
      <c r="AY52" s="40" t="s">
        <v>46</v>
      </c>
      <c r="AZ52" s="52">
        <f ca="1">SUMIF(Tableau_Lancer_la_requête_à_partir_de_Excel_Files3[Avis Prog],"1-Favorable",Tableau3[''58''])</f>
        <v>0</v>
      </c>
      <c r="BB52" s="37">
        <f>SUMIF(Tableau3[Avis],"1-Favorable",Tableau3[''58''])</f>
        <v>0</v>
      </c>
      <c r="BG52" s="37">
        <f>SUMIF(Tableau3[Avis],"0",Tableau3[''58''])</f>
        <v>0</v>
      </c>
      <c r="CM52" s="37"/>
      <c r="CN52" s="37"/>
      <c r="CO52" s="37"/>
      <c r="CP52" s="37"/>
      <c r="CQ52" s="37"/>
      <c r="CR52" s="37"/>
      <c r="CS52" s="37"/>
      <c r="CT52" s="37"/>
      <c r="CU52" s="37"/>
      <c r="CV52" s="37"/>
      <c r="CW52" s="37"/>
      <c r="CX52" s="37"/>
      <c r="CY52" s="37"/>
      <c r="CZ52" s="37"/>
      <c r="DA52" s="37"/>
      <c r="DB52" s="37"/>
      <c r="DC52" s="37"/>
      <c r="DD52" s="37"/>
      <c r="DE52" s="37"/>
      <c r="DF52" s="37"/>
      <c r="DG52" s="37"/>
      <c r="DH52" s="37"/>
    </row>
    <row r="53" spans="1:112" ht="75" x14ac:dyDescent="0.25">
      <c r="A53" s="43" t="s">
        <v>5</v>
      </c>
      <c r="B53" s="45" t="s">
        <v>396</v>
      </c>
      <c r="C53" s="45" t="s">
        <v>394</v>
      </c>
      <c r="D53" s="46" t="s">
        <v>395</v>
      </c>
      <c r="E53" s="46" t="s">
        <v>284</v>
      </c>
      <c r="F53" s="47">
        <v>80500</v>
      </c>
      <c r="G53" s="47">
        <v>78066.7</v>
      </c>
      <c r="H53" s="47">
        <f>IF(Tableau_Lancer_la_requête_à_partir_de_Excel_Files3[[#This Row],[Coût total Eligible FEDER]]="",Tableau_Lancer_la_requête_à_partir_de_Excel_Files3[[#This Row],[Coût total déposé]],Tableau_Lancer_la_requête_à_partir_de_Excel_Files3[[#This Row],[Coût total Eligible FEDER]])</f>
        <v>78066.7</v>
      </c>
      <c r="I53" s="47">
        <f>Tableau_Lancer_la_requête_à_partir_de_Excel_Files3[[#This Row],[Aide Massif Obtenu]]+Tableau_Lancer_la_requête_à_partir_de_Excel_Files3[[#This Row],[''Autre Public'']]</f>
        <v>46839</v>
      </c>
      <c r="J53" s="48">
        <f>Tableau_Lancer_la_requête_à_partir_de_Excel_Files3[[#This Row],[Aide Publique Obtenue]]/Tableau_Lancer_la_requête_à_partir_de_Excel_Files3[[#This Row],[Coût total]]</f>
        <v>0.59998693424981464</v>
      </c>
      <c r="K53" s="47">
        <f>Tableau_Lancer_la_requête_à_partir_de_Excel_Files3[[#This Row],[Etat]]+Tableau_Lancer_la_requête_à_partir_de_Excel_Files3[[#This Row],[Régions]]+Tableau_Lancer_la_requête_à_partir_de_Excel_Files3[[#This Row],[Départements]]+Tableau_Lancer_la_requête_à_partir_de_Excel_Files3[[#This Row],[''FEDER'']]</f>
        <v>46839</v>
      </c>
      <c r="L53" s="48">
        <f>Tableau_Lancer_la_requête_à_partir_de_Excel_Files3[[#This Row],[Aide Massif Obtenu]]/Tableau_Lancer_la_requête_à_partir_de_Excel_Files3[[#This Row],[Coût total]]</f>
        <v>0.59998693424981464</v>
      </c>
      <c r="M53" s="49">
        <f>Tableau_Lancer_la_requête_à_partir_de_Excel_Files3[[#This Row],[''FNADT'']]+Tableau_Lancer_la_requête_à_partir_de_Excel_Files3[[#This Row],[''Agriculture'']]</f>
        <v>15613</v>
      </c>
      <c r="N53" s="47">
        <v>15613</v>
      </c>
      <c r="O53" s="47"/>
      <c r="P53" s="49">
        <f>Tableau_Lancer_la_requête_à_partir_de_Excel_Files3[[#This Row],[''ALPC'']]+Tableau_Lancer_la_requête_à_partir_de_Excel_Files3[[#This Row],[''AURA'']]+Tableau_Lancer_la_requête_à_partir_de_Excel_Files3[[#This Row],[''BFC'']]+Tableau_Lancer_la_requête_à_partir_de_Excel_Files3[[#This Row],[''LRMP'']]</f>
        <v>0</v>
      </c>
      <c r="Q53" s="47"/>
      <c r="R53" s="47"/>
      <c r="S53" s="47"/>
      <c r="T53" s="47"/>
      <c r="U53"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53" s="47"/>
      <c r="W53" s="47"/>
      <c r="X53" s="47"/>
      <c r="Y53" s="47"/>
      <c r="Z53" s="47"/>
      <c r="AA53" s="47"/>
      <c r="AB53" s="47"/>
      <c r="AC53" s="47"/>
      <c r="AD53" s="47"/>
      <c r="AE53" s="47"/>
      <c r="AF53" s="47"/>
      <c r="AG53" s="47"/>
      <c r="AH53" s="47"/>
      <c r="AI53" s="47"/>
      <c r="AJ53" s="47"/>
      <c r="AK53" s="47"/>
      <c r="AL53" s="47"/>
      <c r="AM53" s="47"/>
      <c r="AN53" s="47"/>
      <c r="AO53" s="47"/>
      <c r="AP53" s="47"/>
      <c r="AQ53" s="47"/>
      <c r="AR53" s="47">
        <v>31226</v>
      </c>
      <c r="AS53" s="47">
        <v>0</v>
      </c>
      <c r="AT53" s="41" t="s">
        <v>77</v>
      </c>
      <c r="AV53" s="55" t="s">
        <v>355</v>
      </c>
      <c r="AW53" s="40" t="s">
        <v>394</v>
      </c>
      <c r="AY53" s="40" t="s">
        <v>47</v>
      </c>
      <c r="AZ53" s="52">
        <f ca="1">SUMIF(Tableau_Lancer_la_requête_à_partir_de_Excel_Files3[Avis Prog],"1-Favorable",Tableau3[''63''])</f>
        <v>0</v>
      </c>
      <c r="BB53" s="37">
        <f>SUMIF(Tableau3[Avis],"1-Favorable",Tableau3[''63''])</f>
        <v>0</v>
      </c>
      <c r="BG53" s="37">
        <f>SUMIF(Tableau3[Avis],"0",Tableau3[''63''])</f>
        <v>0</v>
      </c>
      <c r="CM53" s="37"/>
      <c r="CN53" s="37"/>
      <c r="CO53" s="37"/>
      <c r="CP53" s="37"/>
      <c r="CQ53" s="37"/>
      <c r="CR53" s="37"/>
      <c r="CS53" s="37"/>
      <c r="CT53" s="37"/>
      <c r="CU53" s="37"/>
      <c r="CV53" s="37"/>
      <c r="CW53" s="37"/>
      <c r="CX53" s="37"/>
      <c r="CY53" s="37"/>
      <c r="CZ53" s="37"/>
      <c r="DA53" s="37"/>
      <c r="DB53" s="37"/>
      <c r="DC53" s="37"/>
      <c r="DD53" s="37"/>
      <c r="DE53" s="37"/>
      <c r="DF53" s="37"/>
      <c r="DG53" s="37"/>
      <c r="DH53" s="37"/>
    </row>
    <row r="54" spans="1:112" ht="90" x14ac:dyDescent="0.25">
      <c r="A54" s="43" t="s">
        <v>5</v>
      </c>
      <c r="B54" s="45" t="s">
        <v>285</v>
      </c>
      <c r="C54" s="45" t="s">
        <v>282</v>
      </c>
      <c r="D54" s="46" t="s">
        <v>283</v>
      </c>
      <c r="E54" s="46" t="s">
        <v>284</v>
      </c>
      <c r="F54" s="47">
        <v>80500</v>
      </c>
      <c r="G54" s="47">
        <v>78198.7</v>
      </c>
      <c r="H54" s="47">
        <f>IF(Tableau_Lancer_la_requête_à_partir_de_Excel_Files3[[#This Row],[Coût total Eligible FEDER]]="",Tableau_Lancer_la_requête_à_partir_de_Excel_Files3[[#This Row],[Coût total déposé]],Tableau_Lancer_la_requête_à_partir_de_Excel_Files3[[#This Row],[Coût total Eligible FEDER]])</f>
        <v>78198.7</v>
      </c>
      <c r="I54" s="47">
        <f>Tableau_Lancer_la_requête_à_partir_de_Excel_Files3[[#This Row],[Aide Massif Obtenu]]+Tableau_Lancer_la_requête_à_partir_de_Excel_Files3[[#This Row],[''Autre Public'']]</f>
        <v>44518</v>
      </c>
      <c r="J54" s="48">
        <f>Tableau_Lancer_la_requête_à_partir_de_Excel_Files3[[#This Row],[Aide Publique Obtenue]]/Tableau_Lancer_la_requête_à_partir_de_Excel_Files3[[#This Row],[Coût total]]</f>
        <v>0.56929335142400073</v>
      </c>
      <c r="K54" s="47">
        <f>Tableau_Lancer_la_requête_à_partir_de_Excel_Files3[[#This Row],[Etat]]+Tableau_Lancer_la_requête_à_partir_de_Excel_Files3[[#This Row],[Régions]]+Tableau_Lancer_la_requête_à_partir_de_Excel_Files3[[#This Row],[Départements]]+Tableau_Lancer_la_requête_à_partir_de_Excel_Files3[[#This Row],[''FEDER'']]</f>
        <v>44518</v>
      </c>
      <c r="L54" s="48">
        <f>Tableau_Lancer_la_requête_à_partir_de_Excel_Files3[[#This Row],[Aide Massif Obtenu]]/Tableau_Lancer_la_requête_à_partir_de_Excel_Files3[[#This Row],[Coût total]]</f>
        <v>0.56929335142400073</v>
      </c>
      <c r="M54" s="49">
        <f>Tableau_Lancer_la_requête_à_partir_de_Excel_Files3[[#This Row],[''FNADT'']]+Tableau_Lancer_la_requête_à_partir_de_Excel_Files3[[#This Row],[''Agriculture'']]</f>
        <v>13239</v>
      </c>
      <c r="N54" s="47">
        <v>13239</v>
      </c>
      <c r="O54" s="47"/>
      <c r="P54" s="49">
        <f>Tableau_Lancer_la_requête_à_partir_de_Excel_Files3[[#This Row],[''ALPC'']]+Tableau_Lancer_la_requête_à_partir_de_Excel_Files3[[#This Row],[''AURA'']]+Tableau_Lancer_la_requête_à_partir_de_Excel_Files3[[#This Row],[''BFC'']]+Tableau_Lancer_la_requête_à_partir_de_Excel_Files3[[#This Row],[''LRMP'']]</f>
        <v>0</v>
      </c>
      <c r="Q54" s="47"/>
      <c r="R54" s="47"/>
      <c r="S54" s="47"/>
      <c r="T54" s="47"/>
      <c r="U54" s="4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54" s="47"/>
      <c r="W54" s="47"/>
      <c r="X54" s="47"/>
      <c r="Y54" s="47"/>
      <c r="Z54" s="47"/>
      <c r="AA54" s="47"/>
      <c r="AB54" s="47"/>
      <c r="AC54" s="47"/>
      <c r="AD54" s="47"/>
      <c r="AE54" s="47"/>
      <c r="AF54" s="47"/>
      <c r="AG54" s="47"/>
      <c r="AH54" s="47"/>
      <c r="AI54" s="47"/>
      <c r="AJ54" s="47"/>
      <c r="AK54" s="47"/>
      <c r="AL54" s="47"/>
      <c r="AM54" s="47"/>
      <c r="AN54" s="47"/>
      <c r="AO54" s="47"/>
      <c r="AP54" s="47"/>
      <c r="AQ54" s="47"/>
      <c r="AR54" s="47">
        <v>31279</v>
      </c>
      <c r="AS54" s="47">
        <v>0</v>
      </c>
      <c r="AT54" s="41" t="s">
        <v>77</v>
      </c>
      <c r="AV54" s="64" t="s">
        <v>334</v>
      </c>
      <c r="AW54" s="40" t="s">
        <v>282</v>
      </c>
      <c r="AY54" s="40" t="s">
        <v>48</v>
      </c>
      <c r="AZ54" s="52">
        <f ca="1">SUMIF(Tableau_Lancer_la_requête_à_partir_de_Excel_Files3[Avis Prog],"1-Favorable",Tableau3[''69''])</f>
        <v>0</v>
      </c>
      <c r="BB54" s="37">
        <f>SUMIF(Tableau3[Avis],"1-Favorable",Tableau3[''69''])</f>
        <v>0</v>
      </c>
      <c r="BG54" s="37">
        <f>SUMIF(Tableau3[Avis],"0",Tableau3[''69''])</f>
        <v>0</v>
      </c>
      <c r="CM54" s="37"/>
      <c r="CN54" s="37"/>
      <c r="CO54" s="37"/>
      <c r="CP54" s="37"/>
      <c r="CQ54" s="37"/>
      <c r="CR54" s="37"/>
      <c r="CS54" s="37"/>
      <c r="CT54" s="37"/>
      <c r="CU54" s="37"/>
      <c r="CV54" s="37"/>
      <c r="CW54" s="37"/>
      <c r="CX54" s="37"/>
      <c r="CY54" s="37"/>
      <c r="CZ54" s="37"/>
      <c r="DA54" s="37"/>
      <c r="DB54" s="37"/>
      <c r="DC54" s="37"/>
      <c r="DD54" s="37"/>
      <c r="DE54" s="37"/>
      <c r="DF54" s="37"/>
      <c r="DG54" s="37"/>
      <c r="DH54" s="37"/>
    </row>
    <row r="55" spans="1:112" x14ac:dyDescent="0.25">
      <c r="A55" s="46" t="s">
        <v>11</v>
      </c>
      <c r="B55" s="46"/>
      <c r="C55" s="46">
        <f>SUBTOTAL(103,Tableau_Lancer_la_requête_à_partir_de_Excel_Files3[ID_Synergie])</f>
        <v>48</v>
      </c>
      <c r="D55" s="46"/>
      <c r="E55" s="46"/>
      <c r="F55" s="47">
        <f>SUBTOTAL(109,Tableau_Lancer_la_requête_à_partir_de_Excel_Files3[Coût total déposé])</f>
        <v>7451905.3250266826</v>
      </c>
      <c r="G55" s="47"/>
      <c r="H55" s="47">
        <f>SUBTOTAL(109,Tableau_Lancer_la_requête_à_partir_de_Excel_Files3[Coût total])</f>
        <v>6400676.1679773126</v>
      </c>
      <c r="I55" s="47">
        <f>SUBTOTAL(109,Tableau_Lancer_la_requête_à_partir_de_Excel_Files3[Aide Publique Obtenue])</f>
        <v>3985250.1588458167</v>
      </c>
      <c r="J55" s="47"/>
      <c r="K55" s="47">
        <f>SUBTOTAL(109,Tableau_Lancer_la_requête_à_partir_de_Excel_Files3[Aide Massif Obtenu])</f>
        <v>3897277.1588458167</v>
      </c>
      <c r="L55" s="46"/>
      <c r="M55" s="47">
        <f>SUBTOTAL(109,Tableau_Lancer_la_requête_à_partir_de_Excel_Files3[Etat])</f>
        <v>1061416.52</v>
      </c>
      <c r="N55" s="47"/>
      <c r="O55" s="47"/>
      <c r="P55" s="47">
        <f>SUBTOTAL(109,Tableau_Lancer_la_requête_à_partir_de_Excel_Files3[Régions])</f>
        <v>355911.1</v>
      </c>
      <c r="Q55" s="47"/>
      <c r="R55" s="47"/>
      <c r="S55" s="47"/>
      <c r="T55" s="47"/>
      <c r="U55" s="47">
        <f>SUBTOTAL(109,Tableau_Lancer_la_requête_à_partir_de_Excel_Files3[Départements])</f>
        <v>55305.078845816708</v>
      </c>
      <c r="V55" s="47"/>
      <c r="W55" s="47"/>
      <c r="X55" s="47"/>
      <c r="Y55" s="47"/>
      <c r="Z55" s="47"/>
      <c r="AA55" s="47"/>
      <c r="AB55" s="47"/>
      <c r="AC55" s="47"/>
      <c r="AD55" s="47"/>
      <c r="AE55" s="47"/>
      <c r="AF55" s="47"/>
      <c r="AG55" s="47"/>
      <c r="AH55" s="47"/>
      <c r="AI55" s="47"/>
      <c r="AJ55" s="47"/>
      <c r="AK55" s="47"/>
      <c r="AL55" s="47"/>
      <c r="AM55" s="47"/>
      <c r="AN55" s="47"/>
      <c r="AO55" s="47"/>
      <c r="AP55" s="47"/>
      <c r="AQ55" s="47"/>
      <c r="AR55" s="47">
        <f>SUBTOTAL(109,Tableau_Lancer_la_requête_à_partir_de_Excel_Files3[''FEDER''])</f>
        <v>2424644.46</v>
      </c>
      <c r="AS55" s="47"/>
      <c r="AT55" s="46"/>
      <c r="AY55" s="40" t="s">
        <v>49</v>
      </c>
      <c r="AZ55" s="52">
        <f ca="1">SUMIF(Tableau_Lancer_la_requête_à_partir_de_Excel_Files3[Avis Prog],"1-Favorable",Tableau3[''71''])</f>
        <v>0</v>
      </c>
      <c r="BB55" s="37">
        <f>SUMIF(Tableau3[Avis],"1-Favorable",Tableau3[''71''])</f>
        <v>0</v>
      </c>
      <c r="BG55" s="37">
        <f>SUMIF(Tableau3[Avis],"0",Tableau3[''71''])</f>
        <v>0</v>
      </c>
      <c r="CM55" s="37"/>
      <c r="CN55" s="37"/>
      <c r="CO55" s="37"/>
      <c r="CP55" s="37"/>
      <c r="CQ55" s="37"/>
      <c r="CR55" s="37"/>
      <c r="CS55" s="37"/>
      <c r="CT55" s="37"/>
      <c r="CU55" s="37"/>
      <c r="CV55" s="37"/>
      <c r="CW55" s="37"/>
      <c r="CX55" s="37"/>
      <c r="CY55" s="37"/>
      <c r="CZ55" s="37"/>
      <c r="DA55" s="37"/>
      <c r="DB55" s="37"/>
      <c r="DC55" s="37"/>
      <c r="DD55" s="37"/>
      <c r="DE55" s="37"/>
      <c r="DF55" s="37"/>
      <c r="DG55" s="37"/>
      <c r="DH55" s="37"/>
    </row>
    <row r="56" spans="1:112" x14ac:dyDescent="0.25">
      <c r="AY56" s="40" t="s">
        <v>50</v>
      </c>
      <c r="AZ56" s="52">
        <f ca="1">SUMIF(Tableau_Lancer_la_requête_à_partir_de_Excel_Files3[Avis Prog],"1-Favorable",Tableau3[''81''])</f>
        <v>0</v>
      </c>
      <c r="BB56" s="37">
        <f>SUMIF(Tableau3[Avis],"1-Favorable",Tableau3[''81''])</f>
        <v>0</v>
      </c>
      <c r="BG56" s="37">
        <f>SUMIF(Tableau3[Avis],"0",Tableau3[''81''])</f>
        <v>0</v>
      </c>
      <c r="CM56" s="37"/>
      <c r="CN56" s="37"/>
      <c r="CO56" s="37"/>
      <c r="CP56" s="37"/>
      <c r="CQ56" s="37"/>
      <c r="CR56" s="37"/>
      <c r="CS56" s="37"/>
      <c r="CT56" s="37"/>
      <c r="CU56" s="37"/>
      <c r="CV56" s="37"/>
      <c r="CW56" s="37"/>
      <c r="CX56" s="37"/>
      <c r="CY56" s="37"/>
      <c r="CZ56" s="37"/>
      <c r="DA56" s="37"/>
      <c r="DB56" s="37"/>
      <c r="DC56" s="37"/>
      <c r="DD56" s="37"/>
      <c r="DE56" s="37"/>
      <c r="DF56" s="37"/>
      <c r="DG56" s="37"/>
      <c r="DH56" s="37"/>
    </row>
    <row r="57" spans="1:112" x14ac:dyDescent="0.25">
      <c r="AY57" s="40" t="s">
        <v>51</v>
      </c>
      <c r="AZ57" s="52">
        <f ca="1">SUMIF(Tableau_Lancer_la_requête_à_partir_de_Excel_Files3[Avis Prog],"1-Favorable",Tableau3[''82''])</f>
        <v>0</v>
      </c>
      <c r="BB57" s="37">
        <f>SUMIF(Tableau3[Avis],"1-Favorable",Tableau3[''82''])</f>
        <v>0</v>
      </c>
      <c r="BG57" s="37">
        <f>SUMIF(Tableau3[Avis],"0",Tableau3[''82''])</f>
        <v>0</v>
      </c>
      <c r="CM57" s="37"/>
      <c r="CN57" s="37"/>
      <c r="CO57" s="37"/>
      <c r="CP57" s="37"/>
      <c r="CQ57" s="37"/>
      <c r="CR57" s="37"/>
      <c r="CS57" s="37"/>
      <c r="CT57" s="37"/>
      <c r="CU57" s="37"/>
      <c r="CV57" s="37"/>
      <c r="CW57" s="37"/>
      <c r="CX57" s="37"/>
      <c r="CY57" s="37"/>
      <c r="CZ57" s="37"/>
      <c r="DA57" s="37"/>
      <c r="DB57" s="37"/>
      <c r="DC57" s="37"/>
      <c r="DD57" s="37"/>
      <c r="DE57" s="37"/>
      <c r="DF57" s="37"/>
      <c r="DG57" s="37"/>
      <c r="DH57" s="37"/>
    </row>
    <row r="58" spans="1:112" x14ac:dyDescent="0.25">
      <c r="AY58" s="40" t="s">
        <v>52</v>
      </c>
      <c r="AZ58" s="52">
        <f ca="1">SUMIF(Tableau_Lancer_la_requête_à_partir_de_Excel_Files3[Avis Prog],"1-Favorable",Tableau3[''87''])</f>
        <v>0</v>
      </c>
      <c r="BB58" s="37">
        <f>SUMIF(Tableau3[Avis],"1-Favorable",Tableau3[''87''])</f>
        <v>0</v>
      </c>
      <c r="BG58" s="37">
        <f>SUMIF(Tableau3[Avis],"0",Tableau3[''87''])</f>
        <v>0</v>
      </c>
      <c r="CM58" s="37"/>
      <c r="CN58" s="37"/>
      <c r="CO58" s="37"/>
      <c r="CP58" s="37"/>
      <c r="CQ58" s="37"/>
      <c r="CR58" s="37"/>
      <c r="CS58" s="37"/>
      <c r="CT58" s="37"/>
      <c r="CU58" s="37"/>
      <c r="CV58" s="37"/>
      <c r="CW58" s="37"/>
      <c r="CX58" s="37"/>
      <c r="CY58" s="37"/>
      <c r="CZ58" s="37"/>
      <c r="DA58" s="37"/>
      <c r="DB58" s="37"/>
      <c r="DC58" s="37"/>
      <c r="DD58" s="37"/>
      <c r="DE58" s="37"/>
      <c r="DF58" s="37"/>
      <c r="DG58" s="37"/>
      <c r="DH58" s="37"/>
    </row>
    <row r="59" spans="1:112" x14ac:dyDescent="0.25">
      <c r="AY59" s="40" t="s">
        <v>53</v>
      </c>
      <c r="AZ59" s="52">
        <f ca="1">SUMIF(Tableau_Lancer_la_requête_à_partir_de_Excel_Files3[Avis Prog],"1-Favorable",Tableau3[''89''])</f>
        <v>0</v>
      </c>
      <c r="BB59" s="37">
        <f>SUMIF(Tableau3[Avis],"1-Favorable",Tableau3[''89''])</f>
        <v>0</v>
      </c>
      <c r="BG59" s="37">
        <f>SUMIF(Tableau3[Avis],"0",Tableau3[''89''])</f>
        <v>0</v>
      </c>
      <c r="CM59" s="37"/>
      <c r="CN59" s="37"/>
      <c r="CO59" s="37"/>
      <c r="CP59" s="37"/>
      <c r="CQ59" s="37"/>
      <c r="CR59" s="37"/>
      <c r="CS59" s="37"/>
      <c r="CT59" s="37"/>
      <c r="CU59" s="37"/>
      <c r="CV59" s="37"/>
      <c r="CW59" s="37"/>
      <c r="CX59" s="37"/>
      <c r="CY59" s="37"/>
      <c r="CZ59" s="37"/>
      <c r="DA59" s="37"/>
      <c r="DB59" s="37"/>
      <c r="DC59" s="37"/>
      <c r="DD59" s="37"/>
      <c r="DE59" s="37"/>
      <c r="DF59" s="37"/>
      <c r="DG59" s="37"/>
      <c r="DH59" s="37"/>
    </row>
    <row r="60" spans="1:112" x14ac:dyDescent="0.25">
      <c r="CM60" s="37"/>
      <c r="CN60" s="37"/>
      <c r="CO60" s="37"/>
      <c r="CP60" s="37"/>
      <c r="CQ60" s="37"/>
      <c r="CR60" s="37"/>
      <c r="CS60" s="37"/>
      <c r="CT60" s="37"/>
      <c r="CU60" s="37"/>
      <c r="CV60" s="37"/>
      <c r="CW60" s="37"/>
      <c r="CX60" s="37"/>
      <c r="CY60" s="37"/>
      <c r="CZ60" s="37"/>
      <c r="DA60" s="37"/>
      <c r="DB60" s="37"/>
      <c r="DC60" s="37"/>
      <c r="DD60" s="37"/>
      <c r="DE60" s="37"/>
      <c r="DF60" s="37"/>
      <c r="DG60" s="37"/>
      <c r="DH60" s="37"/>
    </row>
    <row r="61" spans="1:112" x14ac:dyDescent="0.25">
      <c r="CM61" s="37"/>
      <c r="CN61" s="37"/>
      <c r="CO61" s="37"/>
      <c r="CP61" s="37"/>
      <c r="CQ61" s="37"/>
      <c r="CR61" s="37"/>
      <c r="CS61" s="37"/>
      <c r="CT61" s="37"/>
      <c r="CU61" s="37"/>
      <c r="CV61" s="37"/>
      <c r="CW61" s="37"/>
      <c r="CX61" s="37"/>
      <c r="CY61" s="37"/>
      <c r="CZ61" s="37"/>
      <c r="DA61" s="37"/>
      <c r="DB61" s="37"/>
      <c r="DC61" s="37"/>
      <c r="DD61" s="37"/>
      <c r="DE61" s="37"/>
      <c r="DF61" s="37"/>
      <c r="DG61" s="37"/>
      <c r="DH61" s="37"/>
    </row>
    <row r="62" spans="1:112" x14ac:dyDescent="0.25">
      <c r="CM62" s="37"/>
      <c r="CN62" s="37"/>
      <c r="CO62" s="37"/>
      <c r="CP62" s="37"/>
      <c r="CQ62" s="37"/>
      <c r="CR62" s="37"/>
      <c r="CS62" s="37"/>
      <c r="CT62" s="37"/>
      <c r="CU62" s="37"/>
      <c r="CV62" s="37"/>
      <c r="CW62" s="37"/>
      <c r="CX62" s="37"/>
      <c r="CY62" s="37"/>
      <c r="CZ62" s="37"/>
      <c r="DA62" s="37"/>
      <c r="DB62" s="37"/>
      <c r="DC62" s="37"/>
      <c r="DD62" s="37"/>
      <c r="DE62" s="37"/>
      <c r="DF62" s="37"/>
      <c r="DG62" s="37"/>
      <c r="DH62" s="37"/>
    </row>
    <row r="63" spans="1:112" x14ac:dyDescent="0.25">
      <c r="CM63" s="37"/>
      <c r="CN63" s="37"/>
      <c r="CO63" s="37"/>
      <c r="CP63" s="37"/>
      <c r="CQ63" s="37"/>
      <c r="CR63" s="37"/>
      <c r="CS63" s="37"/>
      <c r="CT63" s="37"/>
      <c r="CU63" s="37"/>
      <c r="CV63" s="37"/>
      <c r="CW63" s="37"/>
      <c r="CX63" s="37"/>
      <c r="CY63" s="37"/>
      <c r="CZ63" s="37"/>
      <c r="DA63" s="37"/>
      <c r="DB63" s="37"/>
      <c r="DC63" s="37"/>
      <c r="DD63" s="37"/>
      <c r="DE63" s="37"/>
      <c r="DF63" s="37"/>
      <c r="DG63" s="37"/>
      <c r="DH63" s="37"/>
    </row>
    <row r="64" spans="1:112" x14ac:dyDescent="0.25">
      <c r="CM64" s="37"/>
      <c r="CN64" s="37"/>
      <c r="CO64" s="37"/>
      <c r="CP64" s="37"/>
      <c r="CQ64" s="37"/>
      <c r="CR64" s="37"/>
      <c r="CS64" s="37"/>
      <c r="CT64" s="37"/>
      <c r="CU64" s="37"/>
      <c r="CV64" s="37"/>
      <c r="CW64" s="37"/>
      <c r="CX64" s="37"/>
      <c r="CY64" s="37"/>
      <c r="CZ64" s="37"/>
      <c r="DA64" s="37"/>
      <c r="DB64" s="37"/>
      <c r="DC64" s="37"/>
      <c r="DD64" s="37"/>
      <c r="DE64" s="37"/>
      <c r="DF64" s="37"/>
      <c r="DG64" s="37"/>
      <c r="DH64" s="37"/>
    </row>
    <row r="65" spans="84:112" x14ac:dyDescent="0.25">
      <c r="CM65" s="37"/>
      <c r="CN65" s="37"/>
      <c r="CO65" s="37"/>
      <c r="CP65" s="37"/>
      <c r="CQ65" s="37"/>
      <c r="CR65" s="37"/>
      <c r="CS65" s="37"/>
      <c r="CT65" s="37"/>
      <c r="CU65" s="37"/>
      <c r="CV65" s="37"/>
      <c r="CW65" s="37"/>
      <c r="CX65" s="37"/>
      <c r="CY65" s="37"/>
      <c r="CZ65" s="37"/>
      <c r="DA65" s="37"/>
      <c r="DB65" s="37"/>
      <c r="DC65" s="37"/>
      <c r="DD65" s="37"/>
      <c r="DE65" s="37"/>
      <c r="DF65" s="37"/>
      <c r="DG65" s="37"/>
      <c r="DH65" s="37"/>
    </row>
    <row r="66" spans="84:112" x14ac:dyDescent="0.25">
      <c r="CM66" s="37"/>
      <c r="CN66" s="37"/>
      <c r="CO66" s="37"/>
      <c r="CP66" s="37"/>
      <c r="CQ66" s="37"/>
      <c r="CR66" s="37"/>
      <c r="CS66" s="37"/>
      <c r="CT66" s="37"/>
      <c r="CU66" s="37"/>
      <c r="CV66" s="37"/>
      <c r="CW66" s="37"/>
      <c r="CX66" s="37"/>
      <c r="CY66" s="37"/>
      <c r="CZ66" s="37"/>
      <c r="DA66" s="37"/>
      <c r="DB66" s="37"/>
      <c r="DC66" s="37"/>
      <c r="DD66" s="37"/>
      <c r="DE66" s="37"/>
      <c r="DF66" s="37"/>
      <c r="DG66" s="37"/>
      <c r="DH66" s="37"/>
    </row>
    <row r="67" spans="84:112" x14ac:dyDescent="0.25">
      <c r="CM67" s="37"/>
      <c r="CN67" s="37"/>
      <c r="CO67" s="37"/>
      <c r="CP67" s="37"/>
      <c r="CQ67" s="37"/>
      <c r="CR67" s="37"/>
      <c r="CS67" s="37"/>
      <c r="CT67" s="37"/>
      <c r="CU67" s="37"/>
      <c r="CV67" s="37"/>
      <c r="CW67" s="37"/>
      <c r="CX67" s="37"/>
      <c r="CY67" s="37"/>
      <c r="CZ67" s="37"/>
      <c r="DA67" s="37"/>
      <c r="DB67" s="37"/>
      <c r="DC67" s="37"/>
      <c r="DD67" s="37"/>
      <c r="DE67" s="37"/>
      <c r="DF67" s="37"/>
      <c r="DG67" s="37"/>
      <c r="DH67" s="37"/>
    </row>
    <row r="68" spans="84:112" x14ac:dyDescent="0.25">
      <c r="CM68" s="37"/>
      <c r="CN68" s="37"/>
      <c r="CO68" s="37"/>
      <c r="CP68" s="37"/>
      <c r="CQ68" s="37"/>
      <c r="CR68" s="37"/>
      <c r="CS68" s="37"/>
      <c r="CT68" s="37"/>
      <c r="CU68" s="37"/>
      <c r="CV68" s="37"/>
      <c r="CW68" s="37"/>
      <c r="CX68" s="37"/>
      <c r="CY68" s="37"/>
      <c r="CZ68" s="37"/>
      <c r="DA68" s="37"/>
      <c r="DB68" s="37"/>
      <c r="DC68" s="37"/>
      <c r="DD68" s="37"/>
      <c r="DE68" s="37"/>
      <c r="DF68" s="37"/>
      <c r="DG68" s="37"/>
      <c r="DH68" s="37"/>
    </row>
    <row r="69" spans="84:112" x14ac:dyDescent="0.25">
      <c r="CM69" s="37"/>
      <c r="CN69" s="37"/>
      <c r="CO69" s="37"/>
      <c r="CP69" s="37"/>
      <c r="CQ69" s="37"/>
      <c r="CR69" s="37"/>
      <c r="CS69" s="37"/>
      <c r="CT69" s="37"/>
      <c r="CU69" s="37"/>
      <c r="CV69" s="37"/>
      <c r="CW69" s="37"/>
      <c r="CX69" s="37"/>
      <c r="CY69" s="37"/>
      <c r="CZ69" s="37"/>
      <c r="DA69" s="37"/>
      <c r="DB69" s="37"/>
      <c r="DC69" s="37"/>
      <c r="DD69" s="37"/>
      <c r="DE69" s="37"/>
      <c r="DF69" s="37"/>
      <c r="DG69" s="37"/>
      <c r="DH69" s="37"/>
    </row>
    <row r="70" spans="84:112" x14ac:dyDescent="0.25">
      <c r="CM70" s="37"/>
      <c r="CN70" s="37"/>
      <c r="CO70" s="37"/>
      <c r="CP70" s="37"/>
      <c r="CQ70" s="37"/>
      <c r="CR70" s="37"/>
      <c r="CS70" s="37"/>
      <c r="CT70" s="37"/>
      <c r="CU70" s="37"/>
      <c r="CV70" s="37"/>
      <c r="CW70" s="37"/>
      <c r="CX70" s="37"/>
      <c r="CY70" s="37"/>
      <c r="CZ70" s="37"/>
      <c r="DA70" s="37"/>
      <c r="DB70" s="37"/>
      <c r="DC70" s="37"/>
      <c r="DD70" s="37"/>
      <c r="DE70" s="37"/>
      <c r="DF70" s="37"/>
      <c r="DG70" s="37"/>
      <c r="DH70" s="37"/>
    </row>
    <row r="71" spans="84:112" x14ac:dyDescent="0.25">
      <c r="CM71" s="37"/>
      <c r="CN71" s="37"/>
      <c r="CO71" s="37"/>
      <c r="CP71" s="37"/>
      <c r="CQ71" s="37"/>
      <c r="CR71" s="37"/>
      <c r="CS71" s="37"/>
      <c r="CT71" s="37"/>
      <c r="CU71" s="37"/>
      <c r="CV71" s="37"/>
      <c r="CW71" s="37"/>
      <c r="CX71" s="37"/>
      <c r="CY71" s="37"/>
      <c r="CZ71" s="37"/>
      <c r="DA71" s="37"/>
      <c r="DB71" s="37"/>
      <c r="DC71" s="37"/>
      <c r="DD71" s="37"/>
      <c r="DE71" s="37"/>
      <c r="DF71" s="37"/>
      <c r="DG71" s="37"/>
      <c r="DH71" s="37"/>
    </row>
    <row r="72" spans="84:112" x14ac:dyDescent="0.25">
      <c r="CF72" s="41"/>
      <c r="CG72" s="41"/>
      <c r="CH72" s="41"/>
      <c r="CI72" s="41"/>
      <c r="CJ72" s="41"/>
      <c r="CK72" s="41"/>
      <c r="CL72" s="41"/>
      <c r="DB72" s="37"/>
      <c r="DC72" s="37"/>
      <c r="DD72" s="37"/>
      <c r="DE72" s="37"/>
      <c r="DF72" s="37"/>
      <c r="DG72" s="37"/>
      <c r="DH72" s="37"/>
    </row>
    <row r="73" spans="84:112" x14ac:dyDescent="0.25">
      <c r="CF73" s="41"/>
      <c r="CG73" s="41"/>
      <c r="CH73" s="41"/>
      <c r="CI73" s="41"/>
      <c r="CJ73" s="41"/>
      <c r="CK73" s="41"/>
      <c r="CL73" s="41"/>
      <c r="DB73" s="37"/>
      <c r="DC73" s="37"/>
      <c r="DD73" s="37"/>
      <c r="DE73" s="37"/>
      <c r="DF73" s="37"/>
      <c r="DG73" s="37"/>
      <c r="DH73" s="37"/>
    </row>
    <row r="74" spans="84:112" x14ac:dyDescent="0.25">
      <c r="CF74" s="41"/>
      <c r="CG74" s="41"/>
      <c r="CH74" s="41"/>
      <c r="CI74" s="41"/>
      <c r="CJ74" s="41"/>
      <c r="CK74" s="41"/>
      <c r="CL74" s="41"/>
      <c r="DB74" s="37"/>
      <c r="DC74" s="37"/>
      <c r="DD74" s="37"/>
      <c r="DE74" s="37"/>
      <c r="DF74" s="37"/>
      <c r="DG74" s="37"/>
      <c r="DH74" s="37"/>
    </row>
    <row r="75" spans="84:112" x14ac:dyDescent="0.25">
      <c r="CF75" s="41"/>
      <c r="CG75" s="41"/>
      <c r="CH75" s="41"/>
      <c r="CI75" s="41"/>
      <c r="CJ75" s="41"/>
      <c r="CK75" s="41"/>
      <c r="CL75" s="41"/>
      <c r="DB75" s="37"/>
      <c r="DC75" s="37"/>
      <c r="DD75" s="37"/>
      <c r="DE75" s="37"/>
      <c r="DF75" s="37"/>
      <c r="DG75" s="37"/>
      <c r="DH75" s="37"/>
    </row>
    <row r="76" spans="84:112" x14ac:dyDescent="0.25">
      <c r="CF76" s="41"/>
      <c r="CG76" s="41"/>
      <c r="CH76" s="41"/>
      <c r="CI76" s="41"/>
      <c r="CJ76" s="41"/>
      <c r="CK76" s="41"/>
      <c r="CL76" s="41"/>
      <c r="DB76" s="37"/>
      <c r="DC76" s="37"/>
      <c r="DD76" s="37"/>
      <c r="DE76" s="37"/>
      <c r="DF76" s="37"/>
      <c r="DG76" s="37"/>
      <c r="DH76" s="37"/>
    </row>
    <row r="77" spans="84:112" x14ac:dyDescent="0.25">
      <c r="CF77" s="41"/>
      <c r="CG77" s="41"/>
      <c r="CH77" s="41"/>
      <c r="CI77" s="41"/>
      <c r="CJ77" s="41"/>
      <c r="CK77" s="41"/>
      <c r="CL77" s="41"/>
      <c r="DB77" s="37"/>
      <c r="DC77" s="37"/>
      <c r="DD77" s="37"/>
      <c r="DE77" s="37"/>
      <c r="DF77" s="37"/>
      <c r="DG77" s="37"/>
      <c r="DH77" s="37"/>
    </row>
    <row r="78" spans="84:112" x14ac:dyDescent="0.25">
      <c r="CF78" s="41"/>
      <c r="CG78" s="41"/>
      <c r="CH78" s="41"/>
      <c r="CI78" s="41"/>
      <c r="CJ78" s="41"/>
      <c r="CK78" s="41"/>
      <c r="CL78" s="41"/>
      <c r="DB78" s="37"/>
      <c r="DC78" s="37"/>
      <c r="DD78" s="37"/>
      <c r="DE78" s="37"/>
      <c r="DF78" s="37"/>
      <c r="DG78" s="37"/>
      <c r="DH78" s="37"/>
    </row>
    <row r="79" spans="84:112" x14ac:dyDescent="0.25">
      <c r="CF79" s="41"/>
      <c r="CG79" s="41"/>
      <c r="CH79" s="41"/>
      <c r="CI79" s="41"/>
      <c r="CJ79" s="41"/>
      <c r="CK79" s="41"/>
      <c r="CL79" s="41"/>
      <c r="DB79" s="37"/>
      <c r="DC79" s="37"/>
      <c r="DD79" s="37"/>
      <c r="DE79" s="37"/>
      <c r="DF79" s="37"/>
      <c r="DG79" s="37"/>
      <c r="DH79" s="37"/>
    </row>
    <row r="80" spans="84:112" x14ac:dyDescent="0.25">
      <c r="CF80" s="41"/>
      <c r="CG80" s="41"/>
      <c r="CH80" s="41"/>
      <c r="CI80" s="41"/>
      <c r="CJ80" s="41"/>
      <c r="CK80" s="41"/>
      <c r="CL80" s="41"/>
      <c r="DB80" s="37"/>
      <c r="DC80" s="37"/>
      <c r="DD80" s="37"/>
      <c r="DE80" s="37"/>
      <c r="DF80" s="37"/>
      <c r="DG80" s="37"/>
      <c r="DH80" s="37"/>
    </row>
    <row r="81" spans="84:112" x14ac:dyDescent="0.25">
      <c r="CF81" s="41"/>
      <c r="CG81" s="41"/>
      <c r="CH81" s="41"/>
      <c r="CI81" s="41"/>
      <c r="CJ81" s="41"/>
      <c r="CK81" s="41"/>
      <c r="CL81" s="41"/>
      <c r="DB81" s="37"/>
      <c r="DC81" s="37"/>
      <c r="DD81" s="37"/>
      <c r="DE81" s="37"/>
      <c r="DF81" s="37"/>
      <c r="DG81" s="37"/>
      <c r="DH81" s="37"/>
    </row>
    <row r="82" spans="84:112" x14ac:dyDescent="0.25">
      <c r="CF82" s="41"/>
      <c r="CG82" s="41"/>
      <c r="CH82" s="41"/>
      <c r="CI82" s="41"/>
      <c r="CJ82" s="41"/>
      <c r="CK82" s="41"/>
      <c r="CL82" s="41"/>
      <c r="DB82" s="37"/>
      <c r="DC82" s="37"/>
      <c r="DD82" s="37"/>
      <c r="DE82" s="37"/>
      <c r="DF82" s="37"/>
      <c r="DG82" s="37"/>
      <c r="DH82" s="37"/>
    </row>
    <row r="83" spans="84:112" x14ac:dyDescent="0.25">
      <c r="CF83" s="41"/>
      <c r="CG83" s="41"/>
      <c r="CH83" s="41"/>
      <c r="CI83" s="41"/>
      <c r="CJ83" s="41"/>
      <c r="CK83" s="41"/>
      <c r="CL83" s="41"/>
      <c r="DB83" s="37"/>
      <c r="DC83" s="37"/>
      <c r="DD83" s="37"/>
      <c r="DE83" s="37"/>
      <c r="DF83" s="37"/>
      <c r="DG83" s="37"/>
      <c r="DH83" s="37"/>
    </row>
    <row r="84" spans="84:112" x14ac:dyDescent="0.25">
      <c r="CF84" s="41"/>
      <c r="CG84" s="41"/>
      <c r="CH84" s="41"/>
      <c r="CI84" s="41"/>
      <c r="CJ84" s="41"/>
      <c r="CK84" s="41"/>
      <c r="CL84" s="41"/>
      <c r="DB84" s="37"/>
      <c r="DC84" s="37"/>
      <c r="DD84" s="37"/>
      <c r="DE84" s="37"/>
      <c r="DF84" s="37"/>
      <c r="DG84" s="37"/>
      <c r="DH84" s="37"/>
    </row>
    <row r="85" spans="84:112" x14ac:dyDescent="0.25">
      <c r="CF85" s="41"/>
      <c r="CG85" s="41"/>
      <c r="CH85" s="41"/>
      <c r="CI85" s="41"/>
      <c r="CJ85" s="41"/>
      <c r="CK85" s="41"/>
      <c r="CL85" s="41"/>
      <c r="DB85" s="37"/>
      <c r="DC85" s="37"/>
      <c r="DD85" s="37"/>
      <c r="DE85" s="37"/>
      <c r="DF85" s="37"/>
      <c r="DG85" s="37"/>
      <c r="DH85" s="37"/>
    </row>
    <row r="86" spans="84:112" x14ac:dyDescent="0.25">
      <c r="CF86" s="41"/>
      <c r="CG86" s="41"/>
      <c r="CH86" s="41"/>
      <c r="CI86" s="41"/>
      <c r="CJ86" s="41"/>
      <c r="CK86" s="41"/>
      <c r="CL86" s="41"/>
      <c r="DB86" s="37"/>
      <c r="DC86" s="37"/>
      <c r="DD86" s="37"/>
      <c r="DE86" s="37"/>
      <c r="DF86" s="37"/>
      <c r="DG86" s="37"/>
      <c r="DH86" s="37"/>
    </row>
    <row r="87" spans="84:112" x14ac:dyDescent="0.25">
      <c r="CF87" s="41"/>
      <c r="CG87" s="41"/>
      <c r="CH87" s="41"/>
      <c r="CI87" s="41"/>
      <c r="CJ87" s="41"/>
      <c r="CK87" s="41"/>
      <c r="CL87" s="41"/>
      <c r="DB87" s="37"/>
      <c r="DC87" s="37"/>
      <c r="DD87" s="37"/>
      <c r="DE87" s="37"/>
      <c r="DF87" s="37"/>
      <c r="DG87" s="37"/>
      <c r="DH87" s="37"/>
    </row>
    <row r="88" spans="84:112" x14ac:dyDescent="0.25">
      <c r="CF88" s="41"/>
      <c r="CG88" s="41"/>
      <c r="CH88" s="41"/>
      <c r="CI88" s="41"/>
      <c r="CJ88" s="41"/>
      <c r="CK88" s="41"/>
      <c r="CL88" s="41"/>
      <c r="DB88" s="37"/>
      <c r="DC88" s="37"/>
      <c r="DD88" s="37"/>
      <c r="DE88" s="37"/>
      <c r="DF88" s="37"/>
      <c r="DG88" s="37"/>
      <c r="DH88" s="37"/>
    </row>
    <row r="89" spans="84:112" x14ac:dyDescent="0.25">
      <c r="CF89" s="41"/>
      <c r="CG89" s="41"/>
      <c r="CH89" s="41"/>
      <c r="CI89" s="41"/>
      <c r="CJ89" s="41"/>
      <c r="CK89" s="41"/>
      <c r="CL89" s="41"/>
      <c r="DB89" s="37"/>
      <c r="DC89" s="37"/>
      <c r="DD89" s="37"/>
      <c r="DE89" s="37"/>
      <c r="DF89" s="37"/>
      <c r="DG89" s="37"/>
      <c r="DH89" s="37"/>
    </row>
    <row r="90" spans="84:112" x14ac:dyDescent="0.25">
      <c r="CF90" s="41"/>
      <c r="CG90" s="41"/>
      <c r="CH90" s="41"/>
      <c r="CI90" s="41"/>
      <c r="CJ90" s="41"/>
      <c r="CK90" s="41"/>
      <c r="CL90" s="41"/>
      <c r="DB90" s="37"/>
      <c r="DC90" s="37"/>
      <c r="DD90" s="37"/>
      <c r="DE90" s="37"/>
      <c r="DF90" s="37"/>
      <c r="DG90" s="37"/>
      <c r="DH90" s="37"/>
    </row>
    <row r="91" spans="84:112" x14ac:dyDescent="0.25">
      <c r="CF91" s="41"/>
      <c r="CG91" s="41"/>
      <c r="CH91" s="41"/>
      <c r="CI91" s="41"/>
      <c r="CJ91" s="41"/>
      <c r="CK91" s="41"/>
      <c r="CL91" s="41"/>
      <c r="DB91" s="37"/>
      <c r="DC91" s="37"/>
      <c r="DD91" s="37"/>
      <c r="DE91" s="37"/>
      <c r="DF91" s="37"/>
      <c r="DG91" s="37"/>
      <c r="DH91" s="37"/>
    </row>
    <row r="92" spans="84:112" x14ac:dyDescent="0.25">
      <c r="CF92" s="41"/>
      <c r="CG92" s="41"/>
      <c r="CH92" s="41"/>
      <c r="CI92" s="41"/>
      <c r="CJ92" s="41"/>
      <c r="CK92" s="41"/>
      <c r="CL92" s="41"/>
      <c r="DB92" s="37"/>
      <c r="DC92" s="37"/>
      <c r="DD92" s="37"/>
      <c r="DE92" s="37"/>
      <c r="DF92" s="37"/>
      <c r="DG92" s="37"/>
      <c r="DH92" s="37"/>
    </row>
  </sheetData>
  <conditionalFormatting sqref="I56:I1048576">
    <cfRule type="cellIs" dxfId="171" priority="35" operator="greaterThan">
      <formula>0</formula>
    </cfRule>
    <cfRule type="cellIs" dxfId="170" priority="36" operator="lessThan">
      <formula>0</formula>
    </cfRule>
  </conditionalFormatting>
  <conditionalFormatting sqref="AV7:AV38 AV40:AV54 AT7:AT55">
    <cfRule type="cellIs" dxfId="169" priority="29" operator="equal">
      <formula>"6-Retiré/Abandon"</formula>
    </cfRule>
    <cfRule type="cellIs" dxfId="168" priority="30" operator="equal">
      <formula>"5-Défavorable"</formula>
    </cfRule>
    <cfRule type="cellIs" dxfId="167" priority="31" operator="equal">
      <formula>"4-Ajournement"</formula>
    </cfRule>
    <cfRule type="cellIs" dxfId="166" priority="32" operator="equal">
      <formula>"1-Favorable"</formula>
    </cfRule>
  </conditionalFormatting>
  <dataValidations count="1">
    <dataValidation type="list" allowBlank="1" showInputMessage="1" showErrorMessage="1" sqref="AT7:AT54">
      <formula1>"1-Favorable,4-Ajournement,5-Défavorable,6-Retiré/Abandon"</formula1>
    </dataValidation>
  </dataValidations>
  <printOptions horizontalCentered="1" verticalCentered="1"/>
  <pageMargins left="0.25" right="0.25" top="0.75" bottom="0.75" header="0.3" footer="0.3"/>
  <pageSetup paperSize="8" scale="59" fitToHeight="0" orientation="landscape"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37"/>
  <sheetViews>
    <sheetView workbookViewId="0">
      <selection activeCell="L7" sqref="L7"/>
    </sheetView>
  </sheetViews>
  <sheetFormatPr baseColWidth="10" defaultRowHeight="15" outlineLevelRow="1" x14ac:dyDescent="0.25"/>
  <cols>
    <col min="3" max="3" width="13.7109375" bestFit="1" customWidth="1"/>
    <col min="4" max="4" width="12.140625" bestFit="1" customWidth="1"/>
    <col min="11" max="17" width="11.42578125" customWidth="1"/>
  </cols>
  <sheetData>
    <row r="5" spans="1:12" x14ac:dyDescent="0.25">
      <c r="A5" s="108"/>
      <c r="B5" s="108"/>
      <c r="C5" s="108"/>
      <c r="D5" s="1"/>
      <c r="L5" s="23">
        <v>42523</v>
      </c>
    </row>
    <row r="6" spans="1:12" x14ac:dyDescent="0.25">
      <c r="D6" s="14"/>
      <c r="L6" s="14">
        <f>SUM(L14,L9,L8,L7)</f>
        <v>5444013.9800000004</v>
      </c>
    </row>
    <row r="7" spans="1:12" x14ac:dyDescent="0.25">
      <c r="D7" s="14"/>
      <c r="K7" t="s">
        <v>112</v>
      </c>
      <c r="L7" s="14">
        <f>Bois!E30+'Reprog (en cours)'!BB31+Pierre!E29+Attractivité!E29+Biodiversité!E33+Agriculture!E19+Tourisme!E22+'AT-Ing Terr'!E21</f>
        <v>2747836.58</v>
      </c>
    </row>
    <row r="8" spans="1:12" x14ac:dyDescent="0.25">
      <c r="D8" s="14"/>
      <c r="K8" t="s">
        <v>56</v>
      </c>
      <c r="L8" s="14">
        <f>Bois!E31+'Reprog (en cours)'!BB32+Pierre!E30+Attractivité!E30+Biodiversité!E34+Agriculture!E20+Tourisme!E23+'AT-Ing Terr'!E22</f>
        <v>2176099.42</v>
      </c>
    </row>
    <row r="9" spans="1:12" x14ac:dyDescent="0.25">
      <c r="D9" s="14"/>
      <c r="K9" t="s">
        <v>57</v>
      </c>
      <c r="L9" s="14">
        <f>Bois!E32+'Reprog (en cours)'!BB33+Pierre!E31+Attractivité!E31+Biodiversité!E35+Agriculture!E21+Tourisme!E24+'AT-Ing Terr'!E23</f>
        <v>470038.73</v>
      </c>
    </row>
    <row r="10" spans="1:12" hidden="1" outlineLevel="1" x14ac:dyDescent="0.25">
      <c r="C10" s="18"/>
      <c r="D10" s="19"/>
      <c r="K10" s="18" t="s">
        <v>113</v>
      </c>
      <c r="L10" s="19">
        <f>Bois!E33+'Reprog (en cours)'!BB34+Pierre!E32+Attractivité!E32+Biodiversité!E36+Agriculture!E22+Tourisme!E25+'AT-Ing Terr'!E24</f>
        <v>87595.94</v>
      </c>
    </row>
    <row r="11" spans="1:12" hidden="1" outlineLevel="1" x14ac:dyDescent="0.25">
      <c r="C11" s="18"/>
      <c r="D11" s="19"/>
      <c r="K11" s="18" t="s">
        <v>114</v>
      </c>
      <c r="L11" s="19">
        <f>Bois!E34+'Reprog (en cours)'!BB35+Pierre!E33+Attractivité!E33+Biodiversité!E37+Agriculture!E23+Tourisme!E26+'AT-Ing Terr'!E25</f>
        <v>191520.28</v>
      </c>
    </row>
    <row r="12" spans="1:12" hidden="1" outlineLevel="1" x14ac:dyDescent="0.25">
      <c r="C12" s="18"/>
      <c r="D12" s="19"/>
      <c r="K12" s="18" t="s">
        <v>115</v>
      </c>
      <c r="L12" s="19">
        <f>Bois!E35+'Reprog (en cours)'!BB36+Pierre!E34+Attractivité!E34+Biodiversité!E38+Agriculture!E24+Tourisme!E27+'AT-Ing Terr'!E26</f>
        <v>15200</v>
      </c>
    </row>
    <row r="13" spans="1:12" hidden="1" outlineLevel="1" x14ac:dyDescent="0.25">
      <c r="C13" s="18"/>
      <c r="D13" s="19"/>
      <c r="K13" s="18" t="s">
        <v>116</v>
      </c>
      <c r="L13" s="19">
        <f>Bois!E36+'Reprog (en cours)'!BB37+Pierre!E35+Attractivité!E35+Biodiversité!E39+Agriculture!E25+Tourisme!E28+'AT-Ing Terr'!E27</f>
        <v>175722.50999999998</v>
      </c>
    </row>
    <row r="14" spans="1:12" collapsed="1" x14ac:dyDescent="0.25">
      <c r="D14" s="14"/>
      <c r="K14" t="s">
        <v>58</v>
      </c>
      <c r="L14" s="14">
        <f>Bois!E37+'Reprog (en cours)'!BB38+Pierre!E36+Attractivité!E36+Biodiversité!E40+Agriculture!E26+Tourisme!E29+'AT-Ing Terr'!E28</f>
        <v>50039.25</v>
      </c>
    </row>
    <row r="15" spans="1:12" hidden="1" outlineLevel="1" x14ac:dyDescent="0.25">
      <c r="C15" s="18"/>
      <c r="D15" s="19"/>
      <c r="K15" s="18" t="s">
        <v>32</v>
      </c>
      <c r="L15" s="14">
        <f>Bois!E38+'Reprog (en cours)'!BB39+Pierre!E37+Attractivité!E37+Biodiversité!E41+Agriculture!E27+Tourisme!E30+'AT-Ing Terr'!E29</f>
        <v>0</v>
      </c>
    </row>
    <row r="16" spans="1:12" hidden="1" outlineLevel="1" x14ac:dyDescent="0.25">
      <c r="C16" s="18"/>
      <c r="D16" s="19"/>
      <c r="K16" s="18" t="s">
        <v>33</v>
      </c>
      <c r="L16" s="14" t="e">
        <f>Bois!E39+'Reprog (en cours)'!#REF!+Pierre!E38+Attractivité!E38+Biodiversité!E42+Agriculture!E28+Tourisme!E31+'AT-Ing Terr'!E30</f>
        <v>#REF!</v>
      </c>
    </row>
    <row r="17" spans="3:12" hidden="1" outlineLevel="1" x14ac:dyDescent="0.25">
      <c r="C17" s="18"/>
      <c r="D17" s="19"/>
      <c r="K17" s="18" t="s">
        <v>34</v>
      </c>
      <c r="L17" s="14">
        <f>Bois!E40+'Reprog (en cours)'!BB40+Pierre!E39+Attractivité!E39+Biodiversité!E43+Agriculture!E29+Tourisme!E32+'AT-Ing Terr'!E31</f>
        <v>0</v>
      </c>
    </row>
    <row r="18" spans="3:12" hidden="1" outlineLevel="1" x14ac:dyDescent="0.25">
      <c r="C18" s="18"/>
      <c r="D18" s="19"/>
      <c r="K18" s="18" t="s">
        <v>35</v>
      </c>
      <c r="L18" s="14">
        <f>Bois!E41+'Reprog (en cours)'!BB41+Pierre!E40+Attractivité!E40+Biodiversité!E44+Agriculture!E30+Tourisme!E33+'AT-Ing Terr'!E32</f>
        <v>0</v>
      </c>
    </row>
    <row r="19" spans="3:12" hidden="1" outlineLevel="1" x14ac:dyDescent="0.25">
      <c r="C19" s="18"/>
      <c r="D19" s="19"/>
      <c r="K19" s="18" t="s">
        <v>36</v>
      </c>
      <c r="L19" s="14">
        <f>Bois!E42+'Reprog (en cours)'!BB42+Pierre!E41+Attractivité!E41+Biodiversité!E45+Agriculture!E31+Tourisme!E34+'AT-Ing Terr'!E33</f>
        <v>0</v>
      </c>
    </row>
    <row r="20" spans="3:12" hidden="1" outlineLevel="1" x14ac:dyDescent="0.25">
      <c r="C20" s="18"/>
      <c r="D20" s="19"/>
      <c r="K20" s="18" t="s">
        <v>37</v>
      </c>
      <c r="L20" s="14">
        <f>Bois!E43+'Reprog (en cours)'!BB43+Pierre!E42+Attractivité!E42+Biodiversité!E46+Agriculture!E32+Tourisme!E35+'AT-Ing Terr'!E34</f>
        <v>4000</v>
      </c>
    </row>
    <row r="21" spans="3:12" hidden="1" outlineLevel="1" x14ac:dyDescent="0.25">
      <c r="C21" s="18"/>
      <c r="D21" s="19"/>
      <c r="K21" s="18" t="s">
        <v>38</v>
      </c>
      <c r="L21" s="14">
        <f>Bois!E44+'Reprog (en cours)'!BB44+Pierre!E43+Attractivité!E43+Biodiversité!E47+Agriculture!E33+Tourisme!E36+'AT-Ing Terr'!E35</f>
        <v>0</v>
      </c>
    </row>
    <row r="22" spans="3:12" hidden="1" outlineLevel="1" x14ac:dyDescent="0.25">
      <c r="C22" s="18"/>
      <c r="D22" s="19"/>
      <c r="K22" s="18" t="s">
        <v>39</v>
      </c>
      <c r="L22" s="14">
        <f>Bois!E45+'Reprog (en cours)'!BB45+Pierre!E44+Attractivité!E44+Biodiversité!E48+Agriculture!E34+Tourisme!E37+'AT-Ing Terr'!E36</f>
        <v>0</v>
      </c>
    </row>
    <row r="23" spans="3:12" hidden="1" outlineLevel="1" x14ac:dyDescent="0.25">
      <c r="C23" s="18"/>
      <c r="D23" s="19"/>
      <c r="K23" s="18" t="s">
        <v>40</v>
      </c>
      <c r="L23" s="14">
        <f>Bois!E46+'Reprog (en cours)'!BB46+Pierre!E45+Attractivité!E45+Biodiversité!E49+Agriculture!E35+Tourisme!E38+'AT-Ing Terr'!E37</f>
        <v>0</v>
      </c>
    </row>
    <row r="24" spans="3:12" hidden="1" outlineLevel="1" x14ac:dyDescent="0.25">
      <c r="C24" s="18"/>
      <c r="D24" s="19"/>
      <c r="K24" s="18" t="s">
        <v>41</v>
      </c>
      <c r="L24" s="14">
        <f>Bois!E47+'Reprog (en cours)'!BB47+Pierre!E46+Attractivité!E46+Biodiversité!E50+Agriculture!E36+Tourisme!E39+'AT-Ing Terr'!E38</f>
        <v>0</v>
      </c>
    </row>
    <row r="25" spans="3:12" hidden="1" outlineLevel="1" x14ac:dyDescent="0.25">
      <c r="C25" s="18"/>
      <c r="D25" s="19"/>
      <c r="K25" s="18" t="s">
        <v>42</v>
      </c>
      <c r="L25" s="14">
        <f>Bois!E48+'Reprog (en cours)'!BB48+Pierre!E47+Attractivité!E47+Biodiversité!E51+Agriculture!E37+Tourisme!E40+'AT-Ing Terr'!E39</f>
        <v>0</v>
      </c>
    </row>
    <row r="26" spans="3:12" hidden="1" outlineLevel="1" x14ac:dyDescent="0.25">
      <c r="C26" s="18"/>
      <c r="D26" s="19"/>
      <c r="K26" s="18" t="s">
        <v>43</v>
      </c>
      <c r="L26" s="14">
        <f>Bois!E49+'Reprog (en cours)'!BB49+Pierre!E48+Attractivité!E48+Biodiversité!E52+Agriculture!E38+Tourisme!E41+'AT-Ing Terr'!E40</f>
        <v>0</v>
      </c>
    </row>
    <row r="27" spans="3:12" hidden="1" outlineLevel="1" x14ac:dyDescent="0.25">
      <c r="C27" s="18"/>
      <c r="D27" s="19"/>
      <c r="K27" s="18" t="s">
        <v>44</v>
      </c>
      <c r="L27" s="14">
        <f>Bois!E50+'Reprog (en cours)'!BB50+Pierre!E49+Attractivité!E49+Biodiversité!E53+Agriculture!E39+Tourisme!E42+'AT-Ing Terr'!E41</f>
        <v>16500</v>
      </c>
    </row>
    <row r="28" spans="3:12" hidden="1" outlineLevel="1" x14ac:dyDescent="0.25">
      <c r="C28" s="18"/>
      <c r="D28" s="19"/>
      <c r="K28" s="18" t="s">
        <v>45</v>
      </c>
      <c r="L28" s="14">
        <f>Bois!E51+'Reprog (en cours)'!BB51+Pierre!E50+Attractivité!E50+Biodiversité!E54+Agriculture!E40+Tourisme!E43+'AT-Ing Terr'!E42</f>
        <v>4296.25</v>
      </c>
    </row>
    <row r="29" spans="3:12" hidden="1" outlineLevel="1" x14ac:dyDescent="0.25">
      <c r="C29" s="18"/>
      <c r="D29" s="19"/>
      <c r="K29" s="18" t="s">
        <v>46</v>
      </c>
      <c r="L29" s="14">
        <f>Bois!E52+'Reprog (en cours)'!BB52+Pierre!E51+Attractivité!E51+Biodiversité!E55+Agriculture!E41+Tourisme!E44+'AT-Ing Terr'!E43</f>
        <v>0</v>
      </c>
    </row>
    <row r="30" spans="3:12" hidden="1" outlineLevel="1" x14ac:dyDescent="0.25">
      <c r="C30" s="18"/>
      <c r="D30" s="19"/>
      <c r="K30" s="18" t="s">
        <v>47</v>
      </c>
      <c r="L30" s="14">
        <f>Bois!E53+'Reprog (en cours)'!BB53+Pierre!E52+Attractivité!E52+Biodiversité!E56+Agriculture!E42+Tourisme!E45+'AT-Ing Terr'!E44</f>
        <v>0</v>
      </c>
    </row>
    <row r="31" spans="3:12" hidden="1" outlineLevel="1" x14ac:dyDescent="0.25">
      <c r="C31" s="18"/>
      <c r="D31" s="19"/>
      <c r="K31" s="18" t="s">
        <v>48</v>
      </c>
      <c r="L31" s="14">
        <f>Bois!E54+'Reprog (en cours)'!BB54+Pierre!E53+Attractivité!E53+Biodiversité!E57+Agriculture!E43+Tourisme!E46+'AT-Ing Terr'!E45</f>
        <v>0</v>
      </c>
    </row>
    <row r="32" spans="3:12" hidden="1" outlineLevel="1" x14ac:dyDescent="0.25">
      <c r="C32" s="18"/>
      <c r="D32" s="19"/>
      <c r="K32" s="18" t="s">
        <v>49</v>
      </c>
      <c r="L32" s="14">
        <f>Bois!E55+'Reprog (en cours)'!BB55+Pierre!E54+Attractivité!E54+Biodiversité!E58+Agriculture!E44+Tourisme!E47+'AT-Ing Terr'!E46</f>
        <v>0</v>
      </c>
    </row>
    <row r="33" spans="3:12" hidden="1" outlineLevel="1" x14ac:dyDescent="0.25">
      <c r="C33" s="18"/>
      <c r="D33" s="19"/>
      <c r="K33" s="18" t="s">
        <v>50</v>
      </c>
      <c r="L33" s="14">
        <f>Bois!E56+'Reprog (en cours)'!BB56+Pierre!E55+Attractivité!E55+Biodiversité!E59+Agriculture!E45+Tourisme!E48+'AT-Ing Terr'!E47</f>
        <v>6000</v>
      </c>
    </row>
    <row r="34" spans="3:12" hidden="1" outlineLevel="1" x14ac:dyDescent="0.25">
      <c r="C34" s="18"/>
      <c r="D34" s="19"/>
      <c r="K34" s="18" t="s">
        <v>51</v>
      </c>
      <c r="L34" s="14">
        <f>Bois!E57+'Reprog (en cours)'!BB57+Pierre!E56+Attractivité!E56+Biodiversité!E60+Agriculture!E46+Tourisme!E49+'AT-Ing Terr'!E48</f>
        <v>954</v>
      </c>
    </row>
    <row r="35" spans="3:12" hidden="1" outlineLevel="1" x14ac:dyDescent="0.25">
      <c r="C35" s="18"/>
      <c r="D35" s="19"/>
      <c r="K35" s="18" t="s">
        <v>52</v>
      </c>
      <c r="L35" s="14">
        <f>Bois!E58+'Reprog (en cours)'!BB58+Pierre!E57+Attractivité!E57+Biodiversité!E61+Agriculture!E47+Tourisme!E50+'AT-Ing Terr'!E49</f>
        <v>0</v>
      </c>
    </row>
    <row r="36" spans="3:12" hidden="1" outlineLevel="1" x14ac:dyDescent="0.25">
      <c r="C36" s="18"/>
      <c r="D36" s="19"/>
      <c r="K36" s="18" t="s">
        <v>53</v>
      </c>
      <c r="L36" s="14">
        <f>Bois!E59+'Reprog (en cours)'!BB59+Pierre!E58+Attractivité!E58+Biodiversité!E62+Agriculture!E48+Tourisme!E51+'AT-Ing Terr'!E50</f>
        <v>0</v>
      </c>
    </row>
    <row r="37" spans="3:12" collapsed="1" x14ac:dyDescent="0.25"/>
  </sheetData>
  <mergeCells count="1">
    <mergeCell ref="A5:C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8</vt:i4>
      </vt:variant>
    </vt:vector>
  </HeadingPairs>
  <TitlesOfParts>
    <vt:vector size="19" baseType="lpstr">
      <vt:lpstr>Bois</vt:lpstr>
      <vt:lpstr>Pierre</vt:lpstr>
      <vt:lpstr>Attractivité</vt:lpstr>
      <vt:lpstr>Biodiversité</vt:lpstr>
      <vt:lpstr>Agriculture</vt:lpstr>
      <vt:lpstr>Tourisme</vt:lpstr>
      <vt:lpstr>AT-Ing Terr</vt:lpstr>
      <vt:lpstr>Reprog (en cours)</vt:lpstr>
      <vt:lpstr>Recap Financier</vt:lpstr>
      <vt:lpstr>Reprog 2007-2013</vt:lpstr>
      <vt:lpstr>Feuil2</vt:lpstr>
      <vt:lpstr>'Reprog (en cours)'!Impression_des_titres</vt:lpstr>
      <vt:lpstr>Agriculture!Zone_d_impression</vt:lpstr>
      <vt:lpstr>'AT-Ing Terr'!Zone_d_impression</vt:lpstr>
      <vt:lpstr>Attractivité!Zone_d_impression</vt:lpstr>
      <vt:lpstr>Biodiversité!Zone_d_impression</vt:lpstr>
      <vt:lpstr>Bois!Zone_d_impression</vt:lpstr>
      <vt:lpstr>Pierre!Zone_d_impression</vt:lpstr>
      <vt:lpstr>Tourisme!Zone_d_impression</vt:lpstr>
    </vt:vector>
  </TitlesOfParts>
  <Company>cra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pe.melac</dc:creator>
  <cp:lastModifiedBy>c.marie</cp:lastModifiedBy>
  <cp:lastPrinted>2016-06-03T11:53:35Z</cp:lastPrinted>
  <dcterms:created xsi:type="dcterms:W3CDTF">2016-01-13T16:44:12Z</dcterms:created>
  <dcterms:modified xsi:type="dcterms:W3CDTF">2016-08-12T08:04:54Z</dcterms:modified>
</cp:coreProperties>
</file>