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queryTables/queryTable1.xml" ContentType="application/vnd.openxmlformats-officedocument.spreadsheetml.queryTable+xml"/>
  <Override PartName="/xl/drawings/drawing2.xml" ContentType="application/vnd.openxmlformats-officedocument.drawing+xml"/>
  <Override PartName="/xl/tables/table2.xml" ContentType="application/vnd.openxmlformats-officedocument.spreadsheetml.table+xml"/>
  <Override PartName="/xl/queryTables/queryTable2.xml" ContentType="application/vnd.openxmlformats-officedocument.spreadsheetml.queryTable+xml"/>
  <Override PartName="/xl/drawings/drawing3.xml" ContentType="application/vnd.openxmlformats-officedocument.drawing+xml"/>
  <Override PartName="/xl/tables/table3.xml" ContentType="application/vnd.openxmlformats-officedocument.spreadsheetml.table+xml"/>
  <Override PartName="/xl/queryTables/queryTable3.xml" ContentType="application/vnd.openxmlformats-officedocument.spreadsheetml.queryTable+xml"/>
  <Override PartName="/xl/drawings/drawing4.xml" ContentType="application/vnd.openxmlformats-officedocument.drawing+xml"/>
  <Override PartName="/xl/tables/table4.xml" ContentType="application/vnd.openxmlformats-officedocument.spreadsheetml.table+xml"/>
  <Override PartName="/xl/queryTables/queryTable4.xml" ContentType="application/vnd.openxmlformats-officedocument.spreadsheetml.queryTable+xml"/>
  <Override PartName="/xl/drawings/drawing5.xml" ContentType="application/vnd.openxmlformats-officedocument.drawing+xml"/>
  <Override PartName="/xl/tables/table5.xml" ContentType="application/vnd.openxmlformats-officedocument.spreadsheetml.table+xml"/>
  <Override PartName="/xl/queryTables/queryTable5.xml" ContentType="application/vnd.openxmlformats-officedocument.spreadsheetml.queryTable+xml"/>
  <Override PartName="/xl/drawings/drawing6.xml" ContentType="application/vnd.openxmlformats-officedocument.drawing+xml"/>
  <Override PartName="/xl/tables/table6.xml" ContentType="application/vnd.openxmlformats-officedocument.spreadsheetml.table+xml"/>
  <Override PartName="/xl/queryTables/queryTable6.xml" ContentType="application/vnd.openxmlformats-officedocument.spreadsheetml.queryTable+xml"/>
  <Override PartName="/xl/drawings/drawing7.xml" ContentType="application/vnd.openxmlformats-officedocument.drawing+xml"/>
  <Override PartName="/xl/tables/table7.xml" ContentType="application/vnd.openxmlformats-officedocument.spreadsheetml.table+xml"/>
  <Override PartName="/xl/queryTables/queryTable7.xml" ContentType="application/vnd.openxmlformats-officedocument.spreadsheetml.queryTable+xml"/>
  <Override PartName="/xl/drawings/drawing8.xml" ContentType="application/vnd.openxmlformats-officedocument.drawing+xml"/>
  <Override PartName="/xl/tables/table8.xml" ContentType="application/vnd.openxmlformats-officedocument.spreadsheetml.table+xml"/>
  <Override PartName="/xl/queryTables/queryTable8.xml" ContentType="application/vnd.openxmlformats-officedocument.spreadsheetml.queryTable+xml"/>
  <Override PartName="/xl/tables/table9.xml" ContentType="application/vnd.openxmlformats-officedocument.spreadsheetml.table+xml"/>
  <Override PartName="/xl/drawings/drawing9.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555" windowWidth="19320" windowHeight="6270"/>
  </bookViews>
  <sheets>
    <sheet name="Bois" sheetId="2" r:id="rId1"/>
    <sheet name="Pierre" sheetId="5" r:id="rId2"/>
    <sheet name="Attractivité" sheetId="6" r:id="rId3"/>
    <sheet name="Biodiversité" sheetId="7" r:id="rId4"/>
    <sheet name="Agriculture" sheetId="8" r:id="rId5"/>
    <sheet name="Tourisme" sheetId="9" r:id="rId6"/>
    <sheet name="AT-Ing Terr" sheetId="10" r:id="rId7"/>
    <sheet name="Reprog (en cours)" sheetId="4" r:id="rId8"/>
    <sheet name="Recap Financier" sheetId="3" r:id="rId9"/>
    <sheet name="Reprog 2007-2013" sheetId="11" r:id="rId10"/>
    <sheet name="Feuil2" sheetId="12" r:id="rId11"/>
  </sheets>
  <definedNames>
    <definedName name="_xlnm.Print_Titles" localSheetId="7">'Reprog (en cours)'!$1:$6</definedName>
    <definedName name="Lancer_la_requête_à_partir_de_Excel_Files" localSheetId="4" hidden="1">Agriculture!#REF!</definedName>
    <definedName name="Lancer_la_requête_à_partir_de_Excel_Files" localSheetId="6" hidden="1">'AT-Ing Terr'!#REF!</definedName>
    <definedName name="Lancer_la_requête_à_partir_de_Excel_Files" localSheetId="2" hidden="1">Attractivité!#REF!</definedName>
    <definedName name="Lancer_la_requête_à_partir_de_Excel_Files" localSheetId="3" hidden="1">Biodiversité!#REF!</definedName>
    <definedName name="Lancer_la_requête_à_partir_de_Excel_Files" localSheetId="0" hidden="1">Bois!#REF!</definedName>
    <definedName name="Lancer_la_requête_à_partir_de_Excel_Files" localSheetId="1" hidden="1">Pierre!#REF!</definedName>
    <definedName name="Lancer_la_requête_à_partir_de_Excel_Files" localSheetId="7" hidden="1">'Reprog (en cours)'!$A$6:$AS$54</definedName>
    <definedName name="Lancer_la_requête_à_partir_de_Excel_Files" localSheetId="5" hidden="1">Tourisme!#REF!</definedName>
    <definedName name="Lancer_la_requête_à_partir_de_Excel_Files_1" localSheetId="4" hidden="1">Agriculture!#REF!</definedName>
    <definedName name="Lancer_la_requête_à_partir_de_Excel_Files_1" localSheetId="6" hidden="1">'AT-Ing Terr'!#REF!</definedName>
    <definedName name="Lancer_la_requête_à_partir_de_Excel_Files_1" localSheetId="2" hidden="1">Attractivité!#REF!</definedName>
    <definedName name="Lancer_la_requête_à_partir_de_Excel_Files_1" localSheetId="3" hidden="1">Biodiversité!#REF!</definedName>
    <definedName name="Lancer_la_requête_à_partir_de_Excel_Files_1" localSheetId="0" hidden="1">Bois!#REF!</definedName>
    <definedName name="Lancer_la_requête_à_partir_de_Excel_Files_1" localSheetId="1" hidden="1">Pierre!#REF!</definedName>
    <definedName name="Lancer_la_requête_à_partir_de_Excel_Files_1" localSheetId="5" hidden="1">Tourisme!#REF!</definedName>
    <definedName name="Lancer_la_requête_à_partir_de_Excel_Files_2" localSheetId="4" hidden="1">Agriculture!#REF!</definedName>
    <definedName name="Lancer_la_requête_à_partir_de_Excel_Files_2" localSheetId="6" hidden="1">'AT-Ing Terr'!#REF!</definedName>
    <definedName name="Lancer_la_requête_à_partir_de_Excel_Files_2" localSheetId="2" hidden="1">Attractivité!#REF!</definedName>
    <definedName name="Lancer_la_requête_à_partir_de_Excel_Files_2" localSheetId="3" hidden="1">Biodiversité!#REF!</definedName>
    <definedName name="Lancer_la_requête_à_partir_de_Excel_Files_2" localSheetId="0" hidden="1">Bois!#REF!</definedName>
    <definedName name="Lancer_la_requête_à_partir_de_Excel_Files_2" localSheetId="1" hidden="1">Pierre!#REF!</definedName>
    <definedName name="Lancer_la_requête_à_partir_de_Excel_Files_2" localSheetId="5" hidden="1">Tourisme!#REF!</definedName>
    <definedName name="Lancer_la_requête_à_partir_de_Excel_Files_3" localSheetId="4" hidden="1">Agriculture!#REF!</definedName>
    <definedName name="Lancer_la_requête_à_partir_de_Excel_Files_3" localSheetId="6" hidden="1">'AT-Ing Terr'!#REF!</definedName>
    <definedName name="Lancer_la_requête_à_partir_de_Excel_Files_3" localSheetId="2" hidden="1">Attractivité!#REF!</definedName>
    <definedName name="Lancer_la_requête_à_partir_de_Excel_Files_3" localSheetId="3" hidden="1">Biodiversité!#REF!</definedName>
    <definedName name="Lancer_la_requête_à_partir_de_Excel_Files_3" localSheetId="0" hidden="1">Bois!#REF!</definedName>
    <definedName name="Lancer_la_requête_à_partir_de_Excel_Files_3" localSheetId="1" hidden="1">Pierre!#REF!</definedName>
    <definedName name="Lancer_la_requête_à_partir_de_Excel_Files_3" localSheetId="5" hidden="1">Tourisme!#REF!</definedName>
    <definedName name="Lancer_la_requête_à_partir_de_Excel_Files_4" localSheetId="4" hidden="1">Agriculture!#REF!</definedName>
    <definedName name="Lancer_la_requête_à_partir_de_Excel_Files_4" localSheetId="6" hidden="1">'AT-Ing Terr'!#REF!</definedName>
    <definedName name="Lancer_la_requête_à_partir_de_Excel_Files_4" localSheetId="2" hidden="1">Attractivité!#REF!</definedName>
    <definedName name="Lancer_la_requête_à_partir_de_Excel_Files_4" localSheetId="3" hidden="1">Biodiversité!#REF!</definedName>
    <definedName name="Lancer_la_requête_à_partir_de_Excel_Files_4" localSheetId="0" hidden="1">Bois!#REF!</definedName>
    <definedName name="Lancer_la_requête_à_partir_de_Excel_Files_4" localSheetId="1" hidden="1">Pierre!#REF!</definedName>
    <definedName name="Lancer_la_requête_à_partir_de_Excel_Files_4" localSheetId="5" hidden="1">Tourisme!#REF!</definedName>
    <definedName name="Lancer_la_requête_à_partir_de_Excel_Files_5" localSheetId="4" hidden="1">Agriculture!#REF!</definedName>
    <definedName name="Lancer_la_requête_à_partir_de_Excel_Files_5" localSheetId="6" hidden="1">'AT-Ing Terr'!#REF!</definedName>
    <definedName name="Lancer_la_requête_à_partir_de_Excel_Files_5" localSheetId="2" hidden="1">Attractivité!#REF!</definedName>
    <definedName name="Lancer_la_requête_à_partir_de_Excel_Files_5" localSheetId="3" hidden="1">Biodiversité!#REF!</definedName>
    <definedName name="Lancer_la_requête_à_partir_de_Excel_Files_5" localSheetId="0" hidden="1">Bois!#REF!</definedName>
    <definedName name="Lancer_la_requête_à_partir_de_Excel_Files_5" localSheetId="1" hidden="1">Pierre!#REF!</definedName>
    <definedName name="Lancer_la_requête_à_partir_de_Excel_Files_5" localSheetId="5" hidden="1">Tourisme!#REF!</definedName>
    <definedName name="Lancer_la_requête_à_partir_de_Excel_Files_6" localSheetId="4" hidden="1">Agriculture!#REF!</definedName>
    <definedName name="Lancer_la_requête_à_partir_de_Excel_Files_6" localSheetId="6" hidden="1">'AT-Ing Terr'!#REF!</definedName>
    <definedName name="Lancer_la_requête_à_partir_de_Excel_Files_6" localSheetId="2" hidden="1">Attractivité!#REF!</definedName>
    <definedName name="Lancer_la_requête_à_partir_de_Excel_Files_6" localSheetId="3" hidden="1">Biodiversité!#REF!</definedName>
    <definedName name="Lancer_la_requête_à_partir_de_Excel_Files_6" localSheetId="0" hidden="1">Bois!#REF!</definedName>
    <definedName name="Lancer_la_requête_à_partir_de_Excel_Files_6" localSheetId="1" hidden="1">Pierre!#REF!</definedName>
    <definedName name="Lancer_la_requête_à_partir_de_Excel_Files_6" localSheetId="5" hidden="1">Tourisme!#REF!</definedName>
    <definedName name="Lancer_la_requête_à_partir_de_Excel_Files_7" localSheetId="4" hidden="1">Agriculture!#REF!</definedName>
    <definedName name="Lancer_la_requête_à_partir_de_Excel_Files_7" localSheetId="6" hidden="1">'AT-Ing Terr'!#REF!</definedName>
    <definedName name="Lancer_la_requête_à_partir_de_Excel_Files_7" localSheetId="2" hidden="1">Attractivité!#REF!</definedName>
    <definedName name="Lancer_la_requête_à_partir_de_Excel_Files_7" localSheetId="3" hidden="1">Biodiversité!#REF!</definedName>
    <definedName name="Lancer_la_requête_à_partir_de_Excel_Files_7" localSheetId="0" hidden="1">Bois!#REF!</definedName>
    <definedName name="Lancer_la_requête_à_partir_de_Excel_Files_7" localSheetId="1" hidden="1">Pierre!#REF!</definedName>
    <definedName name="Lancer_la_requête_à_partir_de_Excel_Files_7" localSheetId="5" hidden="1">Tourisme!#REF!</definedName>
    <definedName name="Lancer_la_requête_à_partir_de_Excel_Files_8" localSheetId="4" hidden="1">Agriculture!$A$6:$AO$7</definedName>
    <definedName name="Lancer_la_requête_à_partir_de_Excel_Files_8" localSheetId="6" hidden="1">'AT-Ing Terr'!$A$6:$AO$9</definedName>
    <definedName name="Lancer_la_requête_à_partir_de_Excel_Files_8" localSheetId="2" hidden="1">Attractivité!$A$6:$AO$17</definedName>
    <definedName name="Lancer_la_requête_à_partir_de_Excel_Files_8" localSheetId="3" hidden="1">Biodiversité!$A$6:$AP$21</definedName>
    <definedName name="Lancer_la_requête_à_partir_de_Excel_Files_8" localSheetId="0" hidden="1">Bois!$A$6:$AO$18</definedName>
    <definedName name="Lancer_la_requête_à_partir_de_Excel_Files_8" localSheetId="1" hidden="1">Pierre!$A$6:$AO$17</definedName>
    <definedName name="Lancer_la_requête_à_partir_de_Excel_Files_8" localSheetId="5" hidden="1">Tourisme!$A$6:$AO$10</definedName>
    <definedName name="_xlnm.Print_Area" localSheetId="4">Agriculture!$A$1:$AR$8</definedName>
    <definedName name="_xlnm.Print_Area" localSheetId="6">'AT-Ing Terr'!$A$1:$AR$10</definedName>
    <definedName name="_xlnm.Print_Area" localSheetId="2">Attractivité!$A$1:$AR$18</definedName>
    <definedName name="_xlnm.Print_Area" localSheetId="3">Biodiversité!$A$1:$AS$22</definedName>
    <definedName name="_xlnm.Print_Area" localSheetId="0">Bois!$A$1:$AQ$19</definedName>
    <definedName name="_xlnm.Print_Area" localSheetId="1">Pierre!$A$1:$AR$18</definedName>
    <definedName name="_xlnm.Print_Area" localSheetId="5">Tourisme!$A$1:$AR$11</definedName>
  </definedNames>
  <calcPr calcId="145621"/>
</workbook>
</file>

<file path=xl/calcChain.xml><?xml version="1.0" encoding="utf-8"?>
<calcChain xmlns="http://schemas.openxmlformats.org/spreadsheetml/2006/main">
  <c r="C55" i="4" l="1"/>
  <c r="F55" i="4"/>
  <c r="AR55" i="4"/>
  <c r="H7" i="4"/>
  <c r="H8" i="4"/>
  <c r="H9" i="4"/>
  <c r="H10" i="4"/>
  <c r="H11" i="4"/>
  <c r="H12" i="4"/>
  <c r="H13" i="4"/>
  <c r="H14" i="4"/>
  <c r="H15" i="4"/>
  <c r="H16" i="4"/>
  <c r="H17" i="4"/>
  <c r="H18" i="4"/>
  <c r="H19" i="4"/>
  <c r="H20" i="4"/>
  <c r="H21" i="4"/>
  <c r="H22" i="4"/>
  <c r="H23" i="4"/>
  <c r="H24" i="4"/>
  <c r="H25" i="4"/>
  <c r="H26" i="4"/>
  <c r="H27" i="4"/>
  <c r="H28" i="4"/>
  <c r="H29" i="4"/>
  <c r="H30" i="4"/>
  <c r="H31" i="4"/>
  <c r="H32" i="4"/>
  <c r="H33" i="4"/>
  <c r="H34" i="4"/>
  <c r="H35" i="4"/>
  <c r="H36" i="4"/>
  <c r="H37" i="4"/>
  <c r="H38" i="4"/>
  <c r="H39" i="4"/>
  <c r="H40" i="4"/>
  <c r="H41" i="4"/>
  <c r="H42" i="4"/>
  <c r="H43" i="4"/>
  <c r="H44" i="4"/>
  <c r="H45" i="4"/>
  <c r="H46" i="4"/>
  <c r="H47" i="4"/>
  <c r="H48" i="4"/>
  <c r="H49" i="4"/>
  <c r="H50" i="4"/>
  <c r="H51" i="4"/>
  <c r="H52" i="4"/>
  <c r="H53" i="4"/>
  <c r="H54" i="4"/>
  <c r="M7" i="4"/>
  <c r="K7" i="4" s="1"/>
  <c r="M8" i="4"/>
  <c r="K8" i="4" s="1"/>
  <c r="M9" i="4"/>
  <c r="K9" i="4" s="1"/>
  <c r="M10" i="4"/>
  <c r="K10" i="4" s="1"/>
  <c r="M11" i="4"/>
  <c r="K11" i="4" s="1"/>
  <c r="M12" i="4"/>
  <c r="K12" i="4" s="1"/>
  <c r="M13" i="4"/>
  <c r="K13" i="4" s="1"/>
  <c r="M14" i="4"/>
  <c r="K14" i="4" s="1"/>
  <c r="M15" i="4"/>
  <c r="K15" i="4" s="1"/>
  <c r="M16" i="4"/>
  <c r="K16" i="4" s="1"/>
  <c r="M17" i="4"/>
  <c r="K17" i="4" s="1"/>
  <c r="M18" i="4"/>
  <c r="K18" i="4" s="1"/>
  <c r="M19" i="4"/>
  <c r="K19" i="4" s="1"/>
  <c r="M20" i="4"/>
  <c r="K20" i="4" s="1"/>
  <c r="M21" i="4"/>
  <c r="K21" i="4" s="1"/>
  <c r="M22" i="4"/>
  <c r="K22" i="4" s="1"/>
  <c r="M23" i="4"/>
  <c r="K23" i="4" s="1"/>
  <c r="M24" i="4"/>
  <c r="K24" i="4" s="1"/>
  <c r="M25" i="4"/>
  <c r="K25" i="4" s="1"/>
  <c r="M26" i="4"/>
  <c r="K26" i="4" s="1"/>
  <c r="M27" i="4"/>
  <c r="K27" i="4" s="1"/>
  <c r="M28" i="4"/>
  <c r="K28" i="4" s="1"/>
  <c r="M29" i="4"/>
  <c r="K29" i="4" s="1"/>
  <c r="M30" i="4"/>
  <c r="K30" i="4" s="1"/>
  <c r="M31" i="4"/>
  <c r="K31" i="4" s="1"/>
  <c r="M32" i="4"/>
  <c r="K32" i="4" s="1"/>
  <c r="M33" i="4"/>
  <c r="K33" i="4" s="1"/>
  <c r="M34" i="4"/>
  <c r="K34" i="4" s="1"/>
  <c r="M35" i="4"/>
  <c r="K35" i="4" s="1"/>
  <c r="M36" i="4"/>
  <c r="K36" i="4" s="1"/>
  <c r="M37" i="4"/>
  <c r="K37" i="4" s="1"/>
  <c r="M38" i="4"/>
  <c r="K38" i="4" s="1"/>
  <c r="M39" i="4"/>
  <c r="K39" i="4" s="1"/>
  <c r="M40" i="4"/>
  <c r="K40" i="4" s="1"/>
  <c r="M41" i="4"/>
  <c r="K41" i="4" s="1"/>
  <c r="M42" i="4"/>
  <c r="K42" i="4" s="1"/>
  <c r="M43" i="4"/>
  <c r="K43" i="4" s="1"/>
  <c r="M44" i="4"/>
  <c r="K44" i="4" s="1"/>
  <c r="M45" i="4"/>
  <c r="K45" i="4" s="1"/>
  <c r="M46" i="4"/>
  <c r="K46" i="4" s="1"/>
  <c r="M47" i="4"/>
  <c r="K47" i="4" s="1"/>
  <c r="M48" i="4"/>
  <c r="K48" i="4" s="1"/>
  <c r="M49" i="4"/>
  <c r="K49" i="4" s="1"/>
  <c r="M50" i="4"/>
  <c r="K50" i="4" s="1"/>
  <c r="M51" i="4"/>
  <c r="K51" i="4" s="1"/>
  <c r="M52" i="4"/>
  <c r="K52" i="4" s="1"/>
  <c r="M53" i="4"/>
  <c r="K53" i="4" s="1"/>
  <c r="M54" i="4"/>
  <c r="K54" i="4" s="1"/>
  <c r="P7" i="4"/>
  <c r="P8" i="4"/>
  <c r="P9" i="4"/>
  <c r="P10" i="4"/>
  <c r="P11" i="4"/>
  <c r="P12" i="4"/>
  <c r="P13" i="4"/>
  <c r="P14" i="4"/>
  <c r="P15" i="4"/>
  <c r="P16" i="4"/>
  <c r="P17" i="4"/>
  <c r="P18" i="4"/>
  <c r="P19" i="4"/>
  <c r="P20" i="4"/>
  <c r="P21" i="4"/>
  <c r="P22" i="4"/>
  <c r="P23" i="4"/>
  <c r="P24" i="4"/>
  <c r="P25" i="4"/>
  <c r="P26" i="4"/>
  <c r="P27" i="4"/>
  <c r="P28" i="4"/>
  <c r="P29" i="4"/>
  <c r="P30" i="4"/>
  <c r="P31" i="4"/>
  <c r="P32" i="4"/>
  <c r="P33" i="4"/>
  <c r="P34" i="4"/>
  <c r="P35" i="4"/>
  <c r="P36" i="4"/>
  <c r="P37" i="4"/>
  <c r="P38" i="4"/>
  <c r="P39" i="4"/>
  <c r="P40" i="4"/>
  <c r="P41" i="4"/>
  <c r="P42" i="4"/>
  <c r="P43" i="4"/>
  <c r="P44" i="4"/>
  <c r="P45" i="4"/>
  <c r="P46" i="4"/>
  <c r="P47" i="4"/>
  <c r="P48" i="4"/>
  <c r="P49" i="4"/>
  <c r="P50" i="4"/>
  <c r="P51" i="4"/>
  <c r="P52" i="4"/>
  <c r="P53" i="4"/>
  <c r="P54" i="4"/>
  <c r="U7" i="4"/>
  <c r="U8" i="4"/>
  <c r="U9" i="4"/>
  <c r="U10" i="4"/>
  <c r="U11" i="4"/>
  <c r="U12" i="4"/>
  <c r="U13" i="4"/>
  <c r="U14" i="4"/>
  <c r="U15" i="4"/>
  <c r="U16" i="4"/>
  <c r="U17" i="4"/>
  <c r="U18" i="4"/>
  <c r="U19" i="4"/>
  <c r="U20" i="4"/>
  <c r="U21" i="4"/>
  <c r="U22" i="4"/>
  <c r="U23" i="4"/>
  <c r="U24" i="4"/>
  <c r="U25" i="4"/>
  <c r="U26" i="4"/>
  <c r="U27" i="4"/>
  <c r="U28" i="4"/>
  <c r="U29" i="4"/>
  <c r="U30" i="4"/>
  <c r="U31" i="4"/>
  <c r="U32" i="4"/>
  <c r="U33" i="4"/>
  <c r="U34" i="4"/>
  <c r="U35" i="4"/>
  <c r="U36" i="4"/>
  <c r="U37" i="4"/>
  <c r="U38" i="4"/>
  <c r="U39" i="4"/>
  <c r="U40" i="4"/>
  <c r="U41" i="4"/>
  <c r="U42" i="4"/>
  <c r="U43" i="4"/>
  <c r="U44" i="4"/>
  <c r="U45" i="4"/>
  <c r="U46" i="4"/>
  <c r="U47" i="4"/>
  <c r="U48" i="4"/>
  <c r="U49" i="4"/>
  <c r="U50" i="4"/>
  <c r="U51" i="4"/>
  <c r="U52" i="4"/>
  <c r="U53" i="4"/>
  <c r="U54" i="4"/>
  <c r="L45" i="4" l="1"/>
  <c r="I45" i="4"/>
  <c r="J45" i="4" s="1"/>
  <c r="L33" i="4"/>
  <c r="I33" i="4"/>
  <c r="J33" i="4" s="1"/>
  <c r="I21" i="4"/>
  <c r="J21" i="4" s="1"/>
  <c r="L21" i="4"/>
  <c r="I15" i="4"/>
  <c r="J15" i="4" s="1"/>
  <c r="L15" i="4"/>
  <c r="I50" i="4"/>
  <c r="J50" i="4" s="1"/>
  <c r="L50" i="4"/>
  <c r="I44" i="4"/>
  <c r="J44" i="4" s="1"/>
  <c r="L44" i="4"/>
  <c r="I38" i="4"/>
  <c r="J38" i="4" s="1"/>
  <c r="L38" i="4"/>
  <c r="I32" i="4"/>
  <c r="J32" i="4" s="1"/>
  <c r="L32" i="4"/>
  <c r="I26" i="4"/>
  <c r="J26" i="4" s="1"/>
  <c r="L26" i="4"/>
  <c r="I20" i="4"/>
  <c r="J20" i="4" s="1"/>
  <c r="L20" i="4"/>
  <c r="I14" i="4"/>
  <c r="J14" i="4" s="1"/>
  <c r="L14" i="4"/>
  <c r="I8" i="4"/>
  <c r="J8" i="4" s="1"/>
  <c r="L8" i="4"/>
  <c r="I51" i="4"/>
  <c r="J51" i="4" s="1"/>
  <c r="L51" i="4"/>
  <c r="I39" i="4"/>
  <c r="J39" i="4" s="1"/>
  <c r="L39" i="4"/>
  <c r="I27" i="4"/>
  <c r="J27" i="4" s="1"/>
  <c r="L27" i="4"/>
  <c r="I9" i="4"/>
  <c r="J9" i="4" s="1"/>
  <c r="L9" i="4"/>
  <c r="I49" i="4"/>
  <c r="J49" i="4" s="1"/>
  <c r="L49" i="4"/>
  <c r="I43" i="4"/>
  <c r="J43" i="4" s="1"/>
  <c r="L43" i="4"/>
  <c r="I37" i="4"/>
  <c r="J37" i="4" s="1"/>
  <c r="L37" i="4"/>
  <c r="I31" i="4"/>
  <c r="J31" i="4" s="1"/>
  <c r="L31" i="4"/>
  <c r="I25" i="4"/>
  <c r="J25" i="4" s="1"/>
  <c r="L25" i="4"/>
  <c r="I19" i="4"/>
  <c r="J19" i="4" s="1"/>
  <c r="L19" i="4"/>
  <c r="I13" i="4"/>
  <c r="J13" i="4" s="1"/>
  <c r="L13" i="4"/>
  <c r="I7" i="4"/>
  <c r="J7" i="4" s="1"/>
  <c r="L7" i="4"/>
  <c r="I48" i="4"/>
  <c r="J48" i="4" s="1"/>
  <c r="L48" i="4"/>
  <c r="I36" i="4"/>
  <c r="J36" i="4" s="1"/>
  <c r="L36" i="4"/>
  <c r="I30" i="4"/>
  <c r="J30" i="4" s="1"/>
  <c r="L30" i="4"/>
  <c r="I18" i="4"/>
  <c r="J18" i="4" s="1"/>
  <c r="L18" i="4"/>
  <c r="I53" i="4"/>
  <c r="J53" i="4" s="1"/>
  <c r="L53" i="4"/>
  <c r="I47" i="4"/>
  <c r="J47" i="4" s="1"/>
  <c r="L47" i="4"/>
  <c r="I41" i="4"/>
  <c r="J41" i="4" s="1"/>
  <c r="L41" i="4"/>
  <c r="I35" i="4"/>
  <c r="J35" i="4" s="1"/>
  <c r="L35" i="4"/>
  <c r="I29" i="4"/>
  <c r="J29" i="4" s="1"/>
  <c r="L29" i="4"/>
  <c r="I23" i="4"/>
  <c r="J23" i="4" s="1"/>
  <c r="L23" i="4"/>
  <c r="I17" i="4"/>
  <c r="J17" i="4" s="1"/>
  <c r="L17" i="4"/>
  <c r="I11" i="4"/>
  <c r="J11" i="4" s="1"/>
  <c r="L11" i="4"/>
  <c r="I54" i="4"/>
  <c r="J54" i="4" s="1"/>
  <c r="L54" i="4"/>
  <c r="I42" i="4"/>
  <c r="J42" i="4" s="1"/>
  <c r="L42" i="4"/>
  <c r="I24" i="4"/>
  <c r="J24" i="4" s="1"/>
  <c r="L24" i="4"/>
  <c r="I12" i="4"/>
  <c r="J12" i="4" s="1"/>
  <c r="L12" i="4"/>
  <c r="I52" i="4"/>
  <c r="J52" i="4" s="1"/>
  <c r="L52" i="4"/>
  <c r="I46" i="4"/>
  <c r="J46" i="4" s="1"/>
  <c r="L46" i="4"/>
  <c r="I40" i="4"/>
  <c r="J40" i="4" s="1"/>
  <c r="L40" i="4"/>
  <c r="I34" i="4"/>
  <c r="J34" i="4" s="1"/>
  <c r="L34" i="4"/>
  <c r="I28" i="4"/>
  <c r="J28" i="4" s="1"/>
  <c r="L28" i="4"/>
  <c r="I22" i="4"/>
  <c r="J22" i="4" s="1"/>
  <c r="L22" i="4"/>
  <c r="I16" i="4"/>
  <c r="J16" i="4" s="1"/>
  <c r="L16" i="4"/>
  <c r="I10" i="4"/>
  <c r="J10" i="4" s="1"/>
  <c r="L10" i="4"/>
  <c r="B18" i="6"/>
  <c r="D18" i="6"/>
  <c r="I18" i="6"/>
  <c r="L18" i="6"/>
  <c r="N18" i="6"/>
  <c r="O18" i="6"/>
  <c r="P18" i="6"/>
  <c r="Q18" i="6"/>
  <c r="S18" i="6"/>
  <c r="T18" i="6"/>
  <c r="U18" i="6"/>
  <c r="V18" i="6"/>
  <c r="W18" i="6"/>
  <c r="X18" i="6"/>
  <c r="Y18" i="6"/>
  <c r="Z18" i="6"/>
  <c r="AA18" i="6"/>
  <c r="AB18" i="6"/>
  <c r="AC18" i="6"/>
  <c r="AD18" i="6"/>
  <c r="AE18" i="6"/>
  <c r="AF18" i="6"/>
  <c r="AG18" i="6"/>
  <c r="AH18" i="6"/>
  <c r="AI18" i="6"/>
  <c r="AJ18" i="6"/>
  <c r="AK18" i="6"/>
  <c r="AL18" i="6"/>
  <c r="AM18" i="6"/>
  <c r="AN18" i="6"/>
  <c r="AO18" i="6"/>
  <c r="J7" i="6"/>
  <c r="J14" i="6"/>
  <c r="J15" i="6"/>
  <c r="J16" i="6"/>
  <c r="G16" i="6" s="1"/>
  <c r="J17" i="6"/>
  <c r="J8" i="6"/>
  <c r="J9" i="6"/>
  <c r="J10" i="6"/>
  <c r="J11" i="6"/>
  <c r="J12" i="6"/>
  <c r="G12" i="6" s="1"/>
  <c r="J13" i="6"/>
  <c r="M7" i="6"/>
  <c r="M14" i="6"/>
  <c r="M15" i="6"/>
  <c r="M16" i="6"/>
  <c r="M17" i="6"/>
  <c r="M8" i="6"/>
  <c r="M9" i="6"/>
  <c r="M10" i="6"/>
  <c r="M11" i="6"/>
  <c r="M12" i="6"/>
  <c r="M13" i="6"/>
  <c r="R7" i="6"/>
  <c r="R14" i="6"/>
  <c r="R15" i="6"/>
  <c r="R16" i="6"/>
  <c r="R17" i="6"/>
  <c r="R8" i="6"/>
  <c r="R9" i="6"/>
  <c r="R10" i="6"/>
  <c r="R11" i="6"/>
  <c r="R12" i="6"/>
  <c r="R13" i="6"/>
  <c r="G11" i="6" l="1"/>
  <c r="G13" i="6"/>
  <c r="G17" i="6"/>
  <c r="G15" i="6"/>
  <c r="H15" i="6" s="1"/>
  <c r="G10" i="6"/>
  <c r="E10" i="6" s="1"/>
  <c r="F10" i="6" s="1"/>
  <c r="G14" i="6"/>
  <c r="H14" i="6" s="1"/>
  <c r="G9" i="6"/>
  <c r="E9" i="6" s="1"/>
  <c r="F9" i="6" s="1"/>
  <c r="G7" i="6"/>
  <c r="G8" i="6"/>
  <c r="H8" i="6" s="1"/>
  <c r="H17" i="6"/>
  <c r="E17" i="6"/>
  <c r="F17" i="6" s="1"/>
  <c r="H13" i="6"/>
  <c r="E13" i="6"/>
  <c r="F13" i="6" s="1"/>
  <c r="H16" i="6"/>
  <c r="E16" i="6"/>
  <c r="F16" i="6" s="1"/>
  <c r="H10" i="6"/>
  <c r="H12" i="6"/>
  <c r="E12" i="6"/>
  <c r="F12" i="6" s="1"/>
  <c r="H11" i="6"/>
  <c r="E11" i="6"/>
  <c r="F11" i="6" s="1"/>
  <c r="E7" i="6"/>
  <c r="F7" i="6" s="1"/>
  <c r="H7" i="6"/>
  <c r="E8" i="6"/>
  <c r="F8" i="6" s="1"/>
  <c r="B19" i="2"/>
  <c r="D19" i="2"/>
  <c r="I19" i="2"/>
  <c r="L19" i="2"/>
  <c r="N19" i="2"/>
  <c r="O19" i="2"/>
  <c r="P19" i="2"/>
  <c r="Q19" i="2"/>
  <c r="S19" i="2"/>
  <c r="T19" i="2"/>
  <c r="U19" i="2"/>
  <c r="V19" i="2"/>
  <c r="W19" i="2"/>
  <c r="X19" i="2"/>
  <c r="Y19" i="2"/>
  <c r="Z19" i="2"/>
  <c r="AA19" i="2"/>
  <c r="AB19" i="2"/>
  <c r="AC19" i="2"/>
  <c r="AD19" i="2"/>
  <c r="AE19" i="2"/>
  <c r="AF19" i="2"/>
  <c r="AG19" i="2"/>
  <c r="AH19" i="2"/>
  <c r="AI19" i="2"/>
  <c r="AJ19" i="2"/>
  <c r="AK19" i="2"/>
  <c r="AL19" i="2"/>
  <c r="AM19" i="2"/>
  <c r="AN19" i="2"/>
  <c r="AO19" i="2"/>
  <c r="J18" i="2"/>
  <c r="J14" i="2"/>
  <c r="J15" i="2"/>
  <c r="J16" i="2"/>
  <c r="J17" i="2"/>
  <c r="J10" i="2"/>
  <c r="J13" i="2"/>
  <c r="J11" i="2"/>
  <c r="J7" i="2"/>
  <c r="J8" i="2"/>
  <c r="J9" i="2"/>
  <c r="J12" i="2"/>
  <c r="M18" i="2"/>
  <c r="M14" i="2"/>
  <c r="M15" i="2"/>
  <c r="M16" i="2"/>
  <c r="M17" i="2"/>
  <c r="M10" i="2"/>
  <c r="M13" i="2"/>
  <c r="M11" i="2"/>
  <c r="M7" i="2"/>
  <c r="M8" i="2"/>
  <c r="M9" i="2"/>
  <c r="M12" i="2"/>
  <c r="R18" i="2"/>
  <c r="R14" i="2"/>
  <c r="R15" i="2"/>
  <c r="R16" i="2"/>
  <c r="R17" i="2"/>
  <c r="R10" i="2"/>
  <c r="R13" i="2"/>
  <c r="R11" i="2"/>
  <c r="R7" i="2"/>
  <c r="R8" i="2"/>
  <c r="R9" i="2"/>
  <c r="R12" i="2"/>
  <c r="B18" i="5"/>
  <c r="D18" i="5"/>
  <c r="I18" i="5"/>
  <c r="L18" i="5"/>
  <c r="N18" i="5"/>
  <c r="O18" i="5"/>
  <c r="P18" i="5"/>
  <c r="Q18" i="5"/>
  <c r="S18" i="5"/>
  <c r="T18" i="5"/>
  <c r="U18" i="5"/>
  <c r="V18" i="5"/>
  <c r="W18" i="5"/>
  <c r="X18" i="5"/>
  <c r="Y18" i="5"/>
  <c r="Z18" i="5"/>
  <c r="AA18" i="5"/>
  <c r="AB18" i="5"/>
  <c r="AC18" i="5"/>
  <c r="AD18" i="5"/>
  <c r="AE18" i="5"/>
  <c r="AF18" i="5"/>
  <c r="AG18" i="5"/>
  <c r="AH18" i="5"/>
  <c r="AI18" i="5"/>
  <c r="AJ18" i="5"/>
  <c r="AK18" i="5"/>
  <c r="AL18" i="5"/>
  <c r="AM18" i="5"/>
  <c r="AN18" i="5"/>
  <c r="AO18" i="5"/>
  <c r="J7" i="5"/>
  <c r="J8" i="5"/>
  <c r="J9" i="5"/>
  <c r="J10" i="5"/>
  <c r="J11" i="5"/>
  <c r="J12" i="5"/>
  <c r="J13" i="5"/>
  <c r="J14" i="5"/>
  <c r="J15" i="5"/>
  <c r="J16" i="5"/>
  <c r="J17" i="5"/>
  <c r="M7" i="5"/>
  <c r="M8" i="5"/>
  <c r="M9" i="5"/>
  <c r="M10" i="5"/>
  <c r="M11" i="5"/>
  <c r="M12" i="5"/>
  <c r="M13" i="5"/>
  <c r="M14" i="5"/>
  <c r="M15" i="5"/>
  <c r="M16" i="5"/>
  <c r="M17" i="5"/>
  <c r="R7" i="5"/>
  <c r="R8" i="5"/>
  <c r="R9" i="5"/>
  <c r="R10" i="5"/>
  <c r="R11" i="5"/>
  <c r="R12" i="5"/>
  <c r="R13" i="5"/>
  <c r="R14" i="5"/>
  <c r="R15" i="5"/>
  <c r="R16" i="5"/>
  <c r="R17" i="5"/>
  <c r="E14" i="6" l="1"/>
  <c r="F14" i="6" s="1"/>
  <c r="H9" i="6"/>
  <c r="E15" i="6"/>
  <c r="F15" i="6" s="1"/>
  <c r="G17" i="5"/>
  <c r="G9" i="2"/>
  <c r="G17" i="2"/>
  <c r="E17" i="2" s="1"/>
  <c r="F17" i="2" s="1"/>
  <c r="G8" i="2"/>
  <c r="H8" i="2" s="1"/>
  <c r="G16" i="2"/>
  <c r="H16" i="2" s="1"/>
  <c r="G7" i="2"/>
  <c r="E7" i="2" s="1"/>
  <c r="F7" i="2" s="1"/>
  <c r="G15" i="2"/>
  <c r="E15" i="2" s="1"/>
  <c r="F15" i="2" s="1"/>
  <c r="G11" i="2"/>
  <c r="G14" i="2"/>
  <c r="E14" i="2" s="1"/>
  <c r="F14" i="2" s="1"/>
  <c r="G13" i="2"/>
  <c r="E13" i="2" s="1"/>
  <c r="F13" i="2" s="1"/>
  <c r="G18" i="2"/>
  <c r="E18" i="2" s="1"/>
  <c r="F18" i="2" s="1"/>
  <c r="G12" i="2"/>
  <c r="E12" i="2" s="1"/>
  <c r="F12" i="2" s="1"/>
  <c r="G10" i="2"/>
  <c r="E10" i="2" s="1"/>
  <c r="F10" i="2" s="1"/>
  <c r="E9" i="2"/>
  <c r="F9" i="2" s="1"/>
  <c r="H9" i="2"/>
  <c r="E16" i="2"/>
  <c r="F16" i="2" s="1"/>
  <c r="E8" i="2"/>
  <c r="F8" i="2" s="1"/>
  <c r="H14" i="2"/>
  <c r="E11" i="2"/>
  <c r="F11" i="2" s="1"/>
  <c r="H11" i="2"/>
  <c r="G11" i="5"/>
  <c r="G13" i="5"/>
  <c r="E13" i="5" s="1"/>
  <c r="F13" i="5" s="1"/>
  <c r="G7" i="5"/>
  <c r="E7" i="5" s="1"/>
  <c r="F7" i="5" s="1"/>
  <c r="G12" i="5"/>
  <c r="E12" i="5" s="1"/>
  <c r="F12" i="5" s="1"/>
  <c r="G14" i="5"/>
  <c r="E14" i="5" s="1"/>
  <c r="F14" i="5" s="1"/>
  <c r="G8" i="5"/>
  <c r="E8" i="5" s="1"/>
  <c r="F8" i="5" s="1"/>
  <c r="G16" i="5"/>
  <c r="H16" i="5" s="1"/>
  <c r="G10" i="5"/>
  <c r="E10" i="5" s="1"/>
  <c r="F10" i="5" s="1"/>
  <c r="G15" i="5"/>
  <c r="H15" i="5" s="1"/>
  <c r="G9" i="5"/>
  <c r="H9" i="5" s="1"/>
  <c r="H14" i="5"/>
  <c r="E17" i="5"/>
  <c r="F17" i="5" s="1"/>
  <c r="H17" i="5"/>
  <c r="H11" i="5"/>
  <c r="E11" i="5"/>
  <c r="F11" i="5" s="1"/>
  <c r="H13" i="5"/>
  <c r="H7" i="5"/>
  <c r="B10" i="10"/>
  <c r="D10" i="10"/>
  <c r="I10" i="10"/>
  <c r="L10" i="10"/>
  <c r="N10" i="10"/>
  <c r="O10" i="10"/>
  <c r="P10" i="10"/>
  <c r="Q10" i="10"/>
  <c r="S10" i="10"/>
  <c r="T10" i="10"/>
  <c r="U10" i="10"/>
  <c r="V10" i="10"/>
  <c r="W10" i="10"/>
  <c r="X10" i="10"/>
  <c r="Y10" i="10"/>
  <c r="Z10" i="10"/>
  <c r="AA10" i="10"/>
  <c r="AB10" i="10"/>
  <c r="AC10" i="10"/>
  <c r="AD10" i="10"/>
  <c r="AE10" i="10"/>
  <c r="AF10" i="10"/>
  <c r="AG10" i="10"/>
  <c r="AH10" i="10"/>
  <c r="AI10" i="10"/>
  <c r="AJ10" i="10"/>
  <c r="AK10" i="10"/>
  <c r="AL10" i="10"/>
  <c r="AM10" i="10"/>
  <c r="AN10" i="10"/>
  <c r="AO10" i="10"/>
  <c r="J7" i="10"/>
  <c r="J8" i="10"/>
  <c r="J9" i="10"/>
  <c r="M7" i="10"/>
  <c r="M8" i="10"/>
  <c r="M9" i="10"/>
  <c r="R7" i="10"/>
  <c r="R8" i="10"/>
  <c r="R9" i="10"/>
  <c r="B11" i="9"/>
  <c r="D11" i="9"/>
  <c r="I11" i="9"/>
  <c r="L11" i="9"/>
  <c r="N11" i="9"/>
  <c r="O11" i="9"/>
  <c r="P11" i="9"/>
  <c r="Q11" i="9"/>
  <c r="S11" i="9"/>
  <c r="T11" i="9"/>
  <c r="U11" i="9"/>
  <c r="V11" i="9"/>
  <c r="W11" i="9"/>
  <c r="X11" i="9"/>
  <c r="Y11" i="9"/>
  <c r="Z11" i="9"/>
  <c r="AA11" i="9"/>
  <c r="AB11" i="9"/>
  <c r="AC11" i="9"/>
  <c r="AD11" i="9"/>
  <c r="AE11" i="9"/>
  <c r="AF11" i="9"/>
  <c r="AG11" i="9"/>
  <c r="AH11" i="9"/>
  <c r="AI11" i="9"/>
  <c r="AJ11" i="9"/>
  <c r="AK11" i="9"/>
  <c r="AL11" i="9"/>
  <c r="AM11" i="9"/>
  <c r="AN11" i="9"/>
  <c r="AO11" i="9"/>
  <c r="J9" i="9"/>
  <c r="J8" i="9"/>
  <c r="J10" i="9"/>
  <c r="J7" i="9"/>
  <c r="M9" i="9"/>
  <c r="M8" i="9"/>
  <c r="M10" i="9"/>
  <c r="M7" i="9"/>
  <c r="R9" i="9"/>
  <c r="R8" i="9"/>
  <c r="R10" i="9"/>
  <c r="R7" i="9"/>
  <c r="B8" i="8"/>
  <c r="D8" i="8"/>
  <c r="I8" i="8"/>
  <c r="L8" i="8"/>
  <c r="N8" i="8"/>
  <c r="O8" i="8"/>
  <c r="P8" i="8"/>
  <c r="Q8" i="8"/>
  <c r="S8" i="8"/>
  <c r="T8" i="8"/>
  <c r="U8" i="8"/>
  <c r="V8" i="8"/>
  <c r="W8" i="8"/>
  <c r="X8" i="8"/>
  <c r="Y8" i="8"/>
  <c r="Z8" i="8"/>
  <c r="AA8" i="8"/>
  <c r="AB8" i="8"/>
  <c r="AC8" i="8"/>
  <c r="AD8" i="8"/>
  <c r="AE8" i="8"/>
  <c r="AF8" i="8"/>
  <c r="AG8" i="8"/>
  <c r="AH8" i="8"/>
  <c r="AI8" i="8"/>
  <c r="AJ8" i="8"/>
  <c r="AK8" i="8"/>
  <c r="AL8" i="8"/>
  <c r="AM8" i="8"/>
  <c r="AN8" i="8"/>
  <c r="AO8" i="8"/>
  <c r="J7" i="8"/>
  <c r="M7" i="8"/>
  <c r="R7" i="8"/>
  <c r="C22" i="7"/>
  <c r="E22" i="7"/>
  <c r="J22" i="7"/>
  <c r="M22" i="7"/>
  <c r="O22" i="7"/>
  <c r="P22" i="7"/>
  <c r="Q22" i="7"/>
  <c r="R22" i="7"/>
  <c r="T22" i="7"/>
  <c r="U22" i="7"/>
  <c r="V22" i="7"/>
  <c r="W22" i="7"/>
  <c r="X22" i="7"/>
  <c r="Y22" i="7"/>
  <c r="Z22" i="7"/>
  <c r="AA22" i="7"/>
  <c r="AB22" i="7"/>
  <c r="AC22" i="7"/>
  <c r="AD22" i="7"/>
  <c r="AE22" i="7"/>
  <c r="AF22" i="7"/>
  <c r="AG22" i="7"/>
  <c r="AH22" i="7"/>
  <c r="AI22" i="7"/>
  <c r="AJ22" i="7"/>
  <c r="AK22" i="7"/>
  <c r="AL22" i="7"/>
  <c r="AM22" i="7"/>
  <c r="AN22" i="7"/>
  <c r="AO22" i="7"/>
  <c r="AP22" i="7"/>
  <c r="K7" i="7"/>
  <c r="K8" i="7"/>
  <c r="K11" i="7"/>
  <c r="K12" i="7"/>
  <c r="K19" i="7"/>
  <c r="K20" i="7"/>
  <c r="K21" i="7"/>
  <c r="K16" i="7"/>
  <c r="K15" i="7"/>
  <c r="K9" i="7"/>
  <c r="K13" i="7"/>
  <c r="K18" i="7"/>
  <c r="K17" i="7"/>
  <c r="K10" i="7"/>
  <c r="K14" i="7"/>
  <c r="N7" i="7"/>
  <c r="N8" i="7"/>
  <c r="N11" i="7"/>
  <c r="N12" i="7"/>
  <c r="N19" i="7"/>
  <c r="N20" i="7"/>
  <c r="N21" i="7"/>
  <c r="N16" i="7"/>
  <c r="N15" i="7"/>
  <c r="N9" i="7"/>
  <c r="N13" i="7"/>
  <c r="N18" i="7"/>
  <c r="N17" i="7"/>
  <c r="N10" i="7"/>
  <c r="N14" i="7"/>
  <c r="S7" i="7"/>
  <c r="S8" i="7"/>
  <c r="S11" i="7"/>
  <c r="S12" i="7"/>
  <c r="S19" i="7"/>
  <c r="S20" i="7"/>
  <c r="S21" i="7"/>
  <c r="S16" i="7"/>
  <c r="S15" i="7"/>
  <c r="S9" i="7"/>
  <c r="S13" i="7"/>
  <c r="S18" i="7"/>
  <c r="S17" i="7"/>
  <c r="S10" i="7"/>
  <c r="S14" i="7"/>
  <c r="H10" i="5" l="1"/>
  <c r="E16" i="5"/>
  <c r="F16" i="5" s="1"/>
  <c r="H12" i="5"/>
  <c r="H18" i="2"/>
  <c r="H17" i="2"/>
  <c r="H10" i="2"/>
  <c r="H12" i="2"/>
  <c r="H13" i="2"/>
  <c r="H7" i="2"/>
  <c r="H15" i="2"/>
  <c r="H8" i="5"/>
  <c r="E9" i="5"/>
  <c r="F9" i="5" s="1"/>
  <c r="E15" i="5"/>
  <c r="F15" i="5" s="1"/>
  <c r="G8" i="10"/>
  <c r="G9" i="10"/>
  <c r="E9" i="10" s="1"/>
  <c r="F9" i="10" s="1"/>
  <c r="G7" i="10"/>
  <c r="H7" i="10" s="1"/>
  <c r="E8" i="10"/>
  <c r="F8" i="10" s="1"/>
  <c r="H8" i="10"/>
  <c r="G9" i="9"/>
  <c r="G7" i="9"/>
  <c r="E7" i="9" s="1"/>
  <c r="F7" i="9" s="1"/>
  <c r="G10" i="9"/>
  <c r="E10" i="9" s="1"/>
  <c r="F10" i="9" s="1"/>
  <c r="G8" i="9"/>
  <c r="E8" i="9" s="1"/>
  <c r="F8" i="9" s="1"/>
  <c r="E9" i="9"/>
  <c r="F9" i="9" s="1"/>
  <c r="H9" i="9"/>
  <c r="H7" i="9"/>
  <c r="G7" i="8"/>
  <c r="E7" i="8"/>
  <c r="F7" i="8" s="1"/>
  <c r="H7" i="8"/>
  <c r="H9" i="7"/>
  <c r="H12" i="7"/>
  <c r="H14" i="7"/>
  <c r="F14" i="7" s="1"/>
  <c r="G14" i="7" s="1"/>
  <c r="H15" i="7"/>
  <c r="I15" i="7" s="1"/>
  <c r="H11" i="7"/>
  <c r="I11" i="7" s="1"/>
  <c r="H13" i="7"/>
  <c r="I13" i="7" s="1"/>
  <c r="H10" i="7"/>
  <c r="I10" i="7" s="1"/>
  <c r="H16" i="7"/>
  <c r="I16" i="7" s="1"/>
  <c r="H8" i="7"/>
  <c r="F8" i="7" s="1"/>
  <c r="G8" i="7" s="1"/>
  <c r="H17" i="7"/>
  <c r="F17" i="7" s="1"/>
  <c r="G17" i="7" s="1"/>
  <c r="H21" i="7"/>
  <c r="I21" i="7" s="1"/>
  <c r="H7" i="7"/>
  <c r="F7" i="7" s="1"/>
  <c r="G7" i="7" s="1"/>
  <c r="H19" i="7"/>
  <c r="H18" i="7"/>
  <c r="F18" i="7" s="1"/>
  <c r="G18" i="7" s="1"/>
  <c r="H20" i="7"/>
  <c r="F20" i="7" s="1"/>
  <c r="G20" i="7" s="1"/>
  <c r="I19" i="7"/>
  <c r="F19" i="7"/>
  <c r="G19" i="7" s="1"/>
  <c r="I9" i="7"/>
  <c r="F9" i="7"/>
  <c r="G9" i="7" s="1"/>
  <c r="I12" i="7"/>
  <c r="F12" i="7"/>
  <c r="G12" i="7" s="1"/>
  <c r="F11" i="7"/>
  <c r="G11" i="7" s="1"/>
  <c r="F10" i="7"/>
  <c r="G10" i="7" s="1"/>
  <c r="F21" i="7"/>
  <c r="G21" i="7" s="1"/>
  <c r="I18" i="7"/>
  <c r="I20" i="7"/>
  <c r="H9" i="10" l="1"/>
  <c r="F16" i="7"/>
  <c r="G16" i="7" s="1"/>
  <c r="I14" i="7"/>
  <c r="E7" i="10"/>
  <c r="F7" i="10" s="1"/>
  <c r="H8" i="9"/>
  <c r="H10" i="9"/>
  <c r="I7" i="7"/>
  <c r="F13" i="7"/>
  <c r="G13" i="7" s="1"/>
  <c r="F15" i="7"/>
  <c r="G15" i="7" s="1"/>
  <c r="I8" i="7"/>
  <c r="I17" i="7"/>
  <c r="F50" i="10" l="1"/>
  <c r="F49" i="10"/>
  <c r="F48" i="10"/>
  <c r="F47" i="10"/>
  <c r="F46" i="10"/>
  <c r="F45" i="10"/>
  <c r="F44" i="10"/>
  <c r="F43" i="10"/>
  <c r="F42" i="10"/>
  <c r="F41" i="10"/>
  <c r="F40" i="10"/>
  <c r="F39" i="10"/>
  <c r="F38" i="10"/>
  <c r="F37" i="10"/>
  <c r="F36" i="10"/>
  <c r="F35" i="10"/>
  <c r="F34" i="10"/>
  <c r="F33" i="10"/>
  <c r="F32" i="10"/>
  <c r="F31" i="10"/>
  <c r="F30" i="10"/>
  <c r="F29" i="10"/>
  <c r="F28" i="10"/>
  <c r="F27" i="10"/>
  <c r="F26" i="10"/>
  <c r="F25" i="10"/>
  <c r="F24" i="10"/>
  <c r="F23" i="10"/>
  <c r="F22" i="10"/>
  <c r="F21" i="10"/>
  <c r="F51" i="9"/>
  <c r="F50" i="9"/>
  <c r="F49" i="9"/>
  <c r="F48" i="9"/>
  <c r="F47" i="9"/>
  <c r="F46" i="9"/>
  <c r="F45" i="9"/>
  <c r="F44" i="9"/>
  <c r="F43" i="9"/>
  <c r="F42" i="9"/>
  <c r="F41" i="9"/>
  <c r="F40" i="9"/>
  <c r="F39" i="9"/>
  <c r="F38" i="9"/>
  <c r="F37" i="9"/>
  <c r="F36" i="9"/>
  <c r="F35" i="9"/>
  <c r="F34" i="9"/>
  <c r="F33" i="9"/>
  <c r="F32" i="9"/>
  <c r="F31" i="9"/>
  <c r="F30" i="9"/>
  <c r="F29" i="9"/>
  <c r="F28" i="9"/>
  <c r="F27" i="9"/>
  <c r="F26" i="9"/>
  <c r="F25" i="9"/>
  <c r="F24" i="9"/>
  <c r="F23" i="9"/>
  <c r="F22" i="9"/>
  <c r="F48" i="8"/>
  <c r="F47" i="8"/>
  <c r="F46" i="8"/>
  <c r="F45" i="8"/>
  <c r="F44" i="8"/>
  <c r="F43" i="8"/>
  <c r="F42" i="8"/>
  <c r="F41" i="8"/>
  <c r="F40" i="8"/>
  <c r="F39" i="8"/>
  <c r="F38" i="8"/>
  <c r="F37" i="8"/>
  <c r="F36" i="8"/>
  <c r="F35" i="8"/>
  <c r="F34" i="8"/>
  <c r="F33" i="8"/>
  <c r="F32" i="8"/>
  <c r="F31" i="8"/>
  <c r="F30" i="8"/>
  <c r="F29" i="8"/>
  <c r="F28" i="8"/>
  <c r="F27" i="8"/>
  <c r="F26" i="8"/>
  <c r="F25" i="8"/>
  <c r="F24" i="8"/>
  <c r="F23" i="8"/>
  <c r="F22" i="8"/>
  <c r="F21" i="8"/>
  <c r="F20" i="8"/>
  <c r="F19" i="8"/>
  <c r="F62" i="7"/>
  <c r="F61" i="7"/>
  <c r="F60" i="7"/>
  <c r="F59" i="7"/>
  <c r="F58" i="7"/>
  <c r="F57" i="7"/>
  <c r="F56" i="7"/>
  <c r="F55" i="7"/>
  <c r="F54" i="7"/>
  <c r="F53" i="7"/>
  <c r="F52" i="7"/>
  <c r="F51" i="7"/>
  <c r="F50" i="7"/>
  <c r="F49" i="7"/>
  <c r="F48" i="7"/>
  <c r="F47" i="7"/>
  <c r="F46" i="7"/>
  <c r="F45" i="7"/>
  <c r="F44" i="7"/>
  <c r="F43" i="7"/>
  <c r="F42" i="7"/>
  <c r="F41" i="7"/>
  <c r="F40" i="7"/>
  <c r="F39" i="7"/>
  <c r="F38" i="7"/>
  <c r="F37" i="7"/>
  <c r="F36" i="7"/>
  <c r="F35" i="7"/>
  <c r="F34" i="7"/>
  <c r="F33" i="7"/>
  <c r="F58" i="6"/>
  <c r="F57" i="6"/>
  <c r="F56" i="6"/>
  <c r="F55" i="6"/>
  <c r="F54" i="6"/>
  <c r="F53" i="6"/>
  <c r="F52" i="6"/>
  <c r="F51" i="6"/>
  <c r="F50" i="6"/>
  <c r="F49" i="6"/>
  <c r="F48" i="6"/>
  <c r="F47" i="6"/>
  <c r="F46" i="6"/>
  <c r="F45" i="6"/>
  <c r="F44" i="6"/>
  <c r="F43" i="6"/>
  <c r="F42" i="6"/>
  <c r="F41" i="6"/>
  <c r="F40" i="6"/>
  <c r="F39" i="6"/>
  <c r="F38" i="6"/>
  <c r="F37" i="6"/>
  <c r="F36" i="6"/>
  <c r="F35" i="6"/>
  <c r="F34" i="6"/>
  <c r="F33" i="6"/>
  <c r="F32" i="6"/>
  <c r="F31" i="6"/>
  <c r="F30" i="6"/>
  <c r="F29" i="6"/>
  <c r="F59" i="2" l="1"/>
  <c r="F58" i="2"/>
  <c r="F57" i="2"/>
  <c r="F56" i="2"/>
  <c r="F55" i="2"/>
  <c r="F54" i="2"/>
  <c r="F53" i="2"/>
  <c r="F52" i="2"/>
  <c r="F51" i="2"/>
  <c r="F50" i="2"/>
  <c r="F49" i="2"/>
  <c r="F48" i="2"/>
  <c r="F47" i="2"/>
  <c r="F46" i="2"/>
  <c r="F45" i="2"/>
  <c r="F44" i="2"/>
  <c r="F43" i="2"/>
  <c r="F42" i="2"/>
  <c r="F41" i="2"/>
  <c r="F40" i="2"/>
  <c r="F39" i="2"/>
  <c r="F38" i="2"/>
  <c r="F37" i="2"/>
  <c r="F36" i="2"/>
  <c r="F35" i="2"/>
  <c r="F34" i="2"/>
  <c r="F33" i="2"/>
  <c r="F32" i="2"/>
  <c r="F31" i="2"/>
  <c r="F30" i="2"/>
  <c r="F58" i="5" l="1"/>
  <c r="F57" i="5"/>
  <c r="F56" i="5"/>
  <c r="F55" i="5"/>
  <c r="F54" i="5"/>
  <c r="F53" i="5"/>
  <c r="F52" i="5"/>
  <c r="F51" i="5"/>
  <c r="F50" i="5"/>
  <c r="F49" i="5"/>
  <c r="F48" i="5"/>
  <c r="F47" i="5"/>
  <c r="F46" i="5"/>
  <c r="F45" i="5"/>
  <c r="F44" i="5"/>
  <c r="F43" i="5"/>
  <c r="F42" i="5"/>
  <c r="F41" i="5"/>
  <c r="F40" i="5"/>
  <c r="F39" i="5"/>
  <c r="F38" i="5"/>
  <c r="F37" i="5"/>
  <c r="F36" i="5"/>
  <c r="F35" i="5"/>
  <c r="F34" i="5"/>
  <c r="F33" i="5"/>
  <c r="F32" i="5"/>
  <c r="F31" i="5"/>
  <c r="F30" i="5"/>
  <c r="F29" i="5"/>
  <c r="G11" i="9" l="1"/>
  <c r="H55" i="4"/>
  <c r="M55" i="4"/>
  <c r="P55" i="4"/>
  <c r="U55" i="4"/>
  <c r="CE7" i="4"/>
  <c r="CE8" i="4"/>
  <c r="CE9" i="4"/>
  <c r="CE10" i="4"/>
  <c r="CE11" i="4"/>
  <c r="CE12" i="4"/>
  <c r="CE13" i="4"/>
  <c r="CE14" i="4"/>
  <c r="CE15" i="4"/>
  <c r="CE16" i="4"/>
  <c r="CE17" i="4"/>
  <c r="CE18" i="4"/>
  <c r="CE19" i="4"/>
  <c r="CE20" i="4"/>
  <c r="CE21" i="4"/>
  <c r="CE22" i="4"/>
  <c r="CE23" i="4"/>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58" i="6"/>
  <c r="E51" i="9"/>
  <c r="E58" i="5"/>
  <c r="E62" i="7"/>
  <c r="E48" i="8"/>
  <c r="E50" i="10"/>
  <c r="E57" i="6"/>
  <c r="E50" i="9"/>
  <c r="E57" i="5"/>
  <c r="E61" i="7"/>
  <c r="E47" i="8"/>
  <c r="E49" i="10"/>
  <c r="E56" i="6"/>
  <c r="E49" i="9"/>
  <c r="E56" i="5"/>
  <c r="E60" i="7"/>
  <c r="E46" i="8"/>
  <c r="E48" i="10"/>
  <c r="E55" i="6"/>
  <c r="E48" i="9"/>
  <c r="E55" i="5"/>
  <c r="E59" i="7"/>
  <c r="E45" i="8"/>
  <c r="E47" i="10"/>
  <c r="E54" i="6"/>
  <c r="E47" i="9"/>
  <c r="E54" i="5"/>
  <c r="E58" i="7"/>
  <c r="E44" i="8"/>
  <c r="E46" i="10"/>
  <c r="E53" i="6"/>
  <c r="E46" i="9"/>
  <c r="E53" i="5"/>
  <c r="E57" i="7"/>
  <c r="E43" i="8"/>
  <c r="E45" i="10"/>
  <c r="E52" i="6"/>
  <c r="E45" i="9"/>
  <c r="E52" i="5"/>
  <c r="E56" i="7"/>
  <c r="E42" i="8"/>
  <c r="E44" i="10"/>
  <c r="E51" i="6"/>
  <c r="E44" i="9"/>
  <c r="E51" i="5"/>
  <c r="E55" i="7"/>
  <c r="E41" i="8"/>
  <c r="E43" i="10"/>
  <c r="E50" i="6"/>
  <c r="E43" i="9"/>
  <c r="E50" i="5"/>
  <c r="E54" i="7"/>
  <c r="E40" i="8"/>
  <c r="E42" i="10"/>
  <c r="E49" i="6"/>
  <c r="E42" i="9"/>
  <c r="E49" i="5"/>
  <c r="E53" i="7"/>
  <c r="E39" i="8"/>
  <c r="E41" i="10"/>
  <c r="E48" i="6"/>
  <c r="E41" i="9"/>
  <c r="E48" i="5"/>
  <c r="E52" i="7"/>
  <c r="E38" i="8"/>
  <c r="E40" i="10"/>
  <c r="E47" i="6"/>
  <c r="E40" i="9"/>
  <c r="E47" i="5"/>
  <c r="E51" i="7"/>
  <c r="E37" i="8"/>
  <c r="E39" i="10"/>
  <c r="E46" i="6"/>
  <c r="E39" i="9"/>
  <c r="E46" i="5"/>
  <c r="E50" i="7"/>
  <c r="E36" i="8"/>
  <c r="E38" i="10"/>
  <c r="E45" i="6"/>
  <c r="E38" i="9"/>
  <c r="E45" i="5"/>
  <c r="E49" i="7"/>
  <c r="E35" i="8"/>
  <c r="E37" i="10"/>
  <c r="E44" i="6"/>
  <c r="E37" i="9"/>
  <c r="E44" i="5"/>
  <c r="E48" i="7"/>
  <c r="E34" i="8"/>
  <c r="E36" i="10"/>
  <c r="E43" i="6"/>
  <c r="E36" i="9"/>
  <c r="E43" i="5"/>
  <c r="E47" i="7"/>
  <c r="E33" i="8"/>
  <c r="E35" i="10"/>
  <c r="E42" i="6"/>
  <c r="E35" i="9"/>
  <c r="E42" i="5"/>
  <c r="E46" i="7"/>
  <c r="E32" i="8"/>
  <c r="E34" i="10"/>
  <c r="E41" i="6"/>
  <c r="E34" i="9"/>
  <c r="E41" i="5"/>
  <c r="E45" i="7"/>
  <c r="E31" i="8"/>
  <c r="E33" i="10"/>
  <c r="E40" i="6"/>
  <c r="E33" i="9"/>
  <c r="E40" i="5"/>
  <c r="E44" i="7"/>
  <c r="E30" i="8"/>
  <c r="E32" i="10"/>
  <c r="E39" i="6"/>
  <c r="E32" i="9"/>
  <c r="E39" i="5"/>
  <c r="E43" i="7"/>
  <c r="E29" i="8"/>
  <c r="E31" i="10"/>
  <c r="E38" i="6"/>
  <c r="E31" i="9"/>
  <c r="E38" i="5"/>
  <c r="E42" i="7"/>
  <c r="E28" i="8"/>
  <c r="E30" i="10"/>
  <c r="E37" i="6"/>
  <c r="E30" i="9"/>
  <c r="E37" i="5"/>
  <c r="E41" i="7"/>
  <c r="E27" i="8"/>
  <c r="E29" i="10"/>
  <c r="E36" i="6"/>
  <c r="E29" i="9"/>
  <c r="E36" i="5"/>
  <c r="E40" i="7"/>
  <c r="E26" i="8"/>
  <c r="E28" i="10"/>
  <c r="E35" i="6"/>
  <c r="E28" i="9"/>
  <c r="E35" i="5"/>
  <c r="E39" i="7"/>
  <c r="E25" i="8"/>
  <c r="E27" i="10"/>
  <c r="E34" i="6"/>
  <c r="E27" i="9"/>
  <c r="E34" i="5"/>
  <c r="E38" i="7"/>
  <c r="E24" i="8"/>
  <c r="E26" i="10"/>
  <c r="E33" i="6"/>
  <c r="E26" i="9"/>
  <c r="E33" i="5"/>
  <c r="E37" i="7"/>
  <c r="E23" i="8"/>
  <c r="E25" i="10"/>
  <c r="E32" i="6"/>
  <c r="E25" i="9"/>
  <c r="E32" i="5"/>
  <c r="E36" i="7"/>
  <c r="E22" i="8"/>
  <c r="E24" i="10"/>
  <c r="E31" i="6"/>
  <c r="E24" i="9"/>
  <c r="E31" i="5"/>
  <c r="E35" i="7"/>
  <c r="E21" i="8"/>
  <c r="E23" i="10"/>
  <c r="E30" i="6"/>
  <c r="E23" i="9"/>
  <c r="E30" i="5"/>
  <c r="E34" i="7"/>
  <c r="E20" i="8"/>
  <c r="E22" i="10"/>
  <c r="E29" i="6"/>
  <c r="E22" i="9"/>
  <c r="E29" i="5"/>
  <c r="E33" i="7"/>
  <c r="E19" i="8"/>
  <c r="E21" i="10"/>
  <c r="R10" i="10"/>
  <c r="M10" i="10"/>
  <c r="J10" i="10"/>
  <c r="G10" i="10"/>
  <c r="R11" i="9"/>
  <c r="M11" i="9"/>
  <c r="J11" i="9"/>
  <c r="R8" i="8"/>
  <c r="M8" i="8"/>
  <c r="J8" i="8"/>
  <c r="G8" i="8"/>
  <c r="S22" i="7"/>
  <c r="N22" i="7"/>
  <c r="K22" i="7"/>
  <c r="R18" i="6"/>
  <c r="J18" i="6"/>
  <c r="R18" i="5"/>
  <c r="M18" i="5"/>
  <c r="J18" i="5"/>
  <c r="G18" i="5"/>
  <c r="E18" i="5"/>
  <c r="J19" i="2"/>
  <c r="M19" i="2"/>
  <c r="R19" i="2"/>
  <c r="AZ24" i="4"/>
  <c r="BG15" i="4"/>
  <c r="BF15" i="4" s="1"/>
  <c r="BG16" i="4"/>
  <c r="BF16" i="4" s="1"/>
  <c r="BB16" i="4" s="1"/>
  <c r="BA16" i="4" s="1"/>
  <c r="AY16" i="4" s="1"/>
  <c r="BG17" i="4"/>
  <c r="BF17" i="4" s="1"/>
  <c r="BB17" i="4" s="1"/>
  <c r="BA17" i="4" s="1"/>
  <c r="AY17" i="4" s="1"/>
  <c r="BG18" i="4"/>
  <c r="BF18" i="4" s="1"/>
  <c r="BB18" i="4" s="1"/>
  <c r="BA18" i="4" s="1"/>
  <c r="AY18" i="4" s="1"/>
  <c r="BG19" i="4"/>
  <c r="BF19" i="4" s="1"/>
  <c r="BB19" i="4" s="1"/>
  <c r="BA19" i="4" s="1"/>
  <c r="AY19" i="4" s="1"/>
  <c r="BG20" i="4"/>
  <c r="BF20" i="4" s="1"/>
  <c r="BB20" i="4" s="1"/>
  <c r="BA20" i="4" s="1"/>
  <c r="AY20" i="4" s="1"/>
  <c r="BG21" i="4"/>
  <c r="BF21" i="4" s="1"/>
  <c r="BB21" i="4" s="1"/>
  <c r="BA21" i="4" s="1"/>
  <c r="AY21" i="4" s="1"/>
  <c r="BG22" i="4"/>
  <c r="BF22" i="4" s="1"/>
  <c r="BB22" i="4" s="1"/>
  <c r="BA22" i="4" s="1"/>
  <c r="AY22" i="4" s="1"/>
  <c r="BG23" i="4"/>
  <c r="BF23" i="4" s="1"/>
  <c r="BB23" i="4" s="1"/>
  <c r="BA23" i="4" s="1"/>
  <c r="AY23" i="4" s="1"/>
  <c r="BB7" i="4"/>
  <c r="BB8" i="4"/>
  <c r="BB9" i="4"/>
  <c r="BB10" i="4"/>
  <c r="BB11" i="4"/>
  <c r="BB12" i="4"/>
  <c r="BB13" i="4"/>
  <c r="BB14" i="4"/>
  <c r="BC24" i="4"/>
  <c r="AZ34" i="4" s="1"/>
  <c r="BD24" i="4"/>
  <c r="AZ35" i="4" s="1"/>
  <c r="BE24" i="4"/>
  <c r="AZ36" i="4" s="1"/>
  <c r="BG7" i="4"/>
  <c r="BG8" i="4"/>
  <c r="BG9" i="4"/>
  <c r="BG10" i="4"/>
  <c r="BG11" i="4"/>
  <c r="BG12" i="4"/>
  <c r="BG13" i="4"/>
  <c r="BG14" i="4"/>
  <c r="BH24" i="4"/>
  <c r="AZ39" i="4" s="1"/>
  <c r="BI24" i="4"/>
  <c r="BJ24" i="4"/>
  <c r="AZ40" i="4" s="1"/>
  <c r="BK24" i="4"/>
  <c r="AZ41" i="4" s="1"/>
  <c r="BL24" i="4"/>
  <c r="AZ42" i="4" s="1"/>
  <c r="BM24" i="4"/>
  <c r="AZ43" i="4" s="1"/>
  <c r="BN24" i="4"/>
  <c r="AZ44" i="4" s="1"/>
  <c r="BO24" i="4"/>
  <c r="AZ45" i="4" s="1"/>
  <c r="BP24" i="4"/>
  <c r="AZ46" i="4" s="1"/>
  <c r="BQ24" i="4"/>
  <c r="AZ47" i="4" s="1"/>
  <c r="BR24" i="4"/>
  <c r="AZ48" i="4" s="1"/>
  <c r="BS24" i="4"/>
  <c r="AZ49" i="4" s="1"/>
  <c r="BT24" i="4"/>
  <c r="AZ50" i="4" s="1"/>
  <c r="BU24" i="4"/>
  <c r="AZ51" i="4" s="1"/>
  <c r="BV24" i="4"/>
  <c r="AZ52" i="4" s="1"/>
  <c r="BW24" i="4"/>
  <c r="AZ53" i="4" s="1"/>
  <c r="BX24" i="4"/>
  <c r="AZ54" i="4" s="1"/>
  <c r="BY24" i="4"/>
  <c r="AZ55" i="4" s="1"/>
  <c r="BZ24" i="4"/>
  <c r="AZ56" i="4" s="1"/>
  <c r="CA24" i="4"/>
  <c r="AZ57" i="4" s="1"/>
  <c r="CB24" i="4"/>
  <c r="AZ58" i="4" s="1"/>
  <c r="CC24" i="4"/>
  <c r="AZ59" i="4" s="1"/>
  <c r="CD24" i="4"/>
  <c r="AZ31" i="4" s="1"/>
  <c r="AY7" i="4"/>
  <c r="AY8" i="4"/>
  <c r="AY9" i="4"/>
  <c r="AY10" i="4"/>
  <c r="AY11" i="4"/>
  <c r="AY12" i="4"/>
  <c r="AY13" i="4"/>
  <c r="AY14" i="4"/>
  <c r="BG24" i="4" l="1"/>
  <c r="BB15" i="4"/>
  <c r="BA15" i="4" s="1"/>
  <c r="BF24" i="4"/>
  <c r="AZ37" i="4" s="1"/>
  <c r="BG55" i="4"/>
  <c r="BG49" i="4"/>
  <c r="BG43" i="4"/>
  <c r="BG38" i="4"/>
  <c r="BG32" i="4"/>
  <c r="BG54" i="4"/>
  <c r="BG48" i="4"/>
  <c r="BG42" i="4"/>
  <c r="BG37" i="4"/>
  <c r="BG31" i="4"/>
  <c r="BG59" i="4"/>
  <c r="BG53" i="4"/>
  <c r="BG47" i="4"/>
  <c r="BG41" i="4"/>
  <c r="BG36" i="4"/>
  <c r="BG34" i="4"/>
  <c r="BG58" i="4"/>
  <c r="BG52" i="4"/>
  <c r="BG46" i="4"/>
  <c r="BG40" i="4"/>
  <c r="BG35" i="4"/>
  <c r="BG57" i="4"/>
  <c r="BG51" i="4"/>
  <c r="BG45" i="4"/>
  <c r="BG56" i="4"/>
  <c r="BG50" i="4"/>
  <c r="BG44" i="4"/>
  <c r="BG39" i="4"/>
  <c r="BG33" i="4"/>
  <c r="G19" i="2"/>
  <c r="BA24" i="4"/>
  <c r="AY15" i="4"/>
  <c r="AY24" i="4" s="1"/>
  <c r="K55" i="4"/>
  <c r="BB56" i="4"/>
  <c r="L33" i="3" s="1"/>
  <c r="BB57" i="4"/>
  <c r="L34" i="3" s="1"/>
  <c r="BB37" i="4"/>
  <c r="L13" i="3" s="1"/>
  <c r="BB44" i="4"/>
  <c r="L21" i="3" s="1"/>
  <c r="BB52" i="4"/>
  <c r="L29" i="3" s="1"/>
  <c r="BB32" i="4"/>
  <c r="L8" i="3" s="1"/>
  <c r="L16" i="3"/>
  <c r="BB43" i="4"/>
  <c r="L20" i="3" s="1"/>
  <c r="BB47" i="4"/>
  <c r="L24" i="3" s="1"/>
  <c r="BB51" i="4"/>
  <c r="L28" i="3" s="1"/>
  <c r="BB55" i="4"/>
  <c r="L32" i="3" s="1"/>
  <c r="BB59" i="4"/>
  <c r="L36" i="3" s="1"/>
  <c r="I55" i="4"/>
  <c r="BB33" i="4"/>
  <c r="L9" i="3" s="1"/>
  <c r="BB40" i="4"/>
  <c r="L17" i="3" s="1"/>
  <c r="BB48" i="4"/>
  <c r="L25" i="3" s="1"/>
  <c r="CE24" i="4"/>
  <c r="BB36" i="4"/>
  <c r="L12" i="3" s="1"/>
  <c r="BB31" i="4"/>
  <c r="BB35" i="4"/>
  <c r="L11" i="3" s="1"/>
  <c r="BB39" i="4"/>
  <c r="L15" i="3" s="1"/>
  <c r="BB42" i="4"/>
  <c r="L19" i="3" s="1"/>
  <c r="BB46" i="4"/>
  <c r="L23" i="3" s="1"/>
  <c r="BB50" i="4"/>
  <c r="L27" i="3" s="1"/>
  <c r="BB54" i="4"/>
  <c r="L31" i="3" s="1"/>
  <c r="BB58" i="4"/>
  <c r="L35" i="3" s="1"/>
  <c r="BB34" i="4"/>
  <c r="L10" i="3" s="1"/>
  <c r="BB38" i="4"/>
  <c r="L14" i="3" s="1"/>
  <c r="BB41" i="4"/>
  <c r="L18" i="3" s="1"/>
  <c r="BB45" i="4"/>
  <c r="L22" i="3" s="1"/>
  <c r="BB49" i="4"/>
  <c r="L26" i="3" s="1"/>
  <c r="BB53" i="4"/>
  <c r="L30" i="3" s="1"/>
  <c r="E10" i="10"/>
  <c r="E11" i="9"/>
  <c r="E8" i="8"/>
  <c r="H22" i="7"/>
  <c r="F22" i="7"/>
  <c r="E19" i="2"/>
  <c r="AZ32" i="4" l="1"/>
  <c r="L7" i="3"/>
  <c r="L6" i="3" s="1"/>
  <c r="AZ33" i="4"/>
  <c r="AZ38" i="4"/>
  <c r="BB24" i="4"/>
  <c r="M18" i="6" l="1"/>
  <c r="G18" i="6" l="1"/>
  <c r="E18" i="6"/>
</calcChain>
</file>

<file path=xl/connections.xml><?xml version="1.0" encoding="utf-8"?>
<connections xmlns="http://schemas.openxmlformats.org/spreadsheetml/2006/main">
  <connection id="1" name="Agriculture" type="1" refreshedVersion="4" deleted="1" background="1" saveData="1">
    <dbPr connection="" command=""/>
  </connection>
  <connection id="2" name="AT-IngTerr" type="1" refreshedVersion="4" deleted="1" background="1" saveData="1">
    <dbPr connection="" command=""/>
  </connection>
  <connection id="3" name="Attractivité" type="1" refreshedVersion="4" deleted="1" background="1" saveData="1">
    <dbPr connection="" command=""/>
  </connection>
  <connection id="4" name="Biodiversité-MOH" type="1" refreshedVersion="4" deleted="1" background="1" saveData="1">
    <dbPr connection="" command=""/>
  </connection>
  <connection id="5" name="Bois" type="1" refreshedVersion="4" deleted="1" background="1" saveData="1">
    <dbPr connection="" command=""/>
  </connection>
  <connection id="6" name="Pierre" type="1" refreshedVersion="4" deleted="1" background="1" saveData="1">
    <dbPr connection="" command=""/>
  </connection>
  <connection id="7" name="Reprog" type="1" refreshedVersion="4" deleted="1" background="1" saveData="1">
    <dbPr connection="" command=""/>
  </connection>
  <connection id="8" name="Tourisme" type="1" refreshedVersion="4" deleted="1" background="1" saveData="1">
    <dbPr connection="" command=""/>
  </connection>
</connections>
</file>

<file path=xl/sharedStrings.xml><?xml version="1.0" encoding="utf-8"?>
<sst xmlns="http://schemas.openxmlformats.org/spreadsheetml/2006/main" count="1401" uniqueCount="458">
  <si>
    <t>Programme</t>
  </si>
  <si>
    <t>Nom_MO</t>
  </si>
  <si>
    <t>Intitule_Operation</t>
  </si>
  <si>
    <t>Coût total déposé</t>
  </si>
  <si>
    <t>CIMAC</t>
  </si>
  <si>
    <t>POI</t>
  </si>
  <si>
    <t>Communauté de Communes Causses Aigoual Cévennes Terres Solidaires</t>
  </si>
  <si>
    <t>Taux Aide Massif</t>
  </si>
  <si>
    <t>Aide Massif Obtenu</t>
  </si>
  <si>
    <t>Taux Aide Publique</t>
  </si>
  <si>
    <t>ID_Synergie</t>
  </si>
  <si>
    <t>Total</t>
  </si>
  <si>
    <t>VetAgro Sup</t>
  </si>
  <si>
    <t>D158g</t>
  </si>
  <si>
    <t>EPLEFPA Brioude-Bonnefont</t>
  </si>
  <si>
    <t>Melibio</t>
  </si>
  <si>
    <t>D158m</t>
  </si>
  <si>
    <t>VetAgro Sup - ABioDoc</t>
  </si>
  <si>
    <t>ID_dossier GIP</t>
  </si>
  <si>
    <t>D092</t>
  </si>
  <si>
    <t>Conseil départemental du Lot</t>
  </si>
  <si>
    <t>Développement d’un accompagnement technique éco-pastoral innovant pour le maintien d’un bon état agro-écologique des milieux ouverts herbacés.</t>
  </si>
  <si>
    <t xml:space="preserve">Remarques </t>
  </si>
  <si>
    <t>Aide Publique Obtenue</t>
  </si>
  <si>
    <t>Coût total Eligible FEDER</t>
  </si>
  <si>
    <t>Coût total</t>
  </si>
  <si>
    <t>'FNADT'</t>
  </si>
  <si>
    <t>'Agriculture'</t>
  </si>
  <si>
    <t>'AURA'</t>
  </si>
  <si>
    <t>'BFC'</t>
  </si>
  <si>
    <t>'ALPC'</t>
  </si>
  <si>
    <t>'LRMP'</t>
  </si>
  <si>
    <t>'03'</t>
  </si>
  <si>
    <t>'07'</t>
  </si>
  <si>
    <t>'11'</t>
  </si>
  <si>
    <t>'12'</t>
  </si>
  <si>
    <t>'15'</t>
  </si>
  <si>
    <t>'19'</t>
  </si>
  <si>
    <t>'21'</t>
  </si>
  <si>
    <t>'23'</t>
  </si>
  <si>
    <t>'30'</t>
  </si>
  <si>
    <t>'34'</t>
  </si>
  <si>
    <t>'42'</t>
  </si>
  <si>
    <t>'43'</t>
  </si>
  <si>
    <t>'46'</t>
  </si>
  <si>
    <t>'48'</t>
  </si>
  <si>
    <t>'58'</t>
  </si>
  <si>
    <t>'63'</t>
  </si>
  <si>
    <t>'69'</t>
  </si>
  <si>
    <t>'71'</t>
  </si>
  <si>
    <t>'81'</t>
  </si>
  <si>
    <t>'82'</t>
  </si>
  <si>
    <t>'87'</t>
  </si>
  <si>
    <t>'89'</t>
  </si>
  <si>
    <t>'FEDER'</t>
  </si>
  <si>
    <t>'Autre Public'</t>
  </si>
  <si>
    <t>Etat</t>
  </si>
  <si>
    <t>Régions</t>
  </si>
  <si>
    <t>Départements</t>
  </si>
  <si>
    <t>MC0004724</t>
  </si>
  <si>
    <t>D067</t>
  </si>
  <si>
    <t>Commune d'Autun</t>
  </si>
  <si>
    <t>D037e</t>
  </si>
  <si>
    <t>Communauté de communes du Grand Autunois Morvan</t>
  </si>
  <si>
    <t>Aménagements activités pleine nature de la Communauté de communes du Grand Autunois Morvan : développement de l'itinérance verte "vélo" et création d'un espace d'accueil randonneurs en forêt de Montmain</t>
  </si>
  <si>
    <t>MC0004473</t>
  </si>
  <si>
    <t>Développement des activités de pleine nature autour de la base de loisirs Marcel Lucotte à Autun</t>
  </si>
  <si>
    <t>D037d</t>
  </si>
  <si>
    <t>Appel à projet Massif central - Amplification et diversification d'une politique locale d'accueil</t>
  </si>
  <si>
    <t>reprogrammation sur périmètre dérogatoire</t>
  </si>
  <si>
    <t>Aide Massif</t>
  </si>
  <si>
    <t>Bois</t>
  </si>
  <si>
    <t>'Coût total éligible'</t>
  </si>
  <si>
    <t>Tx Aide publique</t>
  </si>
  <si>
    <t>MC0004118</t>
  </si>
  <si>
    <t>Vivier Bois Massif central</t>
  </si>
  <si>
    <t>Groupe projet pilote des entreprises du bois construction Tarn/Hérault</t>
  </si>
  <si>
    <t>1-Favorable</t>
  </si>
  <si>
    <t>MC0004436</t>
  </si>
  <si>
    <t>Chambre des Métiers et de l'Artisanat du Tarn</t>
  </si>
  <si>
    <t>Groupe projet pilote bois construction Tarn Hérault</t>
  </si>
  <si>
    <t>MC0004266</t>
  </si>
  <si>
    <t>Territoires et compétences</t>
  </si>
  <si>
    <t>Groupe projet pilote des entreprises du bois construction pour les bâtiments performants – Action de Coopération Ardèche St Flour</t>
  </si>
  <si>
    <t>MC0004354</t>
  </si>
  <si>
    <t>MC0003840</t>
  </si>
  <si>
    <t>France Douglas</t>
  </si>
  <si>
    <t>Développer l'utilisation du douglas dans la filière bois construction : améliorer l'accès des entreprises aux marchés nationaux et internationaux</t>
  </si>
  <si>
    <t>MC0004006</t>
  </si>
  <si>
    <t>MacCOFOR</t>
  </si>
  <si>
    <t>Amélioration de la valorisation locale du Bois du Massif Central en assurant sa traçabilité – Phase 2</t>
  </si>
  <si>
    <t>MC0003866</t>
  </si>
  <si>
    <t>Action collective d’accompagnement des groupes d’entreprises TPE/PME du bois construction dans la mise en place collaborative des services numériques</t>
  </si>
  <si>
    <t>MC0003795</t>
  </si>
  <si>
    <t>Réseau Alternative Forestière</t>
  </si>
  <si>
    <t>Développement de filières forêt-bois de proximité éthiques et solidaires en Massif central</t>
  </si>
  <si>
    <t>MC0003801</t>
  </si>
  <si>
    <t>Collectif Bois 07</t>
  </si>
  <si>
    <t>Mise en place d’une filière courte écologiquement responsable et socialement solidaire de produits finis et semi-finis en Pin Maritime en Ardèche du Sud</t>
  </si>
  <si>
    <t>MC0003802</t>
  </si>
  <si>
    <t>ERE 43</t>
  </si>
  <si>
    <t>expérimentations d'exploitation forestières éco-responsables et solidaires visant à améliorer le tri des petits lots et la qualité du sciage</t>
  </si>
  <si>
    <t>MC0003941</t>
  </si>
  <si>
    <t>PFBMAC</t>
  </si>
  <si>
    <t xml:space="preserve">Prescription bois et animation de la filière forêt bois  sur le Massif Central </t>
  </si>
  <si>
    <t>MC0004355</t>
  </si>
  <si>
    <t>Communauté de communes du Pays de Saint-Flour Margeride</t>
  </si>
  <si>
    <t>6-Retiré/Abandon</t>
  </si>
  <si>
    <t>Aide 
publique</t>
  </si>
  <si>
    <t>Tx
Aide Massif</t>
  </si>
  <si>
    <t>Avis Prog</t>
  </si>
  <si>
    <t>5-Défavorable</t>
  </si>
  <si>
    <t>FEDER</t>
  </si>
  <si>
    <t>ALPC</t>
  </si>
  <si>
    <t>AURA</t>
  </si>
  <si>
    <t>BFC</t>
  </si>
  <si>
    <t>LRMP</t>
  </si>
  <si>
    <t>MC0005229</t>
  </si>
  <si>
    <t>NumSym</t>
  </si>
  <si>
    <t>Avis</t>
  </si>
  <si>
    <t>Parc naturel régional du Morvan</t>
  </si>
  <si>
    <t>Association du Pays du Haut Limousin</t>
  </si>
  <si>
    <t>Mise en oeuvre d’une politique d’accueil à l’échelle du Pays du Haut Limousin</t>
  </si>
  <si>
    <t>D063</t>
  </si>
  <si>
    <t>MC0005459</t>
  </si>
  <si>
    <t>D115</t>
  </si>
  <si>
    <t>Conseil départemental de la Lozère</t>
  </si>
  <si>
    <t>Accompagner les territoires du Massif central dans la mise en œuvre d’une offre d’accueil qualifiée</t>
  </si>
  <si>
    <t>Commentaires</t>
  </si>
  <si>
    <t>Total Etat</t>
  </si>
  <si>
    <t>Total Régions</t>
  </si>
  <si>
    <t>Total Dpts</t>
  </si>
  <si>
    <t>Pierre</t>
  </si>
  <si>
    <t>D123a</t>
  </si>
  <si>
    <t>Artisans Bâtisseurs en Pierres Sèches (APBS)</t>
  </si>
  <si>
    <t>LAUBAMAC-Consolider et développer les filières des lauziers et bâtisseurs en pierre sèche du massif central</t>
  </si>
  <si>
    <t>D123b</t>
  </si>
  <si>
    <t>ARMINES</t>
  </si>
  <si>
    <t>LAUBAMAC-Thèse sur l'approvisionnement en lauze calcaire à l'échelle du Massif central</t>
  </si>
  <si>
    <t>D123c</t>
  </si>
  <si>
    <t>Chambre des Métiers et de l'Artisanat de la Lozère</t>
  </si>
  <si>
    <t xml:space="preserve">LAUBAMAC - consolider et développer les filières des lauziers et bâtisseurs en pierre sèche du massif central </t>
  </si>
  <si>
    <t>D123d</t>
  </si>
  <si>
    <t>Parc naturel régional des Grands Causses</t>
  </si>
  <si>
    <t>D123e</t>
  </si>
  <si>
    <t>Parc national des Cévennes</t>
  </si>
  <si>
    <t>D123f</t>
  </si>
  <si>
    <t>Parc naturel régional des Causses du Quercy</t>
  </si>
  <si>
    <t>D123g</t>
  </si>
  <si>
    <t>Parc naturel régional des Monts d'Ardeche</t>
  </si>
  <si>
    <t>LAUBAMAC - Opération de sensibilisation et de référence sur la technique de la calade en pierre sèche</t>
  </si>
  <si>
    <t>D124a</t>
  </si>
  <si>
    <t>Association Granit et Pierres du Sidobre</t>
  </si>
  <si>
    <t>Groupe projet pilote d’entreprises pour le développement de l’utilisation de la pierre naturelle locale dans les marchés de la filière– action de coopération interrégionale</t>
  </si>
  <si>
    <t>D124b</t>
  </si>
  <si>
    <t>Association Rhônes-Alpes Pierres Naturelles</t>
  </si>
  <si>
    <t>Groupe projet pilote d’entreprises pour le développement de l’utilisation de la pierre naturelle locale dans les marchés de la filière – action de coopération interrégionale</t>
  </si>
  <si>
    <t>D124c</t>
  </si>
  <si>
    <t>D124d</t>
  </si>
  <si>
    <t>'FNADT '</t>
  </si>
  <si>
    <t>D120</t>
  </si>
  <si>
    <t>Agri-solidarité Lot</t>
  </si>
  <si>
    <t>Poursuite de l'expérimentation : renforcer l'appui des agriculteurs en situation fragile et mise en place d'un suivi personnalisé ( détection précoce et suivi technique ).</t>
  </si>
  <si>
    <t>MC0003872</t>
  </si>
  <si>
    <t>Commune de Thizy les Bourgs</t>
  </si>
  <si>
    <t xml:space="preserve">TERRALIM Producteur de faire Ensemble     </t>
  </si>
  <si>
    <t>MC0003904</t>
  </si>
  <si>
    <t>MC0003907</t>
  </si>
  <si>
    <t>Association "Figeacteurs : la Fabrique"</t>
  </si>
  <si>
    <t>MC0004112</t>
  </si>
  <si>
    <t>Pôle agroalimentaire Loire</t>
  </si>
  <si>
    <t>MC0004631</t>
  </si>
  <si>
    <t>Cevennes Ecotourisme</t>
  </si>
  <si>
    <t>Cluster Ecotourisme</t>
  </si>
  <si>
    <t>D147</t>
  </si>
  <si>
    <t>Terre de Liens</t>
  </si>
  <si>
    <t>Animer le dialogue territorial et élargir la participation au service de l'accueil et du renouvellement d'actifs agri-ruraux en Massif central</t>
  </si>
  <si>
    <t>MC0003753</t>
  </si>
  <si>
    <t>Réseau en scène Languedoc-Roussillon</t>
  </si>
  <si>
    <t>Développement des Arts Vivants en Massif central-axe 3 Musique</t>
  </si>
  <si>
    <t>AVANT MARDI</t>
  </si>
  <si>
    <t>Développement des Arts vivants en Massif central -axe 3 Musique</t>
  </si>
  <si>
    <t>DES LENDEMAINS QUI CHANTENT</t>
  </si>
  <si>
    <t>Le Transfo</t>
  </si>
  <si>
    <t>Attractivité</t>
  </si>
  <si>
    <t>MC0003819</t>
  </si>
  <si>
    <t>Syndicat mixte du Parc naturel régional des Monts d'Ardèche</t>
  </si>
  <si>
    <t xml:space="preserve">Conservation et valorisation des forêts anciennes des Monts d'Ardèche </t>
  </si>
  <si>
    <t>FRAPNA Ardèche</t>
  </si>
  <si>
    <t>Conservation et mise en valeur des forêts anciennes des Monts d’Ardèche</t>
  </si>
  <si>
    <t>MC0003898</t>
  </si>
  <si>
    <t>Centre régional de la Propriété Forestière de Midi-Pyrénées</t>
  </si>
  <si>
    <t>Diagnostics forêts anciennes et matures à l’échelle de la propriété</t>
  </si>
  <si>
    <t>MC0003903</t>
  </si>
  <si>
    <t>Syndicat mixte du Parc naturel régional des Volcans d’Auvergne</t>
  </si>
  <si>
    <t>Les Forêts anciennes du Parc des Volcans d’Auvergne</t>
  </si>
  <si>
    <t>MC0003736</t>
  </si>
  <si>
    <t>Conservatoire d'Espaces naturels de la Lozère</t>
  </si>
  <si>
    <t>Collectivités et milieux humides : connaissance et prise en compte des tourbières et de leurs éco-complexes, et des zones humides en général dans les politiques publiques en Lozère</t>
  </si>
  <si>
    <t>MC0003957</t>
  </si>
  <si>
    <t>Préservation écologique et hydrologique de tourbières en Lozère – volet 1 – Etudes préalables et sensibilisation</t>
  </si>
  <si>
    <t>MC0003851</t>
  </si>
  <si>
    <t>Parc naturel régional des Millevaches</t>
  </si>
  <si>
    <t>Stratégie patrimoine naturel «forêts ancienne et /ou à forte naturalité potentiellement anciennes »</t>
  </si>
  <si>
    <t>MC0003972</t>
  </si>
  <si>
    <t>Parc naturel régional du Livradois Forez</t>
  </si>
  <si>
    <t>LES PETITES CHOUETTES DE MONTAGNE ET LES FORÊTS ANCIENNES DU LIVRADOIS-FOREZ</t>
  </si>
  <si>
    <t>MC0003855</t>
  </si>
  <si>
    <t>Plan d’actions en faveur des forêts anciennes du Morvan</t>
  </si>
  <si>
    <t>MC0003796</t>
  </si>
  <si>
    <t>Syndicat mixte du Parc naturel régional du Pilat</t>
  </si>
  <si>
    <t>Pôle de pleine nature Pilat</t>
  </si>
  <si>
    <t>MC0003716</t>
  </si>
  <si>
    <t>Syndicat Mixte de la Montagne Ardéchoise</t>
  </si>
  <si>
    <t>Développer le Pôle Montagne : animation du Pôle et de la section sportive du Collège de la Montagne</t>
  </si>
  <si>
    <t>MC0003708</t>
  </si>
  <si>
    <t>Pôle Nature 4 saisons du Massif de l’Aigoual, territoire d’expériences pleine nature entre Causses et Cévennes</t>
  </si>
  <si>
    <t>Agriculture</t>
  </si>
  <si>
    <t>Tourisme</t>
  </si>
  <si>
    <t>Assistance technique-Ingénierie Territoriale</t>
  </si>
  <si>
    <t>D154</t>
  </si>
  <si>
    <t>Groupement d'intérêt public interrégional pour le développement du Massif central (GIP Massif central)</t>
  </si>
  <si>
    <t>Assistance technique - Frais de personnel de l’Autorité de gestion</t>
  </si>
  <si>
    <t>D121</t>
  </si>
  <si>
    <t>SIDAM</t>
  </si>
  <si>
    <t>CLUSTER Herbe – Phase d’émergence d’une plateforme collaborative</t>
  </si>
  <si>
    <t>D164</t>
  </si>
  <si>
    <t>IPAMAC</t>
  </si>
  <si>
    <t>Convention d'objectif
Années 2016</t>
  </si>
  <si>
    <t>MC0003923</t>
  </si>
  <si>
    <t xml:space="preserve">IPAMAC </t>
  </si>
  <si>
    <t>Animation, coordination et communication du programme MOH 2 – phase 2016-2017</t>
  </si>
  <si>
    <t>MC0003731</t>
  </si>
  <si>
    <t>Conservatoire d'Espaces naturels de Midi-Pyrénées</t>
  </si>
  <si>
    <t>Valoriser les Milieux Ouverts Herbacés de l’Aubrac dans une démarche concertée et coordonnée à l’échelle du Massif central (première année 2016)</t>
  </si>
  <si>
    <t>MC0003713</t>
  </si>
  <si>
    <t>Parc naturel régional du Haut Languedoc</t>
  </si>
  <si>
    <t>Diagnostic Agri-Environnemental d’exploitations agricoles en système herbagers : analyse et partage des connaissances</t>
  </si>
  <si>
    <t>MC0003798</t>
  </si>
  <si>
    <t>Observatoire et plan d’actions en faveur de la Pie grièche grise dans la plaine d’Ambert</t>
  </si>
  <si>
    <t>MC0003793</t>
  </si>
  <si>
    <t>Parc naturel régional des Volcans d'Auvergne</t>
  </si>
  <si>
    <t>Suivis de la population de Pies Grièches Grises autour de Saulzet le Froid en associant agriculteurs et habitants locaux</t>
  </si>
  <si>
    <t>D145</t>
  </si>
  <si>
    <t>CPPARM</t>
  </si>
  <si>
    <t>Mission pour la gestion durable de la ressource gentiane dans le Massif central</t>
  </si>
  <si>
    <t>Biodiversité-Milieux ouverts Herbacés</t>
  </si>
  <si>
    <t>D144</t>
  </si>
  <si>
    <t>CADAAEMC</t>
  </si>
  <si>
    <t>Le LaBo : innovations touristiques au service du territoire</t>
  </si>
  <si>
    <t>Comité de programmation</t>
  </si>
  <si>
    <t>Reprogrammations</t>
  </si>
  <si>
    <t>avis négatif de la part des services techniques en Région Bourgogne Franche Comté</t>
  </si>
  <si>
    <t>pas de modification suite au premier ajournement, plan de financement pas finalisé. 2ème ajournement = défavorable</t>
  </si>
  <si>
    <t>Avis défavorable FEDER. Projet de gestion alternative intéressant sur le fond  peu concret sur l’aval de la filière et confus sur ses attendus. Peu de régions sont convaincues sur les actions et la capacité des porteurs à atteindre leurs objectifs. Une grande partie des dépenses serait éligible sur FEADER mais pas FEDER</t>
  </si>
  <si>
    <t>le porteur a souhaité retirer son dossier, à la fois dans le contexte de fusion des intercommunalités et du régime "de minimis" imposé</t>
  </si>
  <si>
    <t>le projet est encore très large et flou, l'agrotourisme est inéligible du fait de la stratégie des programmes Massif central centrée exclusivement sur la pleine nature (PPN et itinérance)</t>
  </si>
  <si>
    <t>sur crédits convention MAAF</t>
  </si>
  <si>
    <t>Forêts anciennes</t>
  </si>
  <si>
    <t>MOH</t>
  </si>
  <si>
    <t>Tourbières</t>
  </si>
  <si>
    <t>'Thématique '</t>
  </si>
  <si>
    <t>4-Ajournement</t>
  </si>
  <si>
    <t>D166</t>
  </si>
  <si>
    <t>Préfet coordonnateur de Massif</t>
  </si>
  <si>
    <t>Evaluation et communication</t>
  </si>
  <si>
    <t>D013</t>
  </si>
  <si>
    <t>Mobiliser les citoyens et mettre en lien les acteurs pour accueillir et accompagner les projets sur les territoires du Massif central</t>
  </si>
  <si>
    <t>D044</t>
  </si>
  <si>
    <t>Syndicat Mixte pour l’Aménagement Touristique du Bassin de Sioule</t>
  </si>
  <si>
    <t>Structuration du pôle « émergent » Gorges de la Sioule</t>
  </si>
  <si>
    <t>MC0003885</t>
  </si>
  <si>
    <t>Syndicat Mixte du Beaujolais</t>
  </si>
  <si>
    <t>Politique d’accueil du Pays Beaujolais</t>
  </si>
  <si>
    <t>D062</t>
  </si>
  <si>
    <t>MC0005093</t>
  </si>
  <si>
    <t>Communauté de communes du pays de Murat</t>
  </si>
  <si>
    <t xml:space="preserve">Déploiement et extension du pack accueil télétravail </t>
  </si>
  <si>
    <t>D065b</t>
  </si>
  <si>
    <t>D073</t>
  </si>
  <si>
    <t>Communauté de communes des Portes du Morvan</t>
  </si>
  <si>
    <t>Politique d’accueil de nouvelles populations et construction d’une offre d’accueil qualifiée</t>
  </si>
  <si>
    <t>MC0005490</t>
  </si>
  <si>
    <t>Communauté de communes Sioule Colettes et Bouble</t>
  </si>
  <si>
    <t>Politiques d'accueil de nouvelles populations dans le Massif central. Appel à projets pour l'ingénierie de l'accueil n°1-2015</t>
  </si>
  <si>
    <t>D081b</t>
  </si>
  <si>
    <t>D093</t>
  </si>
  <si>
    <t>Le Mat 07</t>
  </si>
  <si>
    <t>Développement et diffusion des pratiques d’un Compagnonnage Alternatif dans le Massif Central</t>
  </si>
  <si>
    <t>MC0004983</t>
  </si>
  <si>
    <t>Ecole d'ingénieurs de Purpan</t>
  </si>
  <si>
    <t>Plan d’actions pour la préservation des forêts anciennes du Parc national des Cévennes</t>
  </si>
  <si>
    <t>D096b</t>
  </si>
  <si>
    <t>MC0004580</t>
  </si>
  <si>
    <t>Mutualisation de la cartographie des forêts anciennes sur les Parcs naturels du Massif central, une étape indispensable à leur préservation</t>
  </si>
  <si>
    <t>D097</t>
  </si>
  <si>
    <t>D100a</t>
  </si>
  <si>
    <t>Développement des Arts Vivants en Massif Central</t>
  </si>
  <si>
    <t>D100b</t>
  </si>
  <si>
    <t>Développement des Arts Vivants en Massif central</t>
  </si>
  <si>
    <t>D100c</t>
  </si>
  <si>
    <t>AVEC Limousin</t>
  </si>
  <si>
    <t>D100d</t>
  </si>
  <si>
    <t>Derrière le Hublot</t>
  </si>
  <si>
    <t>D100e</t>
  </si>
  <si>
    <t>La Nacre</t>
  </si>
  <si>
    <t>D100f</t>
  </si>
  <si>
    <t>Le Lab</t>
  </si>
  <si>
    <t>D100g</t>
  </si>
  <si>
    <t>D109b</t>
  </si>
  <si>
    <t xml:space="preserve">Acepp Adehl– Ardèche Drome et Haut Lignon  </t>
  </si>
  <si>
    <t>Accueil Parents Enfants en Massif Central 2020</t>
  </si>
  <si>
    <t>D109c</t>
  </si>
  <si>
    <t>ACEPP 46</t>
  </si>
  <si>
    <t>D109d</t>
  </si>
  <si>
    <t>ACEPP Rhône</t>
  </si>
  <si>
    <t>D109e</t>
  </si>
  <si>
    <t>ACEPP 81</t>
  </si>
  <si>
    <t>D109f</t>
  </si>
  <si>
    <t>ACEPP Auvergne</t>
  </si>
  <si>
    <t>Dossier programmé au comité du 06 juillet 2015 avec une dépense éligible de 115 699,60 € TTC. Reprogrammation du dossier, suite au courrier du maître d’ouvrage en date du 29 mars 2016 pour les raisons suivantes : le coût total de l’opération est modifié à la baisse, ramenant la dépense éligible à 112 824,32 € TTC (suite à modification des coûts de certains postes de dépenses). Le cumul des aides Massif (dont FNADT 50 900,00 € et CR Auvergne 20 000,00 €) initialement à 61,28 %, représente 62,84 %. Le reste de l’opération sans changement.</t>
  </si>
  <si>
    <t>Message du maître d’ouvrage en date du 1er déc 2015. demandant d’intégrer à la convention FNADT (1ère programmation 2015) le cofinancement du CR Auvergne pour un montant de 16 000,00 €.</t>
  </si>
  <si>
    <t>Dossier programmé au comité du 06 juillet 2015. Reprogrammation du dossier, suite au courrier du maître d’ouvrage en date du 29 fév 2016 pour solliciter un avenant à la convention FNADT pour les raisons suivantes : modification des coûts par poste de dépenses et inscription d’une nouvelle action (création du site internet), valorisant les objectifs du projet. Pas de modification du coût total de l’opération.</t>
  </si>
  <si>
    <t>Courrier du maître d’ouvrage en date du 04 déc 2015 pour solliciter un avenant à la convention FNADT afin de modifier le plan de financement programmé en juillet 2015 sur 3 ans. Dossier à reprogrammer sur 1 an, représentant un coût total éligible de 28 953,62 €.</t>
  </si>
  <si>
    <t xml:space="preserve">Suite à la demande du maître d’ouvrage en date du 06 nov 2015 concernant les délais de la convention FEDER, dossier reprogrammé pour prorogation de la convention FNADT de 1 an, le programme d’action étant prévu sur 3 ans. </t>
  </si>
  <si>
    <t>Reprogrammation pour prendre en compte une subvention d’un montant de 6289,00 € accordée par le Conseil Départemental de l’Ardèche après la programmation du 26 oct 2015.</t>
  </si>
  <si>
    <t>courrier du maître d’ouvrage en date du 04 déc 2015 pour solliciter une prorogation de la convention FNADT d’un an, afin de couvrir la durée de la thèse qui est prévue sur 3 ans</t>
  </si>
  <si>
    <t>Dossiers programmés au comité du 26 octobre 2015.  Par courrier du 29 mars 2016, Réseau en Scène Languedoc-Roussillon, maître d’ouvrage et chef de file du projet multipartenaire,  sollicite une prorogation de la durée de la convention FNADT de chacun des partenaires (dossiers n° D100a à D100g) : le projet étant prévu sur une durée de 36 mois, la durée de chacune des conventions FNADT est prorogée jusqu’au 31 décembre 2018.</t>
  </si>
  <si>
    <t>Dossier programmé au comité du 26 octobre 2015. Demande d’avenant par courrier du 10 mai 2016 afin de solliciter une prorogation de délai de convention FNADT jusqu’au 30 septembre 2018 ; rectifier le coût total de l’opération qui n’est pas de 96 552,84 € mais de 81 899,27 €. Pas de changement concernant les montants des financements.</t>
  </si>
  <si>
    <t>Dossier programmé au comité du 26 octobre 2015. Demande d’avenant par courrier du 17 mai 2016 afin de solliciter une prorogation de délai de convention FNADT jusqu’au 30 septembre 2018 ; rectifier le coût total de l’opération qui n’est pas de 100 709,78 € mais de 62 612,98 €. Pas de changement concernant les montants des financements.</t>
  </si>
  <si>
    <t>Dossier programmé au comité du 26 octobre 2015. Demande d’avenant par courrier du 19 mai 2016 afin de solliciter une prorogation de délai de convention FNADT jusqu’au 30 septembre 2018 ; rectifier le coût total de l’opération qui n’est pas de 79 078,78 € mais de 42 723,62 €. Pas de changement concernant les montants des financements.</t>
  </si>
  <si>
    <t>Dossier programmé au comité du 26 octobre 2015. Demande d’avenant par courrier du 29 avril 2016 afin de solliciter une prorogation de délai de convention FNADT jusqu’au 30 septembre 2018 ; rectifier le coût total de l’opération qui n’est pas de 134 313,16 € mais de 116 706,45 €. Pas de changement concernant les montants des financements.</t>
  </si>
  <si>
    <t>Dossier programmé au comité du 26 octobre 2015. Demande d’avenant par courrier du 28 avril 2016 afin de solliciter une prorogation de délai de convention FNADT jusqu’au 30 septembre 2018 ; rectifier le coût total de l’opération qui n’est pas de 102 164,25 € mais de 45 044,60 €. Pas de changement concernant les montants des financements.</t>
  </si>
  <si>
    <t>Dossier programmé au comité d’octobre 2015. déprogrammation du cofinancement du CR Languedoc-Roussillon (8 756,00 €) non accordé.</t>
  </si>
  <si>
    <t>Dossier programmé le 06 juillet 2015. Demande du maître d’ouvrage par message du 15 déc 2015 qui demande les modifications suivantes : intégrer au plan de financement les aides perçues dans le cadre du contrat aidé (CUI) représentant un montant de l’ASP de 9 100,00 € avec un coût d’opération revu à la baisse (66 198,70 €) suite à la diminution des dépenses de personnel. Subventions FEDER et FNADT revues au prorata de la nouvelle assiette, soit FEDER 26 478,00 € et FNADT13 239,00 €.</t>
  </si>
  <si>
    <t>D033</t>
  </si>
  <si>
    <t>Communauté de Communes de la Montagne du Haut-Languedoc</t>
  </si>
  <si>
    <t>Pôle de pleine nature émergent « Monts et Lacs en Haut Languedoc »</t>
  </si>
  <si>
    <t>courrier du maître d’ouvrage indiquant l’abandon du projet programmé le 06 juillet 2015</t>
  </si>
  <si>
    <t>Progammation initiale le 26/10/2015.
Reprogrammation pour prise en compte de la fongibilité des dépenses à hauteur de 15 % du CTE.</t>
  </si>
  <si>
    <t>MC0004660</t>
  </si>
  <si>
    <t>SAFER Auvergne</t>
  </si>
  <si>
    <t>Accompagnement des territoires dans leur politique d’accueil par les Safer</t>
  </si>
  <si>
    <t>D118</t>
  </si>
  <si>
    <t>MD</t>
  </si>
  <si>
    <t>VJ</t>
  </si>
  <si>
    <t xml:space="preserve">vj </t>
  </si>
  <si>
    <t>PEM</t>
  </si>
  <si>
    <t>GD</t>
  </si>
  <si>
    <t>CM</t>
  </si>
  <si>
    <t>Modification du PF. Diminution de la subventionrégionale (-  14 369). Augementation du FEDER au taux maximun (50%) + 1 622,60</t>
  </si>
  <si>
    <t>Prev</t>
  </si>
  <si>
    <t>Final</t>
  </si>
  <si>
    <t>final</t>
  </si>
  <si>
    <t>prev</t>
  </si>
  <si>
    <t>Reprogrammation pour prise en compte des dispositions de l'arrêté du 8 mars 2016 en application du décret n°2016-279 du 8 mars 2016 fixant les règles nationales d'éligibilité des dépenses des programmes européens pour la période 2014-2020, dans la justification des frais de personnels dont le travail est consacrée en partie à l'opération au travers de fiches de temps.</t>
  </si>
  <si>
    <t>Dossiers programmés au comité du 26 octobre 2015.  Par courrier du 29 mars 2016, Réseau en Scène Languedoc-Roussillon, maître d’ouvrage et chef de file du projet multipartenaire,  sollicite une prorogation de la durée de la convention FNADT de chacun des partenaires (dossiers n° D100a à D100g) : le projet étant prévu sur une durée de 36 mois, la durée de chacune des conventions FNADT est prorogée jusqu’au 31 décembre 2018.
Avenant FEDER pour prise en compte des dispositions de l'arrêté du 8 mars 2016 en application du décret n°2016-279 du 8 mars 2016 fixant les règles nationales d'éligibilité des dépenses des programmes européens pour la période 2014-2020, dans la justification des frais de personnels dont le travail est consacrée en partie à l'opération au travers de fiches de temps.</t>
  </si>
  <si>
    <t>MC0000893</t>
  </si>
  <si>
    <t>Conservatoire Botanique National du Massif central</t>
  </si>
  <si>
    <t>Contribution à la capitalisation des résultats de l'expérience acquis dans le cadre du programme multipartenaires de "préservation de la biodiversité des milieux ouverts herbacées du Massif central" par expérimentation et diffusion de la méthode d'évaluat</t>
  </si>
  <si>
    <t>D001</t>
  </si>
  <si>
    <t>MC0005090</t>
  </si>
  <si>
    <t>Syndicat Mixte d'Aménagement du Mont Lozère</t>
  </si>
  <si>
    <t>Pôle pleine nature Mont Lozère</t>
  </si>
  <si>
    <t>D040</t>
  </si>
  <si>
    <t>Groupe projet pilote des entreprises du bois construction pour les marchés du bâtiment performant : action de coopération interrégionale</t>
  </si>
  <si>
    <t>D048a</t>
  </si>
  <si>
    <t>SAS Lafargue - Fermes de Figeac</t>
  </si>
  <si>
    <t>D048b</t>
  </si>
  <si>
    <t>MC0005309</t>
  </si>
  <si>
    <t>Communauté de communes des Sources de la Loire</t>
  </si>
  <si>
    <t>Construction d’une politique d’accueil en Montagne ardéchoise</t>
  </si>
  <si>
    <t>D077</t>
  </si>
  <si>
    <t>MC0004501</t>
  </si>
  <si>
    <t>Conseil départemental de l'Allier</t>
  </si>
  <si>
    <t>Actions de prospection dans le domaine de la santé et du tourisme</t>
  </si>
  <si>
    <t>D110</t>
  </si>
  <si>
    <t>CIMAC : Dossier rejeté, en l'absence d'un accusé de réception de complétude</t>
  </si>
  <si>
    <t>Reprogrammation pour engagement de crédits FNADT à hauteur de 19 500 €.</t>
  </si>
  <si>
    <t>MC0005458</t>
  </si>
  <si>
    <t>Impulser des organisations opérationnelles innovantes en valorisant les dynamiques forêt-bois dans les territoires du Massif central pour favoriser leur attractivité</t>
  </si>
  <si>
    <t>D021a</t>
  </si>
  <si>
    <t>URCOFOR Auvergne-Limousin</t>
  </si>
  <si>
    <t>D021b</t>
  </si>
  <si>
    <t>URCOFOR Languedoc-Roussillon</t>
  </si>
  <si>
    <t>D021c</t>
  </si>
  <si>
    <t>URCOFOR Midi-Pyrénées</t>
  </si>
  <si>
    <t>D021d</t>
  </si>
  <si>
    <t>URCOFOR Rhône-Alpes</t>
  </si>
  <si>
    <t>D021e</t>
  </si>
  <si>
    <t>MC0005097</t>
  </si>
  <si>
    <t>Association pour le Développement du Pays d’Aurillac</t>
  </si>
  <si>
    <t>Ingénierie de l’accueil n°1</t>
  </si>
  <si>
    <t>D055</t>
  </si>
  <si>
    <t>MC0005484</t>
  </si>
  <si>
    <t>Communauté de communes Donjon Val Libre</t>
  </si>
  <si>
    <t>D081a</t>
  </si>
  <si>
    <t>D087</t>
  </si>
  <si>
    <t>Association Cévennes écotourisme</t>
  </si>
  <si>
    <t>Cluster écotouristique</t>
  </si>
  <si>
    <t>D088b</t>
  </si>
  <si>
    <t>Centre National de la Propriété Forestière (CNPF)</t>
  </si>
  <si>
    <t>Référentiel national de certification carbone</t>
  </si>
  <si>
    <t>D108</t>
  </si>
  <si>
    <t>Association Sur le chemin de R.L. Stevenson</t>
  </si>
  <si>
    <t>Animation, Promotion et Développement du chemin de Stevenson</t>
  </si>
  <si>
    <t>Dossier programmé le 26/10/2015. Reprogrammation pour prise en compte des dispositions de l'arrêté du 8 mars 2016 en application du décret n°2016-279 du 8 mars 2016 fixant les règles nationales d'éligibilité des dépenses des programmes européens pour la période 2014-2020, dans la justification des frais de personnels dont le travail est consacrée en partie à l'opération au travers de fiches de temps + prise en compte d ela fongibilité des dépenses + qualification en de minimis prévue à l'instruction mais ne figurant pas dans la convention</t>
  </si>
  <si>
    <t>Dossier programmé le 6/07/2015. Avenant pour prorogation de 5 mois de l'opération (recrutement de l'animateur accueil en janvier 2016 au lieu de juillet 2015).</t>
  </si>
  <si>
    <t>Reprogrammation : demande d'avenant pour prolongation de l'opération d'un mois (embauche du chargé de mission décalée d'un mois au démarrage de l'opéraiton).</t>
  </si>
  <si>
    <t>MC0004691</t>
  </si>
  <si>
    <t>Syndicat Mixte du Grand Site des gorges du Tarn, de la Jonte et des Causses</t>
  </si>
  <si>
    <t>Pôle de pleine nature émergent des gorges du Tarn</t>
  </si>
  <si>
    <t>D030</t>
  </si>
  <si>
    <t>attente aide côté Rhône-Alpes. Attente annonce AURA pour programmation d'octobre. Augmentation FNADT à 50 %</t>
  </si>
  <si>
    <t xml:space="preserve">des cofinancements supplémentaires pourraient être mobilisés. Ils seront éventuellement introduits lors du prochain comité de programmation. </t>
  </si>
  <si>
    <t>dérogation au taux d'aide MAssif central &gt;70% validée</t>
  </si>
  <si>
    <t>Changement de nom du projet pour éviter toute confusion avce le projet de 2015</t>
  </si>
  <si>
    <t>Reprogrammation</t>
  </si>
  <si>
    <t>N°</t>
  </si>
  <si>
    <t>Prog</t>
  </si>
  <si>
    <t>n°Présage ou n° Démac</t>
  </si>
  <si>
    <t>Maître d'ouvrage</t>
  </si>
  <si>
    <t>Intitulé</t>
  </si>
  <si>
    <t>Dépense subventionnable</t>
  </si>
  <si>
    <t>FEDER à reprogrammer</t>
  </si>
  <si>
    <t>FEDER à déprogrammer</t>
  </si>
  <si>
    <t>Etat (FNADT)</t>
  </si>
  <si>
    <t>FNADT à déprogrammer</t>
  </si>
  <si>
    <t>FNADT à reprogrammer</t>
  </si>
  <si>
    <t>Conseils régionaux</t>
  </si>
  <si>
    <t>Auv</t>
  </si>
  <si>
    <t>Bourg</t>
  </si>
  <si>
    <t>L-R</t>
  </si>
  <si>
    <t>Lim</t>
  </si>
  <si>
    <t>M-P</t>
  </si>
  <si>
    <t>RA</t>
  </si>
  <si>
    <t>Reprogrammation pour modification du plan de financement et/ou modification des postes de dépenses et/ou prorogation de délai</t>
  </si>
  <si>
    <t>2007-2013</t>
  </si>
  <si>
    <t>Syndicat mixte de la Montagne Ardéchoise, 07660 LANARCE</t>
  </si>
  <si>
    <t>Développement toutes saisons du pôle neige</t>
  </si>
  <si>
    <t>347 428,58</t>
  </si>
  <si>
    <t>36 526,00</t>
  </si>
  <si>
    <t>53 021,00</t>
  </si>
  <si>
    <t>Courrier du maître d’ouvrage en date 20 nov 2015 pour solliciter un avenant n°3 à la convention FNADT afin de redistribuer les postes de dépenses et modifier le plan de financement (ajout d’un cofinancement Rhône-Alpes en dehors d ela subvention Massif, soit 40 963,00 € au titre de la convention de stations durables de moyenne montagne). Coût total de l’opération sans changement. Par ailleurs la durée de l’action est prorogée jusqu’au 30 juin 2016 (demande complémentaire par courrier daté du 20 novembre 2015).</t>
  </si>
  <si>
    <t>Ecole Nationale Supérieure d’Architecture de Saint-Etienne</t>
  </si>
  <si>
    <t>Développement d’un réseau d’enseignement et de recherche : espace rural et projet spatial</t>
  </si>
  <si>
    <t>115 000,00</t>
  </si>
  <si>
    <t>50 000,00</t>
  </si>
  <si>
    <t>30 000,00</t>
  </si>
  <si>
    <t>Demande du bénéficiaire en date du 11 février 2016 pour prorogation de la convention FNADT jusqu’au 31 déc 2016 (avenant n°2). Le maître d’ouvrage demande également par courrier du 18 avril 2016 un avenant n°3 pour valider une nouvelle répartition des dépenses par poste pour un coût total d’opération HT constant (115 000,00 €).</t>
  </si>
  <si>
    <t>Communauté de Communes d’Amplepuis-Thizy</t>
  </si>
  <si>
    <t>politique d’accueil en Beaujolais vert</t>
  </si>
  <si>
    <t>226 468,00</t>
  </si>
  <si>
    <t>111 834,00</t>
  </si>
  <si>
    <t>20 750,81</t>
  </si>
  <si>
    <t>25 165,00</t>
  </si>
  <si>
    <t>Avenant n°2 à la convention FNADT suite au message du maître d’ouvrage en date du 22 déc 2015 pour informer du changement de nom et de périmètre de la Communauté de Communes du Pays d’Amplepuis-Thizy. A compter du 1er janvier 2014, la nouvelle dénomination est « Communauté de Communes de l’Ouest Rhodanien ».</t>
  </si>
  <si>
    <t>le rapprochement des interprofessions bois, liée à la fusion des Régions suppose de reporter le dossier une fois le rapprochement opéré et que le porteur aura une meilleure lisibilité du positionnement régional et Massif central des nouvelles entités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</si>
</sst>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40C]d\ mmmm\ yyyy;@"/>
    <numFmt numFmtId="165" formatCode="[$-40C]d\-mmm\-yyyy;@"/>
  </numFmts>
  <fonts count="18" x14ac:knownFonts="1">
    <font>
      <sz val="11"/>
      <color theme="1"/>
      <name val="Calibri"/>
      <family val="2"/>
      <scheme val="minor"/>
    </font>
    <font>
      <b/>
      <sz val="11"/>
      <color theme="1"/>
      <name val="Calibri"/>
      <family val="2"/>
      <scheme val="minor"/>
    </font>
    <font>
      <sz val="11"/>
      <color theme="1"/>
      <name val="Calibri"/>
      <family val="2"/>
      <scheme val="minor"/>
    </font>
    <font>
      <i/>
      <sz val="9"/>
      <color theme="1"/>
      <name val="Calibri"/>
      <family val="2"/>
      <scheme val="minor"/>
    </font>
    <font>
      <b/>
      <sz val="12"/>
      <color theme="1"/>
      <name val="Calibri"/>
      <family val="2"/>
      <scheme val="minor"/>
    </font>
    <font>
      <b/>
      <sz val="14"/>
      <color theme="1"/>
      <name val="Calibri"/>
      <family val="2"/>
      <scheme val="minor"/>
    </font>
    <font>
      <b/>
      <sz val="11"/>
      <color theme="0"/>
      <name val="Calibri"/>
      <family val="2"/>
      <scheme val="minor"/>
    </font>
    <font>
      <b/>
      <sz val="11"/>
      <color theme="1"/>
      <name val="Calibri"/>
      <family val="2"/>
      <scheme val="minor"/>
    </font>
    <font>
      <sz val="11"/>
      <color theme="1"/>
      <name val="Calibri"/>
      <family val="2"/>
      <scheme val="minor"/>
    </font>
    <font>
      <sz val="11"/>
      <color theme="1"/>
      <name val="Calibri"/>
      <family val="2"/>
      <scheme val="minor"/>
    </font>
    <font>
      <sz val="11"/>
      <name val="Calibri"/>
      <family val="2"/>
      <scheme val="minor"/>
    </font>
    <font>
      <sz val="11"/>
      <color theme="1"/>
      <name val="Calibri"/>
      <family val="2"/>
      <scheme val="minor"/>
    </font>
    <font>
      <b/>
      <sz val="11"/>
      <color theme="1"/>
      <name val="Arial"/>
      <family val="2"/>
    </font>
    <font>
      <sz val="11"/>
      <color theme="1"/>
      <name val="Arial"/>
      <family val="2"/>
    </font>
    <font>
      <i/>
      <sz val="11"/>
      <color theme="1"/>
      <name val="Arial"/>
      <family val="2"/>
    </font>
    <font>
      <b/>
      <i/>
      <sz val="11"/>
      <color theme="1"/>
      <name val="Arial"/>
      <family val="2"/>
    </font>
    <font>
      <b/>
      <i/>
      <sz val="11"/>
      <color rgb="FF0000FF"/>
      <name val="Arial"/>
      <family val="2"/>
    </font>
    <font>
      <i/>
      <sz val="11"/>
      <color rgb="FF0000FF"/>
      <name val="Arial"/>
      <family val="2"/>
    </font>
  </fonts>
  <fills count="10">
    <fill>
      <patternFill patternType="none"/>
    </fill>
    <fill>
      <patternFill patternType="gray125"/>
    </fill>
    <fill>
      <patternFill patternType="solid">
        <fgColor theme="8" tint="0.79998168889431442"/>
        <bgColor theme="8" tint="0.79998168889431442"/>
      </patternFill>
    </fill>
    <fill>
      <patternFill patternType="solid">
        <fgColor theme="8"/>
        <bgColor theme="8"/>
      </patternFill>
    </fill>
    <fill>
      <patternFill patternType="solid">
        <fgColor theme="4" tint="0.79998168889431442"/>
        <bgColor theme="4" tint="0.79998168889431442"/>
      </patternFill>
    </fill>
    <fill>
      <patternFill patternType="solid">
        <fgColor theme="4"/>
        <bgColor theme="4"/>
      </patternFill>
    </fill>
    <fill>
      <patternFill patternType="solid">
        <fgColor theme="8" tint="0.79998168889431442"/>
        <bgColor indexed="64"/>
      </patternFill>
    </fill>
    <fill>
      <patternFill patternType="solid">
        <fgColor rgb="FFFFCC00"/>
        <bgColor indexed="64"/>
      </patternFill>
    </fill>
    <fill>
      <patternFill patternType="solid">
        <fgColor rgb="FFE6E6E6"/>
        <bgColor indexed="64"/>
      </patternFill>
    </fill>
    <fill>
      <patternFill patternType="solid">
        <fgColor rgb="FFCCCCCC"/>
        <bgColor indexed="64"/>
      </patternFill>
    </fill>
  </fills>
  <borders count="15">
    <border>
      <left/>
      <right/>
      <top/>
      <bottom/>
      <diagonal/>
    </border>
    <border>
      <left/>
      <right/>
      <top style="thin">
        <color theme="8" tint="0.39997558519241921"/>
      </top>
      <bottom style="thin">
        <color theme="8" tint="0.39997558519241921"/>
      </bottom>
      <diagonal/>
    </border>
    <border>
      <left/>
      <right style="thin">
        <color theme="8" tint="0.39997558519241921"/>
      </right>
      <top style="thin">
        <color theme="8" tint="0.39997558519241921"/>
      </top>
      <bottom style="thin">
        <color theme="8" tint="0.39997558519241921"/>
      </bottom>
      <diagonal/>
    </border>
    <border>
      <left/>
      <right/>
      <top style="double">
        <color theme="8"/>
      </top>
      <bottom style="thin">
        <color theme="8" tint="0.39997558519241921"/>
      </bottom>
      <diagonal/>
    </border>
    <border>
      <left/>
      <right style="thin">
        <color theme="8" tint="0.39997558519241921"/>
      </right>
      <top style="double">
        <color theme="8"/>
      </top>
      <bottom style="thin">
        <color theme="8" tint="0.39997558519241921"/>
      </bottom>
      <diagonal/>
    </border>
    <border>
      <left/>
      <right/>
      <top style="double">
        <color theme="8" tint="0.39994506668294322"/>
      </top>
      <bottom/>
      <diagonal/>
    </border>
    <border>
      <left/>
      <right style="thin">
        <color theme="8" tint="0.39997558519241921"/>
      </right>
      <top style="thin">
        <color theme="8" tint="0.39997558519241921"/>
      </top>
      <bottom/>
      <diagonal/>
    </border>
    <border>
      <left/>
      <right/>
      <top style="thin">
        <color theme="4" tint="0.39997558519241921"/>
      </top>
      <bottom style="thin">
        <color theme="4" tint="0.39997558519241921"/>
      </bottom>
      <diagonal/>
    </border>
    <border>
      <left/>
      <right style="thin">
        <color theme="4" tint="0.39997558519241921"/>
      </right>
      <top style="thin">
        <color theme="4" tint="0.39997558519241921"/>
      </top>
      <bottom style="thin">
        <color theme="4" tint="0.39997558519241921"/>
      </bottom>
      <diagonal/>
    </border>
    <border>
      <left style="medium">
        <color rgb="FF000000"/>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bottom style="medium">
        <color rgb="FF000000"/>
      </bottom>
      <diagonal/>
    </border>
  </borders>
  <cellStyleXfs count="1">
    <xf numFmtId="0" fontId="0" fillId="0" borderId="0"/>
  </cellStyleXfs>
  <cellXfs count="124">
    <xf numFmtId="0" fontId="0" fillId="0" borderId="0" xfId="0"/>
    <xf numFmtId="0" fontId="1" fillId="0" borderId="0" xfId="0" applyFont="1"/>
    <xf numFmtId="0" fontId="1" fillId="0" borderId="0" xfId="0" applyFont="1" applyAlignment="1">
      <alignment wrapText="1"/>
    </xf>
    <xf numFmtId="0" fontId="0" fillId="0" borderId="0" xfId="0" applyFont="1"/>
    <xf numFmtId="0" fontId="0" fillId="0" borderId="0" xfId="0" applyFont="1" applyAlignment="1">
      <alignment wrapText="1"/>
    </xf>
    <xf numFmtId="0" fontId="0" fillId="0" borderId="0" xfId="0" applyFont="1" applyAlignment="1">
      <alignment vertical="center" wrapText="1"/>
    </xf>
    <xf numFmtId="0" fontId="0" fillId="0" borderId="0" xfId="0" applyFont="1" applyAlignment="1">
      <alignment horizontal="center" vertical="center"/>
    </xf>
    <xf numFmtId="0" fontId="0" fillId="0" borderId="0" xfId="0" applyFont="1" applyAlignment="1">
      <alignment horizontal="center" vertical="center" wrapText="1"/>
    </xf>
    <xf numFmtId="4" fontId="0" fillId="0" borderId="0" xfId="0" applyNumberFormat="1" applyFont="1" applyAlignment="1">
      <alignment vertical="center"/>
    </xf>
    <xf numFmtId="10" fontId="0" fillId="0" borderId="0" xfId="0" applyNumberFormat="1" applyFont="1" applyAlignment="1">
      <alignment horizontal="center" vertical="center"/>
    </xf>
    <xf numFmtId="0" fontId="0" fillId="0" borderId="0" xfId="0" applyFont="1" applyAlignment="1">
      <alignment vertical="center"/>
    </xf>
    <xf numFmtId="0" fontId="2" fillId="0" borderId="0" xfId="0" applyFont="1" applyAlignment="1">
      <alignment vertical="center"/>
    </xf>
    <xf numFmtId="0" fontId="2" fillId="0" borderId="0" xfId="0" applyFont="1" applyAlignment="1">
      <alignment vertical="center" wrapText="1"/>
    </xf>
    <xf numFmtId="0" fontId="2" fillId="0" borderId="0" xfId="0" applyFont="1" applyAlignment="1">
      <alignment horizontal="center" vertical="center"/>
    </xf>
    <xf numFmtId="4" fontId="0" fillId="0" borderId="0" xfId="0" applyNumberFormat="1"/>
    <xf numFmtId="4" fontId="2" fillId="0" borderId="0" xfId="0" applyNumberFormat="1" applyFont="1" applyAlignment="1">
      <alignment vertical="center"/>
    </xf>
    <xf numFmtId="10" fontId="2" fillId="0" borderId="0" xfId="0" applyNumberFormat="1" applyFont="1" applyAlignment="1">
      <alignment horizontal="center" vertical="center"/>
    </xf>
    <xf numFmtId="0" fontId="2" fillId="0" borderId="0" xfId="0" applyFont="1" applyAlignment="1">
      <alignment horizontal="center" vertical="center" wrapText="1"/>
    </xf>
    <xf numFmtId="0" fontId="3" fillId="0" borderId="0" xfId="0" applyFont="1"/>
    <xf numFmtId="4" fontId="3" fillId="0" borderId="0" xfId="0" applyNumberFormat="1" applyFont="1"/>
    <xf numFmtId="0" fontId="4" fillId="0" borderId="0" xfId="0" applyFont="1" applyAlignment="1">
      <alignment wrapText="1"/>
    </xf>
    <xf numFmtId="0" fontId="5" fillId="0" borderId="0" xfId="0" applyFont="1" applyAlignment="1">
      <alignment horizontal="left" wrapText="1"/>
    </xf>
    <xf numFmtId="164" fontId="5" fillId="0" borderId="0" xfId="0" applyNumberFormat="1" applyFont="1" applyAlignment="1">
      <alignment horizontal="left" vertical="center" wrapText="1"/>
    </xf>
    <xf numFmtId="165" fontId="1" fillId="0" borderId="0" xfId="0" applyNumberFormat="1" applyFont="1"/>
    <xf numFmtId="0" fontId="0" fillId="2" borderId="1" xfId="0" applyFont="1" applyFill="1" applyBorder="1" applyAlignment="1">
      <alignment vertical="center" wrapText="1"/>
    </xf>
    <xf numFmtId="0" fontId="0" fillId="0" borderId="1" xfId="0" applyFont="1" applyBorder="1" applyAlignment="1">
      <alignment vertical="center"/>
    </xf>
    <xf numFmtId="0" fontId="0" fillId="0" borderId="1" xfId="0" applyFont="1" applyBorder="1" applyAlignment="1">
      <alignment vertical="center" wrapText="1"/>
    </xf>
    <xf numFmtId="0" fontId="0" fillId="0" borderId="1" xfId="0" applyFont="1" applyBorder="1" applyAlignment="1">
      <alignment wrapText="1"/>
    </xf>
    <xf numFmtId="0" fontId="0" fillId="2" borderId="1" xfId="0" applyFont="1" applyFill="1" applyBorder="1" applyAlignment="1">
      <alignment wrapText="1"/>
    </xf>
    <xf numFmtId="0" fontId="1" fillId="0" borderId="3" xfId="0" applyFont="1" applyBorder="1" applyAlignment="1">
      <alignment vertical="center"/>
    </xf>
    <xf numFmtId="0" fontId="1" fillId="0" borderId="4" xfId="0" applyFont="1" applyBorder="1"/>
    <xf numFmtId="0" fontId="6" fillId="3" borderId="1" xfId="0" applyFont="1" applyFill="1" applyBorder="1" applyAlignment="1">
      <alignment horizontal="center" vertical="center" wrapText="1"/>
    </xf>
    <xf numFmtId="4" fontId="2" fillId="2" borderId="2" xfId="0" applyNumberFormat="1" applyFont="1" applyFill="1" applyBorder="1" applyAlignment="1">
      <alignment vertical="center"/>
    </xf>
    <xf numFmtId="4" fontId="2" fillId="0" borderId="2" xfId="0" applyNumberFormat="1" applyFont="1" applyBorder="1" applyAlignment="1">
      <alignment vertical="center"/>
    </xf>
    <xf numFmtId="0" fontId="7" fillId="3" borderId="2" xfId="0" applyFont="1" applyFill="1" applyBorder="1" applyAlignment="1">
      <alignment horizontal="center" vertical="center" wrapText="1"/>
    </xf>
    <xf numFmtId="4" fontId="2" fillId="0" borderId="6" xfId="0" applyNumberFormat="1" applyFont="1" applyBorder="1" applyAlignment="1">
      <alignment vertical="center"/>
    </xf>
    <xf numFmtId="0" fontId="6" fillId="5" borderId="7" xfId="0" applyFont="1" applyFill="1" applyBorder="1" applyAlignment="1">
      <alignment horizontal="center" vertical="center" wrapText="1"/>
    </xf>
    <xf numFmtId="0" fontId="0" fillId="0" borderId="0" xfId="0" applyAlignment="1" applyProtection="1">
      <alignment vertical="center"/>
      <protection locked="0"/>
    </xf>
    <xf numFmtId="0" fontId="5" fillId="0" borderId="0" xfId="0" applyFont="1" applyAlignment="1" applyProtection="1">
      <alignment horizontal="left" wrapText="1"/>
      <protection locked="0"/>
    </xf>
    <xf numFmtId="164" fontId="5" fillId="0" borderId="0" xfId="0" applyNumberFormat="1" applyFont="1" applyAlignment="1" applyProtection="1">
      <alignment horizontal="left" vertical="center" wrapText="1"/>
      <protection locked="0"/>
    </xf>
    <xf numFmtId="0" fontId="0" fillId="0" borderId="0" xfId="0" applyProtection="1">
      <protection locked="0"/>
    </xf>
    <xf numFmtId="4" fontId="0" fillId="0" borderId="0" xfId="0" applyNumberFormat="1" applyAlignment="1" applyProtection="1">
      <alignment vertical="center"/>
      <protection locked="0"/>
    </xf>
    <xf numFmtId="0" fontId="1" fillId="0" borderId="0" xfId="0" applyFont="1" applyAlignment="1" applyProtection="1">
      <alignment vertical="center"/>
      <protection locked="0"/>
    </xf>
    <xf numFmtId="0" fontId="0" fillId="0" borderId="0" xfId="0" applyAlignment="1" applyProtection="1">
      <alignment horizontal="center" vertical="center" wrapText="1"/>
      <protection locked="0"/>
    </xf>
    <xf numFmtId="0" fontId="0" fillId="0" borderId="0" xfId="0" applyAlignment="1" applyProtection="1">
      <alignment horizontal="center" vertical="center"/>
      <protection locked="0"/>
    </xf>
    <xf numFmtId="4" fontId="0" fillId="0" borderId="0" xfId="0" applyNumberFormat="1" applyAlignment="1" applyProtection="1">
      <alignment horizontal="center" vertical="center" wrapText="1"/>
      <protection locked="0"/>
    </xf>
    <xf numFmtId="0" fontId="0" fillId="0" borderId="0" xfId="0" applyAlignment="1" applyProtection="1">
      <alignment vertical="center" wrapText="1"/>
      <protection locked="0"/>
    </xf>
    <xf numFmtId="4" fontId="0" fillId="0" borderId="0" xfId="0" applyNumberFormat="1" applyAlignment="1" applyProtection="1">
      <alignment vertical="center" wrapText="1"/>
      <protection locked="0"/>
    </xf>
    <xf numFmtId="10" fontId="0" fillId="0" borderId="0" xfId="0" applyNumberFormat="1" applyAlignment="1" applyProtection="1">
      <alignment vertical="center" wrapText="1"/>
      <protection locked="0"/>
    </xf>
    <xf numFmtId="4" fontId="0" fillId="0" borderId="0" xfId="0" applyNumberFormat="1" applyFill="1" applyAlignment="1" applyProtection="1">
      <alignment vertical="center" wrapText="1"/>
      <protection locked="0"/>
    </xf>
    <xf numFmtId="0" fontId="2" fillId="0" borderId="0" xfId="0" applyFont="1" applyAlignment="1" applyProtection="1">
      <alignment vertical="center"/>
      <protection locked="0"/>
    </xf>
    <xf numFmtId="0" fontId="0" fillId="0" borderId="0" xfId="0" applyFill="1" applyAlignment="1" applyProtection="1">
      <alignment vertical="center" wrapText="1"/>
      <protection locked="0"/>
    </xf>
    <xf numFmtId="0" fontId="0" fillId="0" borderId="0" xfId="0" applyFont="1" applyProtection="1">
      <protection locked="0"/>
    </xf>
    <xf numFmtId="0" fontId="8" fillId="0" borderId="0" xfId="0" applyFont="1" applyAlignment="1">
      <alignment vertical="center"/>
    </xf>
    <xf numFmtId="0" fontId="8" fillId="0" borderId="0" xfId="0" applyFont="1" applyAlignment="1">
      <alignment vertical="center" wrapText="1"/>
    </xf>
    <xf numFmtId="4" fontId="0" fillId="0" borderId="8" xfId="0" applyNumberFormat="1" applyFont="1" applyBorder="1" applyAlignment="1">
      <alignment vertical="center" wrapText="1"/>
    </xf>
    <xf numFmtId="0" fontId="0" fillId="4" borderId="8" xfId="0" applyFont="1" applyFill="1" applyBorder="1" applyAlignment="1">
      <alignment vertical="center" wrapText="1"/>
    </xf>
    <xf numFmtId="0" fontId="0" fillId="0" borderId="8" xfId="0" applyFont="1" applyBorder="1" applyAlignment="1">
      <alignment vertical="center" wrapText="1"/>
    </xf>
    <xf numFmtId="0" fontId="0" fillId="2" borderId="2" xfId="0" applyFont="1" applyFill="1" applyBorder="1" applyAlignment="1">
      <alignment vertical="center"/>
    </xf>
    <xf numFmtId="0" fontId="0" fillId="0" borderId="2" xfId="0" applyFont="1" applyBorder="1" applyAlignment="1">
      <alignment vertical="center"/>
    </xf>
    <xf numFmtId="4" fontId="0" fillId="0" borderId="0" xfId="0" applyNumberFormat="1" applyFont="1" applyFill="1" applyAlignment="1">
      <alignment vertical="center"/>
    </xf>
    <xf numFmtId="0" fontId="8" fillId="0" borderId="0" xfId="0" applyFont="1" applyAlignment="1">
      <alignment horizontal="center" vertical="center"/>
    </xf>
    <xf numFmtId="4" fontId="8" fillId="0" borderId="0" xfId="0" applyNumberFormat="1" applyFont="1" applyAlignment="1">
      <alignment vertical="center"/>
    </xf>
    <xf numFmtId="10" fontId="8" fillId="0" borderId="0" xfId="0" applyNumberFormat="1" applyFont="1" applyAlignment="1">
      <alignment horizontal="center" vertical="center"/>
    </xf>
    <xf numFmtId="4" fontId="0" fillId="4" borderId="8" xfId="0" applyNumberFormat="1" applyFont="1" applyFill="1" applyBorder="1" applyAlignment="1">
      <alignment vertical="center" wrapText="1"/>
    </xf>
    <xf numFmtId="4" fontId="2" fillId="0" borderId="0" xfId="0" applyNumberFormat="1" applyFont="1" applyFill="1" applyAlignment="1">
      <alignment vertical="center"/>
    </xf>
    <xf numFmtId="10" fontId="2" fillId="0" borderId="0" xfId="0" applyNumberFormat="1" applyFont="1" applyFill="1" applyAlignment="1">
      <alignment horizontal="center" vertical="center"/>
    </xf>
    <xf numFmtId="0" fontId="2" fillId="0" borderId="0" xfId="0" applyFont="1" applyFill="1" applyAlignment="1">
      <alignment vertical="center"/>
    </xf>
    <xf numFmtId="0" fontId="2" fillId="0" borderId="0" xfId="0" applyFont="1" applyAlignment="1">
      <alignment horizontal="left" vertical="center" wrapText="1"/>
    </xf>
    <xf numFmtId="0" fontId="0" fillId="0" borderId="0" xfId="0" applyFont="1" applyAlignment="1">
      <alignment horizontal="left" vertical="center" wrapText="1"/>
    </xf>
    <xf numFmtId="0" fontId="9" fillId="0" borderId="0" xfId="0" applyFont="1" applyAlignment="1">
      <alignment vertical="center"/>
    </xf>
    <xf numFmtId="0" fontId="9" fillId="0" borderId="0" xfId="0" applyFont="1" applyAlignment="1">
      <alignment vertical="center" wrapText="1"/>
    </xf>
    <xf numFmtId="4" fontId="9" fillId="0" borderId="0" xfId="0" applyNumberFormat="1" applyFont="1"/>
    <xf numFmtId="4" fontId="9" fillId="0" borderId="0" xfId="0" applyNumberFormat="1" applyFont="1" applyAlignment="1">
      <alignment horizontal="center" vertical="center"/>
    </xf>
    <xf numFmtId="0" fontId="9" fillId="0" borderId="0" xfId="0" applyFont="1"/>
    <xf numFmtId="0" fontId="9" fillId="0" borderId="5" xfId="0" applyFont="1" applyBorder="1" applyAlignment="1">
      <alignment vertical="center"/>
    </xf>
    <xf numFmtId="4" fontId="10" fillId="6" borderId="0" xfId="0" applyNumberFormat="1" applyFont="1" applyFill="1" applyAlignment="1">
      <alignment vertical="center"/>
    </xf>
    <xf numFmtId="10" fontId="10" fillId="6" borderId="0" xfId="0" applyNumberFormat="1" applyFont="1" applyFill="1" applyAlignment="1">
      <alignment horizontal="center" vertical="center"/>
    </xf>
    <xf numFmtId="0" fontId="10" fillId="6" borderId="0" xfId="0" applyFont="1" applyFill="1" applyAlignment="1">
      <alignment vertical="center"/>
    </xf>
    <xf numFmtId="0" fontId="2" fillId="6" borderId="0" xfId="0" applyFont="1" applyFill="1" applyAlignment="1">
      <alignment vertical="center" wrapText="1"/>
    </xf>
    <xf numFmtId="4" fontId="2" fillId="6" borderId="0" xfId="0" applyNumberFormat="1" applyFont="1" applyFill="1" applyAlignment="1">
      <alignment vertical="center"/>
    </xf>
    <xf numFmtId="10" fontId="2" fillId="6" borderId="0" xfId="0" applyNumberFormat="1" applyFont="1" applyFill="1" applyAlignment="1">
      <alignment horizontal="center" vertical="center"/>
    </xf>
    <xf numFmtId="0" fontId="2" fillId="6" borderId="0" xfId="0" applyFont="1" applyFill="1" applyAlignment="1">
      <alignment vertical="center"/>
    </xf>
    <xf numFmtId="0" fontId="11" fillId="0" borderId="0" xfId="0" applyFont="1" applyAlignment="1">
      <alignment vertical="center"/>
    </xf>
    <xf numFmtId="0" fontId="11" fillId="0" borderId="0" xfId="0" applyFont="1" applyAlignment="1">
      <alignment vertical="center" wrapText="1"/>
    </xf>
    <xf numFmtId="4" fontId="11" fillId="0" borderId="0" xfId="0" applyNumberFormat="1" applyFont="1"/>
    <xf numFmtId="4" fontId="11" fillId="0" borderId="0" xfId="0" applyNumberFormat="1" applyFont="1" applyAlignment="1">
      <alignment horizontal="center" vertical="center"/>
    </xf>
    <xf numFmtId="0" fontId="11" fillId="0" borderId="0" xfId="0" applyFont="1"/>
    <xf numFmtId="0" fontId="12" fillId="0" borderId="0" xfId="0" applyFont="1" applyAlignment="1">
      <alignment vertical="center" wrapText="1"/>
    </xf>
    <xf numFmtId="0" fontId="12" fillId="0" borderId="0" xfId="0" applyFont="1" applyAlignment="1">
      <alignment horizontal="center" vertical="center" wrapText="1"/>
    </xf>
    <xf numFmtId="0" fontId="14" fillId="0" borderId="9" xfId="0" applyFont="1" applyBorder="1" applyAlignment="1">
      <alignment horizontal="center" vertical="center" wrapText="1"/>
    </xf>
    <xf numFmtId="0" fontId="13" fillId="0" borderId="0" xfId="0" applyFont="1" applyAlignment="1">
      <alignment horizontal="center" vertical="center" wrapText="1"/>
    </xf>
    <xf numFmtId="0" fontId="12" fillId="0" borderId="0" xfId="0" applyFont="1" applyAlignment="1">
      <alignment horizontal="left" vertical="center" wrapText="1"/>
    </xf>
    <xf numFmtId="0" fontId="13" fillId="0" borderId="0" xfId="0" applyFont="1" applyAlignment="1">
      <alignment vertical="center" wrapText="1"/>
    </xf>
    <xf numFmtId="0" fontId="15" fillId="0" borderId="0" xfId="0" applyFont="1" applyAlignment="1">
      <alignment horizontal="center" vertical="center" wrapText="1"/>
    </xf>
    <xf numFmtId="0" fontId="14" fillId="0" borderId="0" xfId="0" applyFont="1" applyAlignment="1">
      <alignment horizontal="center" vertical="center" wrapText="1"/>
    </xf>
    <xf numFmtId="0" fontId="13" fillId="0" borderId="0" xfId="0" applyFont="1" applyAlignment="1">
      <alignment horizontal="left" vertical="center" wrapText="1"/>
    </xf>
    <xf numFmtId="0" fontId="12" fillId="8" borderId="9" xfId="0" applyFont="1" applyFill="1" applyBorder="1" applyAlignment="1">
      <alignment horizontal="center" vertical="center" wrapText="1"/>
    </xf>
    <xf numFmtId="0" fontId="13" fillId="8" borderId="0" xfId="0" applyFont="1" applyFill="1" applyAlignment="1">
      <alignment horizontal="left" vertical="center" wrapText="1"/>
    </xf>
    <xf numFmtId="0" fontId="12" fillId="0" borderId="9" xfId="0" applyFont="1" applyBorder="1" applyAlignment="1">
      <alignment horizontal="center" vertical="center" wrapText="1"/>
    </xf>
    <xf numFmtId="0" fontId="13" fillId="0" borderId="9" xfId="0" applyFont="1" applyBorder="1" applyAlignment="1">
      <alignment horizontal="center" vertical="center" wrapText="1"/>
    </xf>
    <xf numFmtId="0" fontId="13" fillId="0" borderId="9" xfId="0" applyFont="1" applyBorder="1" applyAlignment="1">
      <alignment horizontal="left" vertical="center" wrapText="1"/>
    </xf>
    <xf numFmtId="0" fontId="13" fillId="9" borderId="9" xfId="0" applyFont="1" applyFill="1" applyBorder="1" applyAlignment="1">
      <alignment horizontal="center" vertical="center" wrapText="1"/>
    </xf>
    <xf numFmtId="0" fontId="12" fillId="0" borderId="9" xfId="0" applyFont="1" applyBorder="1" applyAlignment="1">
      <alignment vertical="center" wrapText="1"/>
    </xf>
    <xf numFmtId="0" fontId="16" fillId="0" borderId="9" xfId="0" applyFont="1" applyBorder="1" applyAlignment="1">
      <alignment horizontal="center" vertical="center" wrapText="1"/>
    </xf>
    <xf numFmtId="0" fontId="17" fillId="0" borderId="9" xfId="0" applyFont="1" applyBorder="1" applyAlignment="1">
      <alignment horizontal="center" vertical="center" wrapText="1"/>
    </xf>
    <xf numFmtId="0" fontId="2" fillId="0" borderId="0" xfId="0" applyFont="1" applyFill="1" applyAlignment="1">
      <alignment vertical="center" wrapText="1"/>
    </xf>
    <xf numFmtId="0" fontId="5" fillId="0" borderId="0" xfId="0" applyFont="1" applyAlignment="1">
      <alignment horizontal="center" wrapText="1"/>
    </xf>
    <xf numFmtId="0" fontId="1" fillId="0" borderId="0" xfId="0" applyFont="1" applyAlignment="1">
      <alignment horizontal="center"/>
    </xf>
    <xf numFmtId="0" fontId="12" fillId="0" borderId="10" xfId="0" applyFont="1" applyBorder="1" applyAlignment="1">
      <alignment horizontal="center" vertical="center" wrapText="1"/>
    </xf>
    <xf numFmtId="0" fontId="12" fillId="0" borderId="11" xfId="0" applyFont="1" applyBorder="1" applyAlignment="1">
      <alignment horizontal="center" vertical="center" wrapText="1"/>
    </xf>
    <xf numFmtId="0" fontId="12" fillId="0" borderId="12" xfId="0" applyFont="1" applyBorder="1" applyAlignment="1">
      <alignment horizontal="center" vertical="center" wrapText="1"/>
    </xf>
    <xf numFmtId="0" fontId="13" fillId="0" borderId="13" xfId="0" applyFont="1" applyBorder="1" applyAlignment="1">
      <alignment horizontal="center" vertical="center" wrapText="1"/>
    </xf>
    <xf numFmtId="0" fontId="13" fillId="0" borderId="14" xfId="0" applyFont="1" applyBorder="1" applyAlignment="1">
      <alignment horizontal="center" vertical="center" wrapText="1"/>
    </xf>
    <xf numFmtId="0" fontId="12" fillId="7" borderId="10" xfId="0" applyFont="1" applyFill="1" applyBorder="1" applyAlignment="1">
      <alignment horizontal="center" vertical="center" wrapText="1"/>
    </xf>
    <xf numFmtId="0" fontId="12" fillId="7" borderId="11" xfId="0" applyFont="1" applyFill="1" applyBorder="1" applyAlignment="1">
      <alignment horizontal="center" vertical="center" wrapText="1"/>
    </xf>
    <xf numFmtId="0" fontId="12" fillId="7" borderId="12" xfId="0" applyFont="1" applyFill="1" applyBorder="1" applyAlignment="1">
      <alignment horizontal="center" vertical="center" wrapText="1"/>
    </xf>
    <xf numFmtId="0" fontId="12" fillId="8" borderId="10" xfId="0" applyFont="1" applyFill="1" applyBorder="1" applyAlignment="1">
      <alignment horizontal="center" vertical="center" wrapText="1"/>
    </xf>
    <xf numFmtId="0" fontId="12" fillId="8" borderId="11" xfId="0" applyFont="1" applyFill="1" applyBorder="1" applyAlignment="1">
      <alignment horizontal="center" vertical="center" wrapText="1"/>
    </xf>
    <xf numFmtId="0" fontId="13" fillId="0" borderId="10" xfId="0" applyFont="1" applyBorder="1" applyAlignment="1">
      <alignment horizontal="center" vertical="center" wrapText="1"/>
    </xf>
    <xf numFmtId="0" fontId="13" fillId="0" borderId="11" xfId="0" applyFont="1" applyBorder="1" applyAlignment="1">
      <alignment horizontal="center" vertical="center" wrapText="1"/>
    </xf>
    <xf numFmtId="0" fontId="13" fillId="0" borderId="12" xfId="0" applyFont="1" applyBorder="1" applyAlignment="1">
      <alignment horizontal="center" vertical="center" wrapText="1"/>
    </xf>
    <xf numFmtId="0" fontId="12" fillId="0" borderId="13" xfId="0" applyFont="1" applyBorder="1" applyAlignment="1">
      <alignment horizontal="center" vertical="center" wrapText="1"/>
    </xf>
    <xf numFmtId="0" fontId="12" fillId="0" borderId="14" xfId="0" applyFont="1" applyBorder="1" applyAlignment="1">
      <alignment horizontal="center" vertical="center" wrapText="1"/>
    </xf>
  </cellXfs>
  <cellStyles count="1">
    <cellStyle name="Normal" xfId="0" builtinId="0"/>
  </cellStyles>
  <dxfs count="851">
    <dxf>
      <alignment horizontal="general" vertical="center" textRotation="0" wrapText="0" indent="0" justifyLastLine="0" shrinkToFit="0" readingOrder="0"/>
      <protection locked="0" hidden="0"/>
    </dxf>
    <dxf>
      <numFmt numFmtId="0" formatCode="General"/>
      <alignment horizontal="general" vertical="center" textRotation="0" wrapText="0" indent="0" justifyLastLine="0" shrinkToFit="0" readingOrder="0"/>
      <protection locked="0" hidden="0"/>
    </dxf>
    <dxf>
      <numFmt numFmtId="4" formatCode="#,##0.00"/>
      <fill>
        <patternFill patternType="none">
          <fgColor indexed="64"/>
          <bgColor indexed="65"/>
        </patternFill>
      </fill>
      <alignment horizontal="general" vertical="center" textRotation="0" wrapText="1" indent="0" justifyLastLine="0" shrinkToFit="0" readingOrder="0"/>
      <protection locked="0" hidden="0"/>
    </dxf>
    <dxf>
      <alignment horizontal="general" vertical="center" textRotation="0" wrapText="0" indent="0" justifyLastLine="0" shrinkToFit="0" readingOrder="0"/>
      <protection locked="0" hidden="0"/>
    </dxf>
    <dxf>
      <numFmt numFmtId="4" formatCode="#,##0.00"/>
      <fill>
        <patternFill patternType="none">
          <fgColor indexed="64"/>
          <bgColor indexed="65"/>
        </patternFill>
      </fill>
      <alignment horizontal="general" vertical="center" textRotation="0" wrapText="1" indent="0" justifyLastLine="0" shrinkToFit="0" readingOrder="0"/>
      <protection locked="0" hidden="0"/>
    </dxf>
    <dxf>
      <alignment horizontal="general" vertical="center" textRotation="0" wrapText="0" indent="0" justifyLastLine="0" shrinkToFit="0" readingOrder="0"/>
      <protection locked="0" hidden="0"/>
    </dxf>
    <dxf>
      <numFmt numFmtId="4" formatCode="#,##0.00"/>
      <fill>
        <patternFill patternType="none">
          <fgColor indexed="64"/>
          <bgColor indexed="65"/>
        </patternFill>
      </fill>
      <alignment horizontal="general" vertical="center" textRotation="0" wrapText="1" indent="0" justifyLastLine="0" shrinkToFit="0" readingOrder="0"/>
      <protection locked="0" hidden="0"/>
    </dxf>
    <dxf>
      <alignment horizontal="general" vertical="center" textRotation="0" wrapText="0" indent="0" justifyLastLine="0" shrinkToFit="0" readingOrder="0"/>
      <protection locked="0" hidden="0"/>
    </dxf>
    <dxf>
      <numFmt numFmtId="4" formatCode="#,##0.00"/>
      <fill>
        <patternFill patternType="none">
          <fgColor indexed="64"/>
          <bgColor indexed="65"/>
        </patternFill>
      </fill>
      <alignment horizontal="general" vertical="center" textRotation="0" wrapText="1" indent="0" justifyLastLine="0" shrinkToFit="0" readingOrder="0"/>
      <protection locked="0" hidden="0"/>
    </dxf>
    <dxf>
      <alignment horizontal="general" vertical="center" textRotation="0" wrapText="0" indent="0" justifyLastLine="0" shrinkToFit="0" readingOrder="0"/>
      <protection locked="0" hidden="0"/>
    </dxf>
    <dxf>
      <numFmt numFmtId="4" formatCode="#,##0.00"/>
      <fill>
        <patternFill patternType="none">
          <fgColor indexed="64"/>
          <bgColor indexed="65"/>
        </patternFill>
      </fill>
      <alignment horizontal="general" vertical="center" textRotation="0" wrapText="1" indent="0" justifyLastLine="0" shrinkToFit="0" readingOrder="0"/>
      <protection locked="0" hidden="0"/>
    </dxf>
    <dxf>
      <alignment horizontal="general" vertical="center" textRotation="0" wrapText="0" indent="0" justifyLastLine="0" shrinkToFit="0" readingOrder="0"/>
      <protection locked="0" hidden="0"/>
    </dxf>
    <dxf>
      <numFmt numFmtId="4" formatCode="#,##0.00"/>
      <fill>
        <patternFill patternType="none">
          <fgColor indexed="64"/>
          <bgColor indexed="65"/>
        </patternFill>
      </fill>
      <alignment horizontal="general" vertical="center" textRotation="0" wrapText="1" indent="0" justifyLastLine="0" shrinkToFit="0" readingOrder="0"/>
      <protection locked="0" hidden="0"/>
    </dxf>
    <dxf>
      <alignment horizontal="general" vertical="center" textRotation="0" wrapText="0" indent="0" justifyLastLine="0" shrinkToFit="0" readingOrder="0"/>
      <protection locked="0" hidden="0"/>
    </dxf>
    <dxf>
      <numFmt numFmtId="4" formatCode="#,##0.00"/>
      <fill>
        <patternFill patternType="none">
          <fgColor indexed="64"/>
          <bgColor indexed="65"/>
        </patternFill>
      </fill>
      <alignment horizontal="general" vertical="center" textRotation="0" wrapText="1" indent="0" justifyLastLine="0" shrinkToFit="0" readingOrder="0"/>
      <protection locked="0" hidden="0"/>
    </dxf>
    <dxf>
      <alignment horizontal="general" vertical="center" textRotation="0" wrapText="0" indent="0" justifyLastLine="0" shrinkToFit="0" readingOrder="0"/>
      <protection locked="0" hidden="0"/>
    </dxf>
    <dxf>
      <numFmt numFmtId="4" formatCode="#,##0.00"/>
      <fill>
        <patternFill patternType="none">
          <fgColor indexed="64"/>
          <bgColor indexed="65"/>
        </patternFill>
      </fill>
      <alignment horizontal="general" vertical="center" textRotation="0" wrapText="1" indent="0" justifyLastLine="0" shrinkToFit="0" readingOrder="0"/>
      <protection locked="0" hidden="0"/>
    </dxf>
    <dxf>
      <alignment horizontal="general" vertical="center" textRotation="0" wrapText="0" indent="0" justifyLastLine="0" shrinkToFit="0" readingOrder="0"/>
      <protection locked="0" hidden="0"/>
    </dxf>
    <dxf>
      <numFmt numFmtId="4" formatCode="#,##0.00"/>
      <fill>
        <patternFill patternType="none">
          <fgColor indexed="64"/>
          <bgColor indexed="65"/>
        </patternFill>
      </fill>
      <alignment horizontal="general" vertical="center" textRotation="0" wrapText="1" indent="0" justifyLastLine="0" shrinkToFit="0" readingOrder="0"/>
      <protection locked="0" hidden="0"/>
    </dxf>
    <dxf>
      <alignment horizontal="general" vertical="center" textRotation="0" wrapText="0" indent="0" justifyLastLine="0" shrinkToFit="0" readingOrder="0"/>
      <protection locked="0" hidden="0"/>
    </dxf>
    <dxf>
      <numFmt numFmtId="4" formatCode="#,##0.00"/>
      <fill>
        <patternFill patternType="none">
          <fgColor indexed="64"/>
          <bgColor indexed="65"/>
        </patternFill>
      </fill>
      <alignment horizontal="general" vertical="center" textRotation="0" wrapText="1" indent="0" justifyLastLine="0" shrinkToFit="0" readingOrder="0"/>
      <protection locked="0" hidden="0"/>
    </dxf>
    <dxf>
      <alignment horizontal="general" vertical="center" textRotation="0" wrapText="0" indent="0" justifyLastLine="0" shrinkToFit="0" readingOrder="0"/>
      <protection locked="0" hidden="0"/>
    </dxf>
    <dxf>
      <numFmt numFmtId="4" formatCode="#,##0.00"/>
      <fill>
        <patternFill patternType="none">
          <fgColor indexed="64"/>
          <bgColor indexed="65"/>
        </patternFill>
      </fill>
      <alignment horizontal="general" vertical="center" textRotation="0" wrapText="1" indent="0" justifyLastLine="0" shrinkToFit="0" readingOrder="0"/>
      <protection locked="0" hidden="0"/>
    </dxf>
    <dxf>
      <alignment horizontal="general" vertical="center" textRotation="0" wrapText="0" indent="0" justifyLastLine="0" shrinkToFit="0" readingOrder="0"/>
      <protection locked="0" hidden="0"/>
    </dxf>
    <dxf>
      <numFmt numFmtId="4" formatCode="#,##0.00"/>
      <fill>
        <patternFill patternType="none">
          <fgColor indexed="64"/>
          <bgColor indexed="65"/>
        </patternFill>
      </fill>
      <alignment horizontal="general" vertical="center" textRotation="0" wrapText="1" indent="0" justifyLastLine="0" shrinkToFit="0" readingOrder="0"/>
      <protection locked="0" hidden="0"/>
    </dxf>
    <dxf>
      <alignment horizontal="general" vertical="center" textRotation="0" wrapText="0" indent="0" justifyLastLine="0" shrinkToFit="0" readingOrder="0"/>
      <protection locked="0" hidden="0"/>
    </dxf>
    <dxf>
      <numFmt numFmtId="4" formatCode="#,##0.00"/>
      <fill>
        <patternFill patternType="none">
          <fgColor indexed="64"/>
          <bgColor indexed="65"/>
        </patternFill>
      </fill>
      <alignment horizontal="general" vertical="center" textRotation="0" wrapText="1" indent="0" justifyLastLine="0" shrinkToFit="0" readingOrder="0"/>
      <protection locked="0" hidden="0"/>
    </dxf>
    <dxf>
      <alignment horizontal="general" vertical="center" textRotation="0" wrapText="0" indent="0" justifyLastLine="0" shrinkToFit="0" readingOrder="0"/>
      <protection locked="0" hidden="0"/>
    </dxf>
    <dxf>
      <numFmt numFmtId="4" formatCode="#,##0.00"/>
      <fill>
        <patternFill patternType="none">
          <fgColor indexed="64"/>
          <bgColor indexed="65"/>
        </patternFill>
      </fill>
      <alignment horizontal="general" vertical="center" textRotation="0" wrapText="1" indent="0" justifyLastLine="0" shrinkToFit="0" readingOrder="0"/>
      <protection locked="0" hidden="0"/>
    </dxf>
    <dxf>
      <alignment horizontal="general" vertical="center" textRotation="0" wrapText="0" indent="0" justifyLastLine="0" shrinkToFit="0" readingOrder="0"/>
      <protection locked="0" hidden="0"/>
    </dxf>
    <dxf>
      <numFmt numFmtId="4" formatCode="#,##0.00"/>
      <fill>
        <patternFill patternType="none">
          <fgColor indexed="64"/>
          <bgColor indexed="65"/>
        </patternFill>
      </fill>
      <alignment horizontal="general" vertical="center" textRotation="0" wrapText="1" indent="0" justifyLastLine="0" shrinkToFit="0" readingOrder="0"/>
      <protection locked="0" hidden="0"/>
    </dxf>
    <dxf>
      <alignment horizontal="general" vertical="center" textRotation="0" wrapText="0" indent="0" justifyLastLine="0" shrinkToFit="0" readingOrder="0"/>
      <protection locked="0" hidden="0"/>
    </dxf>
    <dxf>
      <numFmt numFmtId="4" formatCode="#,##0.00"/>
      <fill>
        <patternFill patternType="none">
          <fgColor indexed="64"/>
          <bgColor indexed="65"/>
        </patternFill>
      </fill>
      <alignment horizontal="general" vertical="center" textRotation="0" wrapText="1" indent="0" justifyLastLine="0" shrinkToFit="0" readingOrder="0"/>
      <protection locked="0" hidden="0"/>
    </dxf>
    <dxf>
      <alignment horizontal="general" vertical="center" textRotation="0" wrapText="0" indent="0" justifyLastLine="0" shrinkToFit="0" readingOrder="0"/>
      <protection locked="0" hidden="0"/>
    </dxf>
    <dxf>
      <numFmt numFmtId="4" formatCode="#,##0.00"/>
      <fill>
        <patternFill patternType="none">
          <fgColor indexed="64"/>
          <bgColor indexed="65"/>
        </patternFill>
      </fill>
      <alignment horizontal="general" vertical="center" textRotation="0" wrapText="1" indent="0" justifyLastLine="0" shrinkToFit="0" readingOrder="0"/>
      <protection locked="0" hidden="0"/>
    </dxf>
    <dxf>
      <alignment horizontal="general" vertical="center" textRotation="0" wrapText="0" indent="0" justifyLastLine="0" shrinkToFit="0" readingOrder="0"/>
      <protection locked="0" hidden="0"/>
    </dxf>
    <dxf>
      <numFmt numFmtId="4" formatCode="#,##0.00"/>
      <fill>
        <patternFill patternType="none">
          <fgColor indexed="64"/>
          <bgColor indexed="65"/>
        </patternFill>
      </fill>
      <alignment horizontal="general" vertical="center" textRotation="0" wrapText="1" indent="0" justifyLastLine="0" shrinkToFit="0" readingOrder="0"/>
      <protection locked="0" hidden="0"/>
    </dxf>
    <dxf>
      <alignment horizontal="general" vertical="center" textRotation="0" wrapText="0" indent="0" justifyLastLine="0" shrinkToFit="0" readingOrder="0"/>
      <protection locked="0" hidden="0"/>
    </dxf>
    <dxf>
      <numFmt numFmtId="4" formatCode="#,##0.00"/>
      <fill>
        <patternFill patternType="none">
          <fgColor indexed="64"/>
          <bgColor indexed="65"/>
        </patternFill>
      </fill>
      <alignment horizontal="general" vertical="center" textRotation="0" wrapText="1" indent="0" justifyLastLine="0" shrinkToFit="0" readingOrder="0"/>
      <protection locked="0" hidden="0"/>
    </dxf>
    <dxf>
      <alignment horizontal="general" vertical="center" textRotation="0" wrapText="0" indent="0" justifyLastLine="0" shrinkToFit="0" readingOrder="0"/>
      <protection locked="0" hidden="0"/>
    </dxf>
    <dxf>
      <numFmt numFmtId="4" formatCode="#,##0.00"/>
      <fill>
        <patternFill patternType="none">
          <fgColor indexed="64"/>
          <bgColor indexed="65"/>
        </patternFill>
      </fill>
      <alignment horizontal="general" vertical="center" textRotation="0" wrapText="1" indent="0" justifyLastLine="0" shrinkToFit="0" readingOrder="0"/>
      <protection locked="0" hidden="0"/>
    </dxf>
    <dxf>
      <alignment horizontal="general" vertical="center" textRotation="0" wrapText="0" indent="0" justifyLastLine="0" shrinkToFit="0" readingOrder="0"/>
      <protection locked="0" hidden="0"/>
    </dxf>
    <dxf>
      <numFmt numFmtId="4" formatCode="#,##0.00"/>
      <fill>
        <patternFill patternType="none">
          <fgColor indexed="64"/>
          <bgColor indexed="65"/>
        </patternFill>
      </fill>
      <alignment horizontal="general" vertical="center" textRotation="0" wrapText="1" indent="0" justifyLastLine="0" shrinkToFit="0" readingOrder="0"/>
      <protection locked="0" hidden="0"/>
    </dxf>
    <dxf>
      <alignment horizontal="general" vertical="center" textRotation="0" wrapText="0" indent="0" justifyLastLine="0" shrinkToFit="0" readingOrder="0"/>
      <protection locked="0" hidden="0"/>
    </dxf>
    <dxf>
      <numFmt numFmtId="4" formatCode="#,##0.00"/>
      <fill>
        <patternFill patternType="none">
          <fgColor indexed="64"/>
          <bgColor indexed="65"/>
        </patternFill>
      </fill>
      <alignment horizontal="general" vertical="center" textRotation="0" wrapText="1" indent="0" justifyLastLine="0" shrinkToFit="0" readingOrder="0"/>
      <protection locked="0" hidden="0"/>
    </dxf>
    <dxf>
      <alignment horizontal="general" vertical="center" textRotation="0" wrapText="0" indent="0" justifyLastLine="0" shrinkToFit="0" readingOrder="0"/>
      <protection locked="0" hidden="0"/>
    </dxf>
    <dxf>
      <numFmt numFmtId="4" formatCode="#,##0.00"/>
      <fill>
        <patternFill patternType="none">
          <fgColor indexed="64"/>
          <bgColor indexed="65"/>
        </patternFill>
      </fill>
      <alignment horizontal="general" vertical="center" textRotation="0" wrapText="1" indent="0" justifyLastLine="0" shrinkToFit="0" readingOrder="0"/>
      <protection locked="0" hidden="0"/>
    </dxf>
    <dxf>
      <alignment horizontal="general" vertical="center" textRotation="0" wrapText="0" indent="0" justifyLastLine="0" shrinkToFit="0" readingOrder="0"/>
      <protection locked="0" hidden="0"/>
    </dxf>
    <dxf>
      <numFmt numFmtId="4" formatCode="#,##0.00"/>
      <fill>
        <patternFill patternType="none">
          <fgColor indexed="64"/>
          <bgColor indexed="65"/>
        </patternFill>
      </fill>
      <alignment horizontal="general" vertical="center" textRotation="0" wrapText="1" indent="0" justifyLastLine="0" shrinkToFit="0" readingOrder="0"/>
      <protection locked="0" hidden="0"/>
    </dxf>
    <dxf>
      <numFmt numFmtId="4" formatCode="#,##0.00"/>
      <fill>
        <patternFill patternType="none">
          <fgColor indexed="64"/>
          <bgColor indexed="65"/>
        </patternFill>
      </fill>
      <alignment horizontal="general" vertical="center" textRotation="0" wrapText="1" indent="0" justifyLastLine="0" shrinkToFit="0" readingOrder="0"/>
      <protection locked="0" hidden="0"/>
    </dxf>
    <dxf>
      <numFmt numFmtId="4" formatCode="#,##0.00"/>
      <fill>
        <patternFill patternType="none">
          <fgColor indexed="64"/>
          <bgColor indexed="65"/>
        </patternFill>
      </fill>
      <alignment horizontal="general" vertical="center" textRotation="0" wrapText="1" indent="0" justifyLastLine="0" shrinkToFit="0" readingOrder="0"/>
      <protection locked="0" hidden="0"/>
    </dxf>
    <dxf>
      <numFmt numFmtId="4" formatCode="#,##0.00"/>
      <fill>
        <patternFill patternType="none">
          <fgColor indexed="64"/>
          <bgColor indexed="65"/>
        </patternFill>
      </fill>
      <alignment horizontal="general" vertical="center" textRotation="0" wrapText="1" indent="0" justifyLastLine="0" shrinkToFit="0" readingOrder="0"/>
      <protection locked="0" hidden="0"/>
    </dxf>
    <dxf>
      <numFmt numFmtId="4" formatCode="#,##0.00"/>
      <fill>
        <patternFill patternType="none">
          <fgColor indexed="64"/>
          <bgColor indexed="65"/>
        </patternFill>
      </fill>
      <alignment horizontal="general" vertical="center" textRotation="0" wrapText="1" indent="0" justifyLastLine="0" shrinkToFit="0" readingOrder="0"/>
      <protection locked="0" hidden="0"/>
    </dxf>
    <dxf>
      <alignment horizontal="general" vertical="center" textRotation="0" wrapText="0" indent="0" justifyLastLine="0" shrinkToFit="0" readingOrder="0"/>
      <protection locked="0" hidden="0"/>
    </dxf>
    <dxf>
      <numFmt numFmtId="4" formatCode="#,##0.00"/>
      <fill>
        <patternFill patternType="none">
          <fgColor indexed="64"/>
          <bgColor indexed="65"/>
        </patternFill>
      </fill>
      <alignment horizontal="general" vertical="center" textRotation="0" wrapText="1" indent="0" justifyLastLine="0" shrinkToFit="0" readingOrder="0"/>
      <protection locked="0" hidden="0"/>
    </dxf>
    <dxf>
      <alignment horizontal="general" vertical="center" textRotation="0" wrapText="0" indent="0" justifyLastLine="0" shrinkToFit="0" readingOrder="0"/>
      <protection locked="0" hidden="0"/>
    </dxf>
    <dxf>
      <numFmt numFmtId="4" formatCode="#,##0.00"/>
      <fill>
        <patternFill patternType="none">
          <fgColor indexed="64"/>
          <bgColor indexed="65"/>
        </patternFill>
      </fill>
      <alignment horizontal="general" vertical="center" textRotation="0" wrapText="1" indent="0" justifyLastLine="0" shrinkToFit="0" readingOrder="0"/>
      <protection locked="0" hidden="0"/>
    </dxf>
    <dxf>
      <alignment horizontal="general" vertical="center" textRotation="0" wrapText="0" indent="0" justifyLastLine="0" shrinkToFit="0" readingOrder="0"/>
      <protection locked="0" hidden="0"/>
    </dxf>
    <dxf>
      <numFmt numFmtId="4" formatCode="#,##0.00"/>
      <fill>
        <patternFill patternType="none">
          <fgColor indexed="64"/>
          <bgColor indexed="65"/>
        </patternFill>
      </fill>
      <alignment horizontal="general" vertical="center" textRotation="0" wrapText="1" indent="0" justifyLastLine="0" shrinkToFit="0" readingOrder="0"/>
      <protection locked="0" hidden="0"/>
    </dxf>
    <dxf>
      <numFmt numFmtId="4" formatCode="#,##0.00"/>
      <fill>
        <patternFill patternType="none">
          <fgColor indexed="64"/>
          <bgColor indexed="65"/>
        </patternFill>
      </fill>
      <alignment horizontal="general" vertical="center" textRotation="0" wrapText="1" indent="0" justifyLastLine="0" shrinkToFit="0" readingOrder="0"/>
      <protection locked="0" hidden="0"/>
    </dxf>
    <dxf>
      <numFmt numFmtId="4" formatCode="#,##0.00"/>
      <fill>
        <patternFill patternType="none">
          <fgColor indexed="64"/>
          <bgColor indexed="65"/>
        </patternFill>
      </fill>
      <alignment horizontal="general" vertical="center" textRotation="0" wrapText="1" indent="0" justifyLastLine="0" shrinkToFit="0" readingOrder="0"/>
      <protection locked="0" hidden="0"/>
    </dxf>
    <dxf>
      <numFmt numFmtId="4" formatCode="#,##0.00"/>
      <fill>
        <patternFill patternType="none">
          <fgColor indexed="64"/>
          <bgColor indexed="65"/>
        </patternFill>
      </fill>
      <alignment horizontal="general" vertical="center" textRotation="0" wrapText="1" indent="0" justifyLastLine="0" shrinkToFit="0" readingOrder="0"/>
      <protection locked="0" hidden="0"/>
    </dxf>
    <dxf>
      <numFmt numFmtId="4" formatCode="#,##0.00"/>
      <fill>
        <patternFill patternType="none">
          <fgColor indexed="64"/>
          <bgColor indexed="65"/>
        </patternFill>
      </fill>
      <alignment horizontal="general" vertical="center" textRotation="0" wrapText="1" indent="0" justifyLastLine="0" shrinkToFit="0" readingOrder="0"/>
      <protection locked="0" hidden="0"/>
    </dxf>
    <dxf>
      <alignment horizontal="general" vertical="center" textRotation="0" wrapText="0" indent="0" justifyLastLine="0" shrinkToFit="0" readingOrder="0"/>
      <protection locked="0" hidden="0"/>
    </dxf>
    <dxf>
      <numFmt numFmtId="4" formatCode="#,##0.00"/>
      <fill>
        <patternFill patternType="none">
          <fgColor indexed="64"/>
          <bgColor indexed="65"/>
        </patternFill>
      </fill>
      <alignment horizontal="general" vertical="center" textRotation="0" wrapText="1" indent="0" justifyLastLine="0" shrinkToFit="0" readingOrder="0"/>
      <protection locked="0" hidden="0"/>
    </dxf>
    <dxf>
      <numFmt numFmtId="4" formatCode="#,##0.00"/>
      <fill>
        <patternFill patternType="none">
          <fgColor indexed="64"/>
          <bgColor indexed="65"/>
        </patternFill>
      </fill>
      <alignment horizontal="general" vertical="center" textRotation="0" wrapText="1" indent="0" justifyLastLine="0" shrinkToFit="0" readingOrder="0"/>
      <protection locked="0" hidden="0"/>
    </dxf>
    <dxf>
      <fill>
        <patternFill patternType="none">
          <fgColor indexed="64"/>
          <bgColor indexed="65"/>
        </patternFill>
      </fill>
      <alignment horizontal="general" vertical="center" textRotation="0" wrapText="1" indent="0" justifyLastLine="0" shrinkToFit="0" readingOrder="0"/>
      <protection locked="0" hidden="0"/>
    </dxf>
    <dxf>
      <numFmt numFmtId="4" formatCode="#,##0.00"/>
      <fill>
        <patternFill patternType="none">
          <fgColor indexed="64"/>
          <bgColor indexed="65"/>
        </patternFill>
      </fill>
      <alignment horizontal="general" vertical="center" textRotation="0" wrapText="1" indent="0" justifyLastLine="0" shrinkToFit="0" readingOrder="0"/>
      <protection locked="0" hidden="0"/>
    </dxf>
    <dxf>
      <protection locked="0" hidden="0"/>
    </dxf>
    <dxf>
      <alignment horizontal="general" vertical="center" textRotation="0" wrapText="0" indent="0" justifyLastLine="0" shrinkToFit="0" readingOrder="0"/>
      <protection locked="0" hidden="0"/>
    </dxf>
    <dxf>
      <alignment horizontal="center" vertical="center" textRotation="0" wrapText="1" indent="0" justifyLastLine="0" shrinkToFit="0" readingOrder="0"/>
      <protection locked="0" hidden="0"/>
    </dxf>
    <dxf>
      <alignment horizontal="general" vertical="center" textRotation="0" wrapText="1" indent="0" justifyLastLine="0" shrinkToFit="0" readingOrder="0"/>
      <protection locked="0" hidden="0"/>
    </dxf>
    <dxf>
      <numFmt numFmtId="4" formatCode="#,##0.00"/>
      <alignment horizontal="general" vertical="center" textRotation="0" wrapText="0" indent="0" justifyLastLine="0" shrinkToFit="0" readingOrder="0"/>
      <protection locked="0" hidden="0"/>
    </dxf>
    <dxf>
      <numFmt numFmtId="4" formatCode="#,##0.00"/>
      <alignment horizontal="general" vertical="center" textRotation="0" wrapText="1" indent="0" justifyLastLine="0" shrinkToFit="0" readingOrder="0"/>
      <protection locked="0" hidden="0"/>
    </dxf>
    <dxf>
      <numFmt numFmtId="4" formatCode="#,##0.00"/>
      <alignment horizontal="general" vertical="center" textRotation="0" wrapText="1" indent="0" justifyLastLine="0" shrinkToFit="0" readingOrder="0"/>
      <protection locked="0" hidden="0"/>
    </dxf>
    <dxf>
      <numFmt numFmtId="4" formatCode="#,##0.00"/>
      <alignment horizontal="general" vertical="center" textRotation="0" wrapText="1" indent="0" justifyLastLine="0" shrinkToFit="0" readingOrder="0"/>
      <protection locked="0" hidden="0"/>
    </dxf>
    <dxf>
      <numFmt numFmtId="4" formatCode="#,##0.00"/>
      <alignment horizontal="general" vertical="center" textRotation="0" wrapText="1" indent="0" justifyLastLine="0" shrinkToFit="0" readingOrder="0"/>
      <protection locked="0" hidden="0"/>
    </dxf>
    <dxf>
      <numFmt numFmtId="4" formatCode="#,##0.00"/>
      <alignment horizontal="general" vertical="center" textRotation="0" wrapText="1" indent="0" justifyLastLine="0" shrinkToFit="0" readingOrder="0"/>
      <protection locked="0" hidden="0"/>
    </dxf>
    <dxf>
      <numFmt numFmtId="4" formatCode="#,##0.00"/>
      <alignment horizontal="general" vertical="center" textRotation="0" wrapText="1" indent="0" justifyLastLine="0" shrinkToFit="0" readingOrder="0"/>
      <protection locked="0" hidden="0"/>
    </dxf>
    <dxf>
      <numFmt numFmtId="4" formatCode="#,##0.00"/>
      <alignment horizontal="general" vertical="center" textRotation="0" wrapText="1" indent="0" justifyLastLine="0" shrinkToFit="0" readingOrder="0"/>
      <protection locked="0" hidden="0"/>
    </dxf>
    <dxf>
      <numFmt numFmtId="4" formatCode="#,##0.00"/>
      <alignment horizontal="general" vertical="center" textRotation="0" wrapText="1" indent="0" justifyLastLine="0" shrinkToFit="0" readingOrder="0"/>
      <protection locked="0" hidden="0"/>
    </dxf>
    <dxf>
      <numFmt numFmtId="4" formatCode="#,##0.00"/>
      <alignment horizontal="general" vertical="center" textRotation="0" wrapText="1" indent="0" justifyLastLine="0" shrinkToFit="0" readingOrder="0"/>
      <protection locked="0" hidden="0"/>
    </dxf>
    <dxf>
      <numFmt numFmtId="4" formatCode="#,##0.00"/>
      <alignment horizontal="general" vertical="center" textRotation="0" wrapText="1" indent="0" justifyLastLine="0" shrinkToFit="0" readingOrder="0"/>
      <protection locked="0" hidden="0"/>
    </dxf>
    <dxf>
      <numFmt numFmtId="4" formatCode="#,##0.00"/>
      <alignment horizontal="general" vertical="center" textRotation="0" wrapText="1" indent="0" justifyLastLine="0" shrinkToFit="0" readingOrder="0"/>
      <protection locked="0" hidden="0"/>
    </dxf>
    <dxf>
      <numFmt numFmtId="4" formatCode="#,##0.00"/>
      <alignment horizontal="general" vertical="center" textRotation="0" wrapText="1" indent="0" justifyLastLine="0" shrinkToFit="0" readingOrder="0"/>
      <protection locked="0" hidden="0"/>
    </dxf>
    <dxf>
      <numFmt numFmtId="4" formatCode="#,##0.00"/>
      <alignment horizontal="general" vertical="center" textRotation="0" wrapText="1" indent="0" justifyLastLine="0" shrinkToFit="0" readingOrder="0"/>
      <protection locked="0" hidden="0"/>
    </dxf>
    <dxf>
      <numFmt numFmtId="4" formatCode="#,##0.00"/>
      <alignment horizontal="general" vertical="center" textRotation="0" wrapText="1" indent="0" justifyLastLine="0" shrinkToFit="0" readingOrder="0"/>
      <protection locked="0" hidden="0"/>
    </dxf>
    <dxf>
      <numFmt numFmtId="4" formatCode="#,##0.00"/>
      <alignment horizontal="general" vertical="center" textRotation="0" wrapText="1" indent="0" justifyLastLine="0" shrinkToFit="0" readingOrder="0"/>
      <protection locked="0" hidden="0"/>
    </dxf>
    <dxf>
      <numFmt numFmtId="4" formatCode="#,##0.00"/>
      <alignment horizontal="general" vertical="center" textRotation="0" wrapText="1" indent="0" justifyLastLine="0" shrinkToFit="0" readingOrder="0"/>
      <protection locked="0" hidden="0"/>
    </dxf>
    <dxf>
      <numFmt numFmtId="4" formatCode="#,##0.00"/>
      <alignment horizontal="general" vertical="center" textRotation="0" wrapText="1" indent="0" justifyLastLine="0" shrinkToFit="0" readingOrder="0"/>
      <protection locked="0" hidden="0"/>
    </dxf>
    <dxf>
      <numFmt numFmtId="4" formatCode="#,##0.00"/>
      <alignment horizontal="general" vertical="center" textRotation="0" wrapText="1" indent="0" justifyLastLine="0" shrinkToFit="0" readingOrder="0"/>
      <protection locked="0" hidden="0"/>
    </dxf>
    <dxf>
      <numFmt numFmtId="4" formatCode="#,##0.00"/>
      <alignment horizontal="general" vertical="center" textRotation="0" wrapText="1" indent="0" justifyLastLine="0" shrinkToFit="0" readingOrder="0"/>
      <protection locked="0" hidden="0"/>
    </dxf>
    <dxf>
      <numFmt numFmtId="4" formatCode="#,##0.00"/>
      <alignment horizontal="general" vertical="center" textRotation="0" wrapText="1" indent="0" justifyLastLine="0" shrinkToFit="0" readingOrder="0"/>
      <protection locked="0" hidden="0"/>
    </dxf>
    <dxf>
      <numFmt numFmtId="4" formatCode="#,##0.00"/>
      <alignment horizontal="general" vertical="center" textRotation="0" wrapText="1" indent="0" justifyLastLine="0" shrinkToFit="0" readingOrder="0"/>
      <protection locked="0" hidden="0"/>
    </dxf>
    <dxf>
      <numFmt numFmtId="4" formatCode="#,##0.00"/>
      <alignment horizontal="general" vertical="center" textRotation="0" wrapText="1" indent="0" justifyLastLine="0" shrinkToFit="0" readingOrder="0"/>
      <protection locked="0" hidden="0"/>
    </dxf>
    <dxf>
      <numFmt numFmtId="4" formatCode="#,##0.00"/>
      <alignment horizontal="general" vertical="center" textRotation="0" wrapText="1" indent="0" justifyLastLine="0" shrinkToFit="0" readingOrder="0"/>
      <protection locked="0" hidden="0"/>
    </dxf>
    <dxf>
      <numFmt numFmtId="4" formatCode="#,##0.00"/>
      <alignment horizontal="general" vertical="center" textRotation="0" wrapText="1" indent="0" justifyLastLine="0" shrinkToFit="0" readingOrder="0"/>
      <protection locked="0" hidden="0"/>
    </dxf>
    <dxf>
      <numFmt numFmtId="4" formatCode="#,##0.00"/>
      <alignment horizontal="general" vertical="center" textRotation="0" wrapText="1" indent="0" justifyLastLine="0" shrinkToFit="0" readingOrder="0"/>
      <protection locked="0" hidden="0"/>
    </dxf>
    <dxf>
      <numFmt numFmtId="4" formatCode="#,##0.00"/>
      <alignment horizontal="general" vertical="center" textRotation="0" wrapText="1" indent="0" justifyLastLine="0" shrinkToFit="0" readingOrder="0"/>
      <protection locked="0" hidden="0"/>
    </dxf>
    <dxf>
      <numFmt numFmtId="4" formatCode="#,##0.00"/>
      <alignment horizontal="general" vertical="center" textRotation="0" wrapText="1" indent="0" justifyLastLine="0" shrinkToFit="0" readingOrder="0"/>
      <protection locked="0" hidden="0"/>
    </dxf>
    <dxf>
      <numFmt numFmtId="4" formatCode="#,##0.00"/>
      <alignment horizontal="general" vertical="center" textRotation="0" wrapText="1" indent="0" justifyLastLine="0" shrinkToFit="0" readingOrder="0"/>
      <protection locked="0" hidden="0"/>
    </dxf>
    <dxf>
      <numFmt numFmtId="4" formatCode="#,##0.00"/>
      <alignment horizontal="general" vertical="center" textRotation="0" wrapText="1" indent="0" justifyLastLine="0" shrinkToFit="0" readingOrder="0"/>
      <protection locked="0" hidden="0"/>
    </dxf>
    <dxf>
      <numFmt numFmtId="4" formatCode="#,##0.00"/>
      <alignment horizontal="general" vertical="center" textRotation="0" wrapText="1" indent="0" justifyLastLine="0" shrinkToFit="0" readingOrder="0"/>
      <protection locked="0" hidden="0"/>
    </dxf>
    <dxf>
      <numFmt numFmtId="4" formatCode="#,##0.00"/>
      <alignment horizontal="general" vertical="center" textRotation="0" wrapText="1" indent="0" justifyLastLine="0" shrinkToFit="0" readingOrder="0"/>
      <protection locked="0" hidden="0"/>
    </dxf>
    <dxf>
      <numFmt numFmtId="4" formatCode="#,##0.00"/>
      <alignment horizontal="general" vertical="center" textRotation="0" wrapText="1" indent="0" justifyLastLine="0" shrinkToFit="0" readingOrder="0"/>
      <protection locked="0" hidden="0"/>
    </dxf>
    <dxf>
      <numFmt numFmtId="4" formatCode="#,##0.00"/>
      <alignment horizontal="general" vertical="center" textRotation="0" wrapText="1" indent="0" justifyLastLine="0" shrinkToFit="0" readingOrder="0"/>
      <protection locked="0" hidden="0"/>
    </dxf>
    <dxf>
      <numFmt numFmtId="4" formatCode="#,##0.00"/>
      <alignment horizontal="general" vertical="center" textRotation="0" wrapText="1" indent="0" justifyLastLine="0" shrinkToFit="0" readingOrder="0"/>
      <protection locked="0" hidden="0"/>
    </dxf>
    <dxf>
      <numFmt numFmtId="4" formatCode="#,##0.00"/>
      <alignment horizontal="general" vertical="center" textRotation="0" wrapText="1" indent="0" justifyLastLine="0" shrinkToFit="0" readingOrder="0"/>
      <protection locked="0" hidden="0"/>
    </dxf>
    <dxf>
      <numFmt numFmtId="4" formatCode="#,##0.00"/>
      <alignment horizontal="general" vertical="center" textRotation="0" wrapText="1" indent="0" justifyLastLine="0" shrinkToFit="0" readingOrder="0"/>
      <protection locked="0" hidden="0"/>
    </dxf>
    <dxf>
      <numFmt numFmtId="4" formatCode="#,##0.00"/>
      <alignment horizontal="general" vertical="center" textRotation="0" wrapText="1" indent="0" justifyLastLine="0" shrinkToFit="0" readingOrder="0"/>
      <protection locked="0" hidden="0"/>
    </dxf>
    <dxf>
      <numFmt numFmtId="4" formatCode="#,##0.00"/>
      <alignment horizontal="general" vertical="center" textRotation="0" wrapText="1" indent="0" justifyLastLine="0" shrinkToFit="0" readingOrder="0"/>
      <protection locked="0" hidden="0"/>
    </dxf>
    <dxf>
      <numFmt numFmtId="4" formatCode="#,##0.00"/>
      <alignment horizontal="general" vertical="center" textRotation="0" wrapText="1" indent="0" justifyLastLine="0" shrinkToFit="0" readingOrder="0"/>
      <protection locked="0" hidden="0"/>
    </dxf>
    <dxf>
      <numFmt numFmtId="4" formatCode="#,##0.00"/>
      <alignment horizontal="general" vertical="center" textRotation="0" wrapText="1" indent="0" justifyLastLine="0" shrinkToFit="0" readingOrder="0"/>
      <protection locked="0" hidden="0"/>
    </dxf>
    <dxf>
      <numFmt numFmtId="4" formatCode="#,##0.00"/>
      <alignment horizontal="general" vertical="center" textRotation="0" wrapText="1" indent="0" justifyLastLine="0" shrinkToFit="0" readingOrder="0"/>
      <protection locked="0" hidden="0"/>
    </dxf>
    <dxf>
      <numFmt numFmtId="4" formatCode="#,##0.00"/>
      <alignment horizontal="general" vertical="center" textRotation="0" wrapText="1" indent="0" justifyLastLine="0" shrinkToFit="0" readingOrder="0"/>
      <protection locked="0" hidden="0"/>
    </dxf>
    <dxf>
      <numFmt numFmtId="4" formatCode="#,##0.00"/>
      <alignment horizontal="general" vertical="center" textRotation="0" wrapText="1" indent="0" justifyLastLine="0" shrinkToFit="0" readingOrder="0"/>
      <protection locked="0" hidden="0"/>
    </dxf>
    <dxf>
      <numFmt numFmtId="4" formatCode="#,##0.00"/>
      <alignment horizontal="general" vertical="center" textRotation="0" wrapText="1" indent="0" justifyLastLine="0" shrinkToFit="0" readingOrder="0"/>
      <protection locked="0" hidden="0"/>
    </dxf>
    <dxf>
      <numFmt numFmtId="4" formatCode="#,##0.00"/>
      <alignment horizontal="general" vertical="center" textRotation="0" wrapText="1" indent="0" justifyLastLine="0" shrinkToFit="0" readingOrder="0"/>
      <protection locked="0" hidden="0"/>
    </dxf>
    <dxf>
      <numFmt numFmtId="4" formatCode="#,##0.00"/>
      <alignment horizontal="general" vertical="center" textRotation="0" wrapText="1" indent="0" justifyLastLine="0" shrinkToFit="0" readingOrder="0"/>
      <protection locked="0" hidden="0"/>
    </dxf>
    <dxf>
      <numFmt numFmtId="4" formatCode="#,##0.00"/>
      <alignment horizontal="general" vertical="center" textRotation="0" wrapText="1" indent="0" justifyLastLine="0" shrinkToFit="0" readingOrder="0"/>
      <protection locked="0" hidden="0"/>
    </dxf>
    <dxf>
      <numFmt numFmtId="4" formatCode="#,##0.00"/>
      <alignment horizontal="general" vertical="center" textRotation="0" wrapText="1" indent="0" justifyLastLine="0" shrinkToFit="0" readingOrder="0"/>
      <protection locked="0" hidden="0"/>
    </dxf>
    <dxf>
      <numFmt numFmtId="4" formatCode="#,##0.00"/>
      <alignment horizontal="general" vertical="center" textRotation="0" wrapText="1" indent="0" justifyLastLine="0" shrinkToFit="0" readingOrder="0"/>
      <protection locked="0" hidden="0"/>
    </dxf>
    <dxf>
      <numFmt numFmtId="4" formatCode="#,##0.00"/>
      <fill>
        <patternFill patternType="none">
          <fgColor indexed="64"/>
          <bgColor indexed="65"/>
        </patternFill>
      </fill>
      <alignment horizontal="general" vertical="center" textRotation="0" wrapText="1" indent="0" justifyLastLine="0" shrinkToFit="0" readingOrder="0"/>
      <protection locked="0" hidden="0"/>
    </dxf>
    <dxf>
      <numFmt numFmtId="4" formatCode="#,##0.00"/>
      <alignment horizontal="general" vertical="center" textRotation="0" wrapText="1" indent="0" justifyLastLine="0" shrinkToFit="0" readingOrder="0"/>
      <protection locked="0" hidden="0"/>
    </dxf>
    <dxf>
      <numFmt numFmtId="4" formatCode="#,##0.00"/>
      <alignment horizontal="general" vertical="center" textRotation="0" wrapText="1" indent="0" justifyLastLine="0" shrinkToFit="0" readingOrder="0"/>
      <protection locked="0" hidden="0"/>
    </dxf>
    <dxf>
      <numFmt numFmtId="4" formatCode="#,##0.00"/>
      <alignment horizontal="general" vertical="center" textRotation="0" wrapText="1" indent="0" justifyLastLine="0" shrinkToFit="0" readingOrder="0"/>
      <protection locked="0" hidden="0"/>
    </dxf>
    <dxf>
      <numFmt numFmtId="4" formatCode="#,##0.00"/>
      <alignment horizontal="general" vertical="center" textRotation="0" wrapText="1" indent="0" justifyLastLine="0" shrinkToFit="0" readingOrder="0"/>
      <protection locked="0" hidden="0"/>
    </dxf>
    <dxf>
      <numFmt numFmtId="4" formatCode="#,##0.00"/>
      <alignment horizontal="general" vertical="center" textRotation="0" wrapText="1" indent="0" justifyLastLine="0" shrinkToFit="0" readingOrder="0"/>
      <protection locked="0" hidden="0"/>
    </dxf>
    <dxf>
      <numFmt numFmtId="4" formatCode="#,##0.00"/>
      <alignment horizontal="general" vertical="center" textRotation="0" wrapText="1" indent="0" justifyLastLine="0" shrinkToFit="0" readingOrder="0"/>
      <protection locked="0" hidden="0"/>
    </dxf>
    <dxf>
      <numFmt numFmtId="4" formatCode="#,##0.00"/>
      <alignment horizontal="general" vertical="center" textRotation="0" wrapText="1" indent="0" justifyLastLine="0" shrinkToFit="0" readingOrder="0"/>
      <protection locked="0" hidden="0"/>
    </dxf>
    <dxf>
      <numFmt numFmtId="4" formatCode="#,##0.00"/>
      <alignment horizontal="general" vertical="center" textRotation="0" wrapText="1" indent="0" justifyLastLine="0" shrinkToFit="0" readingOrder="0"/>
      <protection locked="0" hidden="0"/>
    </dxf>
    <dxf>
      <numFmt numFmtId="4" formatCode="#,##0.00"/>
      <alignment horizontal="general" vertical="center" textRotation="0" wrapText="1" indent="0" justifyLastLine="0" shrinkToFit="0" readingOrder="0"/>
      <protection locked="0" hidden="0"/>
    </dxf>
    <dxf>
      <numFmt numFmtId="4" formatCode="#,##0.00"/>
      <fill>
        <patternFill patternType="none">
          <fgColor indexed="64"/>
          <bgColor indexed="65"/>
        </patternFill>
      </fill>
      <alignment horizontal="general" vertical="center" textRotation="0" wrapText="1" indent="0" justifyLastLine="0" shrinkToFit="0" readingOrder="0"/>
      <protection locked="0" hidden="0"/>
    </dxf>
    <dxf>
      <numFmt numFmtId="4" formatCode="#,##0.00"/>
      <alignment horizontal="general" vertical="center" textRotation="0" wrapText="1" indent="0" justifyLastLine="0" shrinkToFit="0" readingOrder="0"/>
      <protection locked="0" hidden="0"/>
    </dxf>
    <dxf>
      <numFmt numFmtId="4" formatCode="#,##0.00"/>
      <alignment horizontal="general" vertical="center" textRotation="0" wrapText="1" indent="0" justifyLastLine="0" shrinkToFit="0" readingOrder="0"/>
      <protection locked="0" hidden="0"/>
    </dxf>
    <dxf>
      <numFmt numFmtId="4" formatCode="#,##0.00"/>
      <alignment horizontal="general" vertical="center" textRotation="0" wrapText="1" indent="0" justifyLastLine="0" shrinkToFit="0" readingOrder="0"/>
      <protection locked="0" hidden="0"/>
    </dxf>
    <dxf>
      <numFmt numFmtId="4" formatCode="#,##0.00"/>
      <alignment horizontal="general" vertical="center" textRotation="0" wrapText="1" indent="0" justifyLastLine="0" shrinkToFit="0" readingOrder="0"/>
      <protection locked="0" hidden="0"/>
    </dxf>
    <dxf>
      <numFmt numFmtId="4" formatCode="#,##0.00"/>
      <alignment horizontal="general" vertical="center" textRotation="0" wrapText="1" indent="0" justifyLastLine="0" shrinkToFit="0" readingOrder="0"/>
      <protection locked="0" hidden="0"/>
    </dxf>
    <dxf>
      <numFmt numFmtId="4" formatCode="#,##0.00"/>
      <fill>
        <patternFill patternType="none">
          <fgColor indexed="64"/>
          <bgColor indexed="65"/>
        </patternFill>
      </fill>
      <alignment horizontal="general" vertical="center" textRotation="0" wrapText="1" indent="0" justifyLastLine="0" shrinkToFit="0" readingOrder="0"/>
      <protection locked="0" hidden="0"/>
    </dxf>
    <dxf>
      <alignment horizontal="general" vertical="center" textRotation="0" wrapText="1" indent="0" justifyLastLine="0" shrinkToFit="0" readingOrder="0"/>
      <protection locked="0" hidden="0"/>
    </dxf>
    <dxf>
      <numFmt numFmtId="14" formatCode="0.00%"/>
      <alignment horizontal="general" vertical="center" textRotation="0" wrapText="1" indent="0" justifyLastLine="0" shrinkToFit="0" readingOrder="0"/>
      <protection locked="0" hidden="0"/>
    </dxf>
    <dxf>
      <numFmt numFmtId="4" formatCode="#,##0.00"/>
      <alignment horizontal="general" vertical="center" textRotation="0" wrapText="1" indent="0" justifyLastLine="0" shrinkToFit="0" readingOrder="0"/>
      <protection locked="0" hidden="0"/>
    </dxf>
    <dxf>
      <numFmt numFmtId="4" formatCode="#,##0.00"/>
      <alignment horizontal="general" vertical="center" textRotation="0" wrapText="1" indent="0" justifyLastLine="0" shrinkToFit="0" readingOrder="0"/>
      <protection locked="0" hidden="0"/>
    </dxf>
    <dxf>
      <numFmt numFmtId="4" formatCode="#,##0.00"/>
      <alignment horizontal="general" vertical="center" textRotation="0" wrapText="1" indent="0" justifyLastLine="0" shrinkToFit="0" readingOrder="0"/>
      <protection locked="0" hidden="0"/>
    </dxf>
    <dxf>
      <numFmt numFmtId="14" formatCode="0.00%"/>
      <alignment horizontal="general" vertical="center" textRotation="0" wrapText="1" indent="0" justifyLastLine="0" shrinkToFit="0" readingOrder="0"/>
      <protection locked="0" hidden="0"/>
    </dxf>
    <dxf>
      <numFmt numFmtId="4" formatCode="#,##0.00"/>
      <alignment horizontal="general" vertical="center" textRotation="0" wrapText="1" indent="0" justifyLastLine="0" shrinkToFit="0" readingOrder="0"/>
      <protection locked="0" hidden="0"/>
    </dxf>
    <dxf>
      <numFmt numFmtId="4" formatCode="#,##0.00"/>
      <alignment horizontal="general" vertical="center" textRotation="0" wrapText="1" indent="0" justifyLastLine="0" shrinkToFit="0" readingOrder="0"/>
      <protection locked="0" hidden="0"/>
    </dxf>
    <dxf>
      <numFmt numFmtId="4" formatCode="#,##0.00"/>
      <alignment horizontal="general" vertical="center" textRotation="0" wrapText="1" indent="0" justifyLastLine="0" shrinkToFit="0" readingOrder="0"/>
      <protection locked="0" hidden="0"/>
    </dxf>
    <dxf>
      <numFmt numFmtId="4" formatCode="#,##0.00"/>
      <alignment horizontal="general" vertical="center" textRotation="0" wrapText="1" indent="0" justifyLastLine="0" shrinkToFit="0" readingOrder="0"/>
      <protection locked="0" hidden="0"/>
    </dxf>
    <dxf>
      <numFmt numFmtId="4" formatCode="#,##0.00"/>
      <alignment horizontal="general" vertical="center" textRotation="0" wrapText="1" indent="0" justifyLastLine="0" shrinkToFit="0" readingOrder="0"/>
      <protection locked="0" hidden="0"/>
    </dxf>
    <dxf>
      <numFmt numFmtId="4" formatCode="#,##0.00"/>
      <alignment horizontal="general" vertical="center" textRotation="0" wrapText="1" indent="0" justifyLastLine="0" shrinkToFit="0" readingOrder="0"/>
      <protection locked="0" hidden="0"/>
    </dxf>
    <dxf>
      <numFmt numFmtId="4" formatCode="#,##0.00"/>
      <alignment horizontal="general" vertical="center" textRotation="0" wrapText="1" indent="0" justifyLastLine="0" shrinkToFit="0" readingOrder="0"/>
      <protection locked="0" hidden="0"/>
    </dxf>
    <dxf>
      <numFmt numFmtId="4" formatCode="#,##0.00"/>
      <alignment horizontal="general" vertical="center" textRotation="0" wrapText="1" indent="0" justifyLastLine="0" shrinkToFit="0" readingOrder="0"/>
      <protection locked="0" hidden="0"/>
    </dxf>
    <dxf>
      <alignment horizontal="general" vertical="center" textRotation="0" wrapText="1" indent="0" justifyLastLine="0" shrinkToFit="0" readingOrder="0"/>
      <protection locked="0" hidden="0"/>
    </dxf>
    <dxf>
      <alignment horizontal="general" vertical="center" textRotation="0" wrapText="1" indent="0" justifyLastLine="0" shrinkToFit="0" readingOrder="0"/>
      <protection locked="0" hidden="0"/>
    </dxf>
    <dxf>
      <alignment horizontal="general" vertical="center" textRotation="0" wrapText="1" indent="0" justifyLastLine="0" shrinkToFit="0" readingOrder="0"/>
      <protection locked="0" hidden="0"/>
    </dxf>
    <dxf>
      <alignment horizontal="general" vertical="center" textRotation="0" wrapText="1" indent="0" justifyLastLine="0" shrinkToFit="0" readingOrder="0"/>
      <protection locked="0" hidden="0"/>
    </dxf>
    <dxf>
      <alignment horizontal="general" vertical="center" textRotation="0" wrapText="1" indent="0" justifyLastLine="0" shrinkToFit="0" readingOrder="0"/>
      <protection locked="0" hidden="0"/>
    </dxf>
    <dxf>
      <numFmt numFmtId="4" formatCode="#,##0.00"/>
      <alignment horizontal="center" vertical="center" textRotation="0" wrapText="1" indent="0" justifyLastLine="0" shrinkToFit="0" readingOrder="0"/>
      <protection locked="0" hidden="0"/>
    </dxf>
    <dxf>
      <alignment horizontal="general" vertical="center" textRotation="0" wrapText="1" indent="0" justifyLastLine="0" shrinkToFit="0" readingOrder="0"/>
      <protection locked="0" hidden="0"/>
    </dxf>
    <dxf>
      <numFmt numFmtId="4" formatCode="#,##0.00"/>
      <alignment horizontal="center" vertical="center" textRotation="0" wrapText="1" indent="0" justifyLastLine="0" shrinkToFit="0" readingOrder="0"/>
      <protection locked="0" hidden="0"/>
    </dxf>
    <dxf>
      <alignment horizontal="general" vertical="center" textRotation="0" wrapText="1" indent="0" justifyLastLine="0" shrinkToFit="0" readingOrder="0"/>
      <protection locked="0" hidden="0"/>
    </dxf>
    <dxf>
      <alignment horizontal="center" vertical="center" textRotation="0" wrapText="1" indent="0" justifyLastLine="0" shrinkToFit="0" readingOrder="0"/>
      <protection locked="0" hidden="0"/>
    </dxf>
    <dxf>
      <alignment vertical="center" textRotation="0" wrapText="1" justifyLastLine="0" shrinkToFit="0" readingOrder="0"/>
      <protection locked="0" hidden="0"/>
    </dxf>
    <dxf>
      <alignment horizontal="general" vertical="center" textRotation="0" wrapText="1" indent="0" justifyLastLine="0" shrinkToFit="0" readingOrder="0"/>
      <protection locked="0" hidden="0"/>
    </dxf>
    <dxf>
      <alignment horizontal="center" vertical="center" textRotation="0" wrapText="1" indent="0" justifyLastLine="0" shrinkToFit="0" readingOrder="0"/>
      <protection locked="0" hidden="0"/>
    </dxf>
    <dxf>
      <fill>
        <patternFill>
          <bgColor rgb="FF92D050"/>
        </patternFill>
      </fill>
    </dxf>
    <dxf>
      <fill>
        <patternFill>
          <bgColor rgb="FFFFFF00"/>
        </patternFill>
      </fill>
    </dxf>
    <dxf>
      <fill>
        <patternFill>
          <bgColor rgb="FFFF0000"/>
        </patternFill>
      </fill>
    </dxf>
    <dxf>
      <fill>
        <patternFill>
          <bgColor theme="0" tint="-0.24994659260841701"/>
        </patternFill>
      </fill>
    </dxf>
    <dxf>
      <font>
        <b/>
        <i val="0"/>
        <color rgb="FFFF0000"/>
      </font>
    </dxf>
    <dxf>
      <font>
        <b/>
        <i val="0"/>
        <color rgb="FF00B050"/>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4" formatCode="#,##0.00"/>
    </dxf>
    <dxf>
      <font>
        <b val="0"/>
        <i val="0"/>
        <strike val="0"/>
        <condense val="0"/>
        <extend val="0"/>
        <outline val="0"/>
        <shadow val="0"/>
        <u val="none"/>
        <vertAlign val="baseline"/>
        <sz val="11"/>
        <color theme="1"/>
        <name val="Calibri"/>
        <scheme val="minor"/>
      </font>
      <numFmt numFmtId="4" formatCode="#,##0.00"/>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4" formatCode="#,##0.00"/>
    </dxf>
    <dxf>
      <font>
        <b val="0"/>
        <i val="0"/>
        <strike val="0"/>
        <condense val="0"/>
        <extend val="0"/>
        <outline val="0"/>
        <shadow val="0"/>
        <u val="none"/>
        <vertAlign val="baseline"/>
        <sz val="11"/>
        <color theme="1"/>
        <name val="Calibri"/>
        <scheme val="minor"/>
      </font>
      <numFmt numFmtId="4" formatCode="#,##0.00"/>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4" formatCode="#,##0.00"/>
    </dxf>
    <dxf>
      <font>
        <b val="0"/>
        <i val="0"/>
        <strike val="0"/>
        <condense val="0"/>
        <extend val="0"/>
        <outline val="0"/>
        <shadow val="0"/>
        <u val="none"/>
        <vertAlign val="baseline"/>
        <sz val="11"/>
        <color theme="1"/>
        <name val="Calibri"/>
        <scheme val="minor"/>
      </font>
      <numFmt numFmtId="4" formatCode="#,##0.00"/>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4" formatCode="#,##0.00"/>
    </dxf>
    <dxf>
      <font>
        <b val="0"/>
        <i val="0"/>
        <strike val="0"/>
        <condense val="0"/>
        <extend val="0"/>
        <outline val="0"/>
        <shadow val="0"/>
        <u val="none"/>
        <vertAlign val="baseline"/>
        <sz val="11"/>
        <color theme="1"/>
        <name val="Calibri"/>
        <scheme val="minor"/>
      </font>
      <numFmt numFmtId="4" formatCode="#,##0.00"/>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4" formatCode="#,##0.00"/>
    </dxf>
    <dxf>
      <font>
        <b val="0"/>
        <i val="0"/>
        <strike val="0"/>
        <condense val="0"/>
        <extend val="0"/>
        <outline val="0"/>
        <shadow val="0"/>
        <u val="none"/>
        <vertAlign val="baseline"/>
        <sz val="11"/>
        <color theme="1"/>
        <name val="Calibri"/>
        <scheme val="minor"/>
      </font>
      <numFmt numFmtId="4" formatCode="#,##0.00"/>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4" formatCode="#,##0.00"/>
    </dxf>
    <dxf>
      <font>
        <b val="0"/>
        <i val="0"/>
        <strike val="0"/>
        <condense val="0"/>
        <extend val="0"/>
        <outline val="0"/>
        <shadow val="0"/>
        <u val="none"/>
        <vertAlign val="baseline"/>
        <sz val="11"/>
        <color theme="1"/>
        <name val="Calibri"/>
        <scheme val="minor"/>
      </font>
      <numFmt numFmtId="4" formatCode="#,##0.00"/>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4" formatCode="#,##0.00"/>
    </dxf>
    <dxf>
      <font>
        <b val="0"/>
        <i val="0"/>
        <strike val="0"/>
        <condense val="0"/>
        <extend val="0"/>
        <outline val="0"/>
        <shadow val="0"/>
        <u val="none"/>
        <vertAlign val="baseline"/>
        <sz val="11"/>
        <color theme="1"/>
        <name val="Calibri"/>
        <scheme val="minor"/>
      </font>
      <numFmt numFmtId="4" formatCode="#,##0.00"/>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4" formatCode="#,##0.00"/>
    </dxf>
    <dxf>
      <font>
        <b val="0"/>
        <i val="0"/>
        <strike val="0"/>
        <condense val="0"/>
        <extend val="0"/>
        <outline val="0"/>
        <shadow val="0"/>
        <u val="none"/>
        <vertAlign val="baseline"/>
        <sz val="11"/>
        <color theme="1"/>
        <name val="Calibri"/>
        <scheme val="minor"/>
      </font>
      <numFmt numFmtId="4" formatCode="#,##0.00"/>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4" formatCode="#,##0.00"/>
    </dxf>
    <dxf>
      <font>
        <b val="0"/>
        <i val="0"/>
        <strike val="0"/>
        <condense val="0"/>
        <extend val="0"/>
        <outline val="0"/>
        <shadow val="0"/>
        <u val="none"/>
        <vertAlign val="baseline"/>
        <sz val="11"/>
        <color theme="1"/>
        <name val="Calibri"/>
        <scheme val="minor"/>
      </font>
      <numFmt numFmtId="4" formatCode="#,##0.00"/>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4" formatCode="#,##0.00"/>
    </dxf>
    <dxf>
      <font>
        <b val="0"/>
        <i val="0"/>
        <strike val="0"/>
        <condense val="0"/>
        <extend val="0"/>
        <outline val="0"/>
        <shadow val="0"/>
        <u val="none"/>
        <vertAlign val="baseline"/>
        <sz val="11"/>
        <color theme="1"/>
        <name val="Calibri"/>
        <scheme val="minor"/>
      </font>
      <numFmt numFmtId="4" formatCode="#,##0.00"/>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4" formatCode="#,##0.00"/>
    </dxf>
    <dxf>
      <font>
        <b val="0"/>
        <i val="0"/>
        <strike val="0"/>
        <condense val="0"/>
        <extend val="0"/>
        <outline val="0"/>
        <shadow val="0"/>
        <u val="none"/>
        <vertAlign val="baseline"/>
        <sz val="11"/>
        <color theme="1"/>
        <name val="Calibri"/>
        <scheme val="minor"/>
      </font>
      <numFmt numFmtId="4" formatCode="#,##0.00"/>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4" formatCode="#,##0.00"/>
    </dxf>
    <dxf>
      <font>
        <b val="0"/>
        <i val="0"/>
        <strike val="0"/>
        <condense val="0"/>
        <extend val="0"/>
        <outline val="0"/>
        <shadow val="0"/>
        <u val="none"/>
        <vertAlign val="baseline"/>
        <sz val="11"/>
        <color theme="1"/>
        <name val="Calibri"/>
        <scheme val="minor"/>
      </font>
      <numFmt numFmtId="4" formatCode="#,##0.00"/>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4" formatCode="#,##0.00"/>
    </dxf>
    <dxf>
      <font>
        <b val="0"/>
        <i val="0"/>
        <strike val="0"/>
        <condense val="0"/>
        <extend val="0"/>
        <outline val="0"/>
        <shadow val="0"/>
        <u val="none"/>
        <vertAlign val="baseline"/>
        <sz val="11"/>
        <color theme="1"/>
        <name val="Calibri"/>
        <scheme val="minor"/>
      </font>
      <numFmt numFmtId="4" formatCode="#,##0.00"/>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4" formatCode="#,##0.00"/>
    </dxf>
    <dxf>
      <font>
        <b val="0"/>
        <i val="0"/>
        <strike val="0"/>
        <condense val="0"/>
        <extend val="0"/>
        <outline val="0"/>
        <shadow val="0"/>
        <u val="none"/>
        <vertAlign val="baseline"/>
        <sz val="11"/>
        <color theme="1"/>
        <name val="Calibri"/>
        <scheme val="minor"/>
      </font>
      <numFmt numFmtId="4" formatCode="#,##0.00"/>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4" formatCode="#,##0.00"/>
    </dxf>
    <dxf>
      <font>
        <b val="0"/>
        <i val="0"/>
        <strike val="0"/>
        <condense val="0"/>
        <extend val="0"/>
        <outline val="0"/>
        <shadow val="0"/>
        <u val="none"/>
        <vertAlign val="baseline"/>
        <sz val="11"/>
        <color theme="1"/>
        <name val="Calibri"/>
        <scheme val="minor"/>
      </font>
      <numFmt numFmtId="4" formatCode="#,##0.00"/>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4" formatCode="#,##0.00"/>
    </dxf>
    <dxf>
      <font>
        <b val="0"/>
        <i val="0"/>
        <strike val="0"/>
        <condense val="0"/>
        <extend val="0"/>
        <outline val="0"/>
        <shadow val="0"/>
        <u val="none"/>
        <vertAlign val="baseline"/>
        <sz val="11"/>
        <color theme="1"/>
        <name val="Calibri"/>
        <scheme val="minor"/>
      </font>
      <numFmt numFmtId="4" formatCode="#,##0.00"/>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4" formatCode="#,##0.00"/>
    </dxf>
    <dxf>
      <font>
        <b val="0"/>
        <i val="0"/>
        <strike val="0"/>
        <condense val="0"/>
        <extend val="0"/>
        <outline val="0"/>
        <shadow val="0"/>
        <u val="none"/>
        <vertAlign val="baseline"/>
        <sz val="11"/>
        <color theme="1"/>
        <name val="Calibri"/>
        <scheme val="minor"/>
      </font>
      <numFmt numFmtId="4" formatCode="#,##0.00"/>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4" formatCode="#,##0.00"/>
    </dxf>
    <dxf>
      <font>
        <b val="0"/>
        <i val="0"/>
        <strike val="0"/>
        <condense val="0"/>
        <extend val="0"/>
        <outline val="0"/>
        <shadow val="0"/>
        <u val="none"/>
        <vertAlign val="baseline"/>
        <sz val="11"/>
        <color theme="1"/>
        <name val="Calibri"/>
        <scheme val="minor"/>
      </font>
      <numFmt numFmtId="4" formatCode="#,##0.00"/>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4" formatCode="#,##0.00"/>
    </dxf>
    <dxf>
      <font>
        <b val="0"/>
        <i val="0"/>
        <strike val="0"/>
        <condense val="0"/>
        <extend val="0"/>
        <outline val="0"/>
        <shadow val="0"/>
        <u val="none"/>
        <vertAlign val="baseline"/>
        <sz val="11"/>
        <color theme="1"/>
        <name val="Calibri"/>
        <scheme val="minor"/>
      </font>
      <numFmt numFmtId="4" formatCode="#,##0.00"/>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4" formatCode="#,##0.00"/>
    </dxf>
    <dxf>
      <font>
        <b val="0"/>
        <i val="0"/>
        <strike val="0"/>
        <condense val="0"/>
        <extend val="0"/>
        <outline val="0"/>
        <shadow val="0"/>
        <u val="none"/>
        <vertAlign val="baseline"/>
        <sz val="11"/>
        <color theme="1"/>
        <name val="Calibri"/>
        <scheme val="minor"/>
      </font>
      <numFmt numFmtId="4" formatCode="#,##0.00"/>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4" formatCode="#,##0.00"/>
    </dxf>
    <dxf>
      <font>
        <b val="0"/>
        <i val="0"/>
        <strike val="0"/>
        <condense val="0"/>
        <extend val="0"/>
        <outline val="0"/>
        <shadow val="0"/>
        <u val="none"/>
        <vertAlign val="baseline"/>
        <sz val="11"/>
        <color theme="1"/>
        <name val="Calibri"/>
        <scheme val="minor"/>
      </font>
      <numFmt numFmtId="4" formatCode="#,##0.00"/>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4" formatCode="#,##0.00"/>
    </dxf>
    <dxf>
      <font>
        <b val="0"/>
        <i val="0"/>
        <strike val="0"/>
        <condense val="0"/>
        <extend val="0"/>
        <outline val="0"/>
        <shadow val="0"/>
        <u val="none"/>
        <vertAlign val="baseline"/>
        <sz val="11"/>
        <color theme="1"/>
        <name val="Calibri"/>
        <scheme val="minor"/>
      </font>
      <numFmt numFmtId="4" formatCode="#,##0.00"/>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4" formatCode="#,##0.00"/>
    </dxf>
    <dxf>
      <font>
        <b val="0"/>
        <i val="0"/>
        <strike val="0"/>
        <condense val="0"/>
        <extend val="0"/>
        <outline val="0"/>
        <shadow val="0"/>
        <u val="none"/>
        <vertAlign val="baseline"/>
        <sz val="11"/>
        <color theme="1"/>
        <name val="Calibri"/>
        <scheme val="minor"/>
      </font>
      <numFmt numFmtId="4" formatCode="#,##0.00"/>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4" formatCode="#,##0.00"/>
    </dxf>
    <dxf>
      <font>
        <b val="0"/>
        <i val="0"/>
        <strike val="0"/>
        <condense val="0"/>
        <extend val="0"/>
        <outline val="0"/>
        <shadow val="0"/>
        <u val="none"/>
        <vertAlign val="baseline"/>
        <sz val="11"/>
        <color theme="1"/>
        <name val="Calibri"/>
        <scheme val="minor"/>
      </font>
      <numFmt numFmtId="4" formatCode="#,##0.00"/>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4" formatCode="#,##0.00"/>
    </dxf>
    <dxf>
      <font>
        <b val="0"/>
        <i val="0"/>
        <strike val="0"/>
        <condense val="0"/>
        <extend val="0"/>
        <outline val="0"/>
        <shadow val="0"/>
        <u val="none"/>
        <vertAlign val="baseline"/>
        <sz val="11"/>
        <color theme="1"/>
        <name val="Calibri"/>
        <scheme val="minor"/>
      </font>
      <numFmt numFmtId="4" formatCode="#,##0.00"/>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4" formatCode="#,##0.00"/>
    </dxf>
    <dxf>
      <font>
        <b val="0"/>
        <i val="0"/>
        <strike val="0"/>
        <condense val="0"/>
        <extend val="0"/>
        <outline val="0"/>
        <shadow val="0"/>
        <u val="none"/>
        <vertAlign val="baseline"/>
        <sz val="11"/>
        <color theme="1"/>
        <name val="Calibri"/>
        <scheme val="minor"/>
      </font>
      <numFmt numFmtId="4" formatCode="#,##0.00"/>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4" formatCode="#,##0.00"/>
    </dxf>
    <dxf>
      <font>
        <b val="0"/>
        <i val="0"/>
        <strike val="0"/>
        <condense val="0"/>
        <extend val="0"/>
        <outline val="0"/>
        <shadow val="0"/>
        <u val="none"/>
        <vertAlign val="baseline"/>
        <sz val="11"/>
        <color theme="1"/>
        <name val="Calibri"/>
        <scheme val="minor"/>
      </font>
      <numFmt numFmtId="4" formatCode="#,##0.00"/>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4" formatCode="#,##0.00"/>
    </dxf>
    <dxf>
      <font>
        <b val="0"/>
        <i val="0"/>
        <strike val="0"/>
        <condense val="0"/>
        <extend val="0"/>
        <outline val="0"/>
        <shadow val="0"/>
        <u val="none"/>
        <vertAlign val="baseline"/>
        <sz val="11"/>
        <color theme="1"/>
        <name val="Calibri"/>
        <scheme val="minor"/>
      </font>
      <numFmt numFmtId="4" formatCode="#,##0.00"/>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4" formatCode="#,##0.00"/>
    </dxf>
    <dxf>
      <font>
        <b val="0"/>
        <i val="0"/>
        <strike val="0"/>
        <condense val="0"/>
        <extend val="0"/>
        <outline val="0"/>
        <shadow val="0"/>
        <u val="none"/>
        <vertAlign val="baseline"/>
        <sz val="11"/>
        <color theme="1"/>
        <name val="Calibri"/>
        <scheme val="minor"/>
      </font>
      <numFmt numFmtId="4" formatCode="#,##0.00"/>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4" formatCode="#,##0.00"/>
    </dxf>
    <dxf>
      <font>
        <b val="0"/>
        <i val="0"/>
        <strike val="0"/>
        <condense val="0"/>
        <extend val="0"/>
        <outline val="0"/>
        <shadow val="0"/>
        <u val="none"/>
        <vertAlign val="baseline"/>
        <sz val="11"/>
        <color theme="1"/>
        <name val="Calibri"/>
        <scheme val="minor"/>
      </font>
      <numFmt numFmtId="4" formatCode="#,##0.00"/>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4" formatCode="#,##0.00"/>
    </dxf>
    <dxf>
      <font>
        <b val="0"/>
        <i val="0"/>
        <strike val="0"/>
        <condense val="0"/>
        <extend val="0"/>
        <outline val="0"/>
        <shadow val="0"/>
        <u val="none"/>
        <vertAlign val="baseline"/>
        <sz val="11"/>
        <color theme="1"/>
        <name val="Calibri"/>
        <scheme val="minor"/>
      </font>
      <numFmt numFmtId="4" formatCode="#,##0.00"/>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4" formatCode="#,##0.00"/>
    </dxf>
    <dxf>
      <font>
        <b val="0"/>
        <i val="0"/>
        <strike val="0"/>
        <condense val="0"/>
        <extend val="0"/>
        <outline val="0"/>
        <shadow val="0"/>
        <u val="none"/>
        <vertAlign val="baseline"/>
        <sz val="11"/>
        <color theme="1"/>
        <name val="Calibri"/>
        <scheme val="minor"/>
      </font>
      <numFmt numFmtId="4" formatCode="#,##0.00"/>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4" formatCode="#,##0.00"/>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4" formatCode="0.00%"/>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4" formatCode="#,##0.00"/>
    </dxf>
    <dxf>
      <font>
        <b val="0"/>
        <i val="0"/>
        <strike val="0"/>
        <condense val="0"/>
        <extend val="0"/>
        <outline val="0"/>
        <shadow val="0"/>
        <u val="none"/>
        <vertAlign val="baseline"/>
        <sz val="11"/>
        <color theme="1"/>
        <name val="Calibri"/>
        <scheme val="minor"/>
      </font>
      <numFmt numFmtId="4" formatCode="#,##0.00"/>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4" formatCode="#,##0.00"/>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4" formatCode="0.00%"/>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4" formatCode="#,##0.00"/>
    </dxf>
    <dxf>
      <font>
        <b val="0"/>
        <i val="0"/>
        <strike val="0"/>
        <condense val="0"/>
        <extend val="0"/>
        <outline val="0"/>
        <shadow val="0"/>
        <u val="none"/>
        <vertAlign val="baseline"/>
        <sz val="11"/>
        <color theme="1"/>
        <name val="Calibri"/>
        <scheme val="minor"/>
      </font>
      <numFmt numFmtId="4" formatCode="#,##0.00"/>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4" formatCode="#,##0.00"/>
    </dxf>
    <dxf>
      <font>
        <b val="0"/>
        <i val="0"/>
        <strike val="0"/>
        <condense val="0"/>
        <extend val="0"/>
        <outline val="0"/>
        <shadow val="0"/>
        <u val="none"/>
        <vertAlign val="baseline"/>
        <sz val="11"/>
        <color theme="1"/>
        <name val="Calibri"/>
        <scheme val="minor"/>
      </font>
      <numFmt numFmtId="4" formatCode="#,##0.00"/>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alignment horizontal="general" vertical="center" textRotation="0" wrapText="1" indent="0" justifyLastLine="0" shrinkToFit="0" readingOrder="0"/>
    </dxf>
    <dxf>
      <font>
        <b val="0"/>
        <i val="0"/>
        <strike val="0"/>
        <condense val="0"/>
        <extend val="0"/>
        <outline val="0"/>
        <shadow val="0"/>
        <u val="none"/>
        <vertAlign val="baseline"/>
        <sz val="11"/>
        <color theme="1"/>
        <name val="Calibri"/>
        <scheme val="minor"/>
      </font>
      <alignment horizontal="general" vertical="center" textRotation="0" wrapText="1" indent="0" justifyLastLine="0" shrinkToFit="0" readingOrder="0"/>
    </dxf>
    <dxf>
      <font>
        <b val="0"/>
        <i val="0"/>
        <strike val="0"/>
        <condense val="0"/>
        <extend val="0"/>
        <outline val="0"/>
        <shadow val="0"/>
        <u val="none"/>
        <vertAlign val="baseline"/>
        <sz val="11"/>
        <color theme="1"/>
        <name val="Calibri"/>
        <scheme val="minor"/>
      </font>
      <alignment horizontal="general" vertical="center" textRotation="0" wrapText="1" indent="0" justifyLastLine="0" shrinkToFit="0" readingOrder="0"/>
    </dxf>
    <dxf>
      <font>
        <b val="0"/>
        <i val="0"/>
        <strike val="0"/>
        <condense val="0"/>
        <extend val="0"/>
        <outline val="0"/>
        <shadow val="0"/>
        <u val="none"/>
        <vertAlign val="baseline"/>
        <sz val="11"/>
        <color theme="1"/>
        <name val="Calibri"/>
        <scheme val="minor"/>
      </font>
      <alignment horizontal="general" vertical="center" textRotation="0" wrapText="1" indent="0" justifyLastLine="0" shrinkToFit="0" readingOrder="0"/>
    </dxf>
    <dxf>
      <font>
        <b val="0"/>
        <i val="0"/>
        <strike val="0"/>
        <condense val="0"/>
        <extend val="0"/>
        <outline val="0"/>
        <shadow val="0"/>
        <u val="none"/>
        <vertAlign val="baseline"/>
        <sz val="11"/>
        <color theme="1"/>
        <name val="Calibri"/>
        <scheme val="minor"/>
      </font>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alignment horizontal="center" vertical="center" textRotation="0" wrapText="0" indent="0" justifyLastLine="0" shrinkToFit="0" readingOrder="0"/>
    </dxf>
    <dxf>
      <font>
        <strike val="0"/>
        <outline val="0"/>
        <shadow val="0"/>
        <u val="none"/>
        <vertAlign val="baseline"/>
        <sz val="11"/>
        <color rgb="FF000000"/>
        <name val="Calibri"/>
        <scheme val="none"/>
      </font>
    </dxf>
    <dxf>
      <font>
        <strike val="0"/>
        <outline val="0"/>
        <shadow val="0"/>
        <u val="none"/>
        <vertAlign val="baseline"/>
        <sz val="11"/>
        <color rgb="FF000000"/>
        <name val="Calibri"/>
        <scheme val="none"/>
      </font>
      <alignment horizontal="general" vertical="center" textRotation="0" indent="0" justifyLastLine="0" shrinkToFit="0" readingOrder="0"/>
    </dxf>
    <dxf>
      <font>
        <strike val="0"/>
        <outline val="0"/>
        <shadow val="0"/>
        <u val="none"/>
        <vertAlign val="baseline"/>
        <sz val="11"/>
        <color theme="1"/>
        <name val="Calibri"/>
        <scheme val="minor"/>
      </font>
      <alignment horizontal="center" vertical="center" textRotation="0" wrapText="1" indent="0" justifyLastLine="0" shrinkToFit="0" readingOrder="0"/>
    </dxf>
    <dxf>
      <fill>
        <patternFill>
          <bgColor rgb="FF92D050"/>
        </patternFill>
      </fill>
    </dxf>
    <dxf>
      <fill>
        <patternFill>
          <bgColor rgb="FFFFFF00"/>
        </patternFill>
      </fill>
    </dxf>
    <dxf>
      <fill>
        <patternFill>
          <bgColor rgb="FFFF0000"/>
        </patternFill>
      </fill>
    </dxf>
    <dxf>
      <fill>
        <patternFill>
          <bgColor theme="0" tint="-0.24994659260841701"/>
        </patternFill>
      </fill>
    </dxf>
    <dxf>
      <fill>
        <patternFill>
          <bgColor rgb="FF92D050"/>
        </patternFill>
      </fill>
    </dxf>
    <dxf>
      <fill>
        <patternFill>
          <bgColor rgb="FFFFFF00"/>
        </patternFill>
      </fill>
    </dxf>
    <dxf>
      <fill>
        <patternFill>
          <bgColor rgb="FFFF0000"/>
        </patternFill>
      </fill>
    </dxf>
    <dxf>
      <fill>
        <patternFill>
          <bgColor theme="0" tint="-0.24994659260841701"/>
        </patternFill>
      </fill>
    </dxf>
    <dxf>
      <fill>
        <patternFill>
          <bgColor rgb="FF92D050"/>
        </patternFill>
      </fill>
    </dxf>
    <dxf>
      <fill>
        <patternFill>
          <bgColor rgb="FFFFFF00"/>
        </patternFill>
      </fill>
    </dxf>
    <dxf>
      <fill>
        <patternFill>
          <bgColor rgb="FFFF0000"/>
        </patternFill>
      </fill>
    </dxf>
    <dxf>
      <fill>
        <patternFill>
          <bgColor theme="0" tint="-0.24994659260841701"/>
        </patternFill>
      </fill>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4" formatCode="#,##0.00"/>
    </dxf>
    <dxf>
      <font>
        <b val="0"/>
        <i val="0"/>
        <strike val="0"/>
        <condense val="0"/>
        <extend val="0"/>
        <outline val="0"/>
        <shadow val="0"/>
        <u val="none"/>
        <vertAlign val="baseline"/>
        <sz val="11"/>
        <color theme="1"/>
        <name val="Calibri"/>
        <scheme val="minor"/>
      </font>
      <numFmt numFmtId="4" formatCode="#,##0.00"/>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4" formatCode="#,##0.00"/>
    </dxf>
    <dxf>
      <font>
        <b val="0"/>
        <i val="0"/>
        <strike val="0"/>
        <condense val="0"/>
        <extend val="0"/>
        <outline val="0"/>
        <shadow val="0"/>
        <u val="none"/>
        <vertAlign val="baseline"/>
        <sz val="11"/>
        <color theme="1"/>
        <name val="Calibri"/>
        <scheme val="minor"/>
      </font>
      <numFmt numFmtId="4" formatCode="#,##0.00"/>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4" formatCode="#,##0.00"/>
    </dxf>
    <dxf>
      <font>
        <b val="0"/>
        <i val="0"/>
        <strike val="0"/>
        <condense val="0"/>
        <extend val="0"/>
        <outline val="0"/>
        <shadow val="0"/>
        <u val="none"/>
        <vertAlign val="baseline"/>
        <sz val="11"/>
        <color theme="1"/>
        <name val="Calibri"/>
        <scheme val="minor"/>
      </font>
      <numFmt numFmtId="4" formatCode="#,##0.00"/>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4" formatCode="#,##0.00"/>
    </dxf>
    <dxf>
      <font>
        <b val="0"/>
        <i val="0"/>
        <strike val="0"/>
        <condense val="0"/>
        <extend val="0"/>
        <outline val="0"/>
        <shadow val="0"/>
        <u val="none"/>
        <vertAlign val="baseline"/>
        <sz val="11"/>
        <color theme="1"/>
        <name val="Calibri"/>
        <scheme val="minor"/>
      </font>
      <numFmt numFmtId="4" formatCode="#,##0.00"/>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4" formatCode="#,##0.00"/>
    </dxf>
    <dxf>
      <font>
        <b val="0"/>
        <i val="0"/>
        <strike val="0"/>
        <condense val="0"/>
        <extend val="0"/>
        <outline val="0"/>
        <shadow val="0"/>
        <u val="none"/>
        <vertAlign val="baseline"/>
        <sz val="11"/>
        <color theme="1"/>
        <name val="Calibri"/>
        <scheme val="minor"/>
      </font>
      <numFmt numFmtId="4" formatCode="#,##0.00"/>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4" formatCode="#,##0.00"/>
    </dxf>
    <dxf>
      <font>
        <b val="0"/>
        <i val="0"/>
        <strike val="0"/>
        <condense val="0"/>
        <extend val="0"/>
        <outline val="0"/>
        <shadow val="0"/>
        <u val="none"/>
        <vertAlign val="baseline"/>
        <sz val="11"/>
        <color theme="1"/>
        <name val="Calibri"/>
        <scheme val="minor"/>
      </font>
      <numFmt numFmtId="4" formatCode="#,##0.00"/>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4" formatCode="#,##0.00"/>
    </dxf>
    <dxf>
      <font>
        <b val="0"/>
        <i val="0"/>
        <strike val="0"/>
        <condense val="0"/>
        <extend val="0"/>
        <outline val="0"/>
        <shadow val="0"/>
        <u val="none"/>
        <vertAlign val="baseline"/>
        <sz val="11"/>
        <color theme="1"/>
        <name val="Calibri"/>
        <scheme val="minor"/>
      </font>
      <numFmt numFmtId="4" formatCode="#,##0.00"/>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4" formatCode="#,##0.00"/>
    </dxf>
    <dxf>
      <font>
        <b val="0"/>
        <i val="0"/>
        <strike val="0"/>
        <condense val="0"/>
        <extend val="0"/>
        <outline val="0"/>
        <shadow val="0"/>
        <u val="none"/>
        <vertAlign val="baseline"/>
        <sz val="11"/>
        <color theme="1"/>
        <name val="Calibri"/>
        <scheme val="minor"/>
      </font>
      <numFmt numFmtId="4" formatCode="#,##0.00"/>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4" formatCode="#,##0.00"/>
    </dxf>
    <dxf>
      <font>
        <b val="0"/>
        <i val="0"/>
        <strike val="0"/>
        <condense val="0"/>
        <extend val="0"/>
        <outline val="0"/>
        <shadow val="0"/>
        <u val="none"/>
        <vertAlign val="baseline"/>
        <sz val="11"/>
        <color theme="1"/>
        <name val="Calibri"/>
        <scheme val="minor"/>
      </font>
      <numFmt numFmtId="4" formatCode="#,##0.00"/>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4" formatCode="#,##0.00"/>
    </dxf>
    <dxf>
      <font>
        <b val="0"/>
        <i val="0"/>
        <strike val="0"/>
        <condense val="0"/>
        <extend val="0"/>
        <outline val="0"/>
        <shadow val="0"/>
        <u val="none"/>
        <vertAlign val="baseline"/>
        <sz val="11"/>
        <color theme="1"/>
        <name val="Calibri"/>
        <scheme val="minor"/>
      </font>
      <numFmt numFmtId="4" formatCode="#,##0.00"/>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4" formatCode="#,##0.00"/>
    </dxf>
    <dxf>
      <font>
        <b val="0"/>
        <i val="0"/>
        <strike val="0"/>
        <condense val="0"/>
        <extend val="0"/>
        <outline val="0"/>
        <shadow val="0"/>
        <u val="none"/>
        <vertAlign val="baseline"/>
        <sz val="11"/>
        <color theme="1"/>
        <name val="Calibri"/>
        <scheme val="minor"/>
      </font>
      <numFmt numFmtId="4" formatCode="#,##0.00"/>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4" formatCode="#,##0.00"/>
    </dxf>
    <dxf>
      <font>
        <b val="0"/>
        <i val="0"/>
        <strike val="0"/>
        <condense val="0"/>
        <extend val="0"/>
        <outline val="0"/>
        <shadow val="0"/>
        <u val="none"/>
        <vertAlign val="baseline"/>
        <sz val="11"/>
        <color theme="1"/>
        <name val="Calibri"/>
        <scheme val="minor"/>
      </font>
      <numFmt numFmtId="4" formatCode="#,##0.00"/>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4" formatCode="#,##0.00"/>
    </dxf>
    <dxf>
      <font>
        <b val="0"/>
        <i val="0"/>
        <strike val="0"/>
        <condense val="0"/>
        <extend val="0"/>
        <outline val="0"/>
        <shadow val="0"/>
        <u val="none"/>
        <vertAlign val="baseline"/>
        <sz val="11"/>
        <color theme="1"/>
        <name val="Calibri"/>
        <scheme val="minor"/>
      </font>
      <numFmt numFmtId="4" formatCode="#,##0.00"/>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4" formatCode="#,##0.00"/>
    </dxf>
    <dxf>
      <font>
        <b val="0"/>
        <i val="0"/>
        <strike val="0"/>
        <condense val="0"/>
        <extend val="0"/>
        <outline val="0"/>
        <shadow val="0"/>
        <u val="none"/>
        <vertAlign val="baseline"/>
        <sz val="11"/>
        <color theme="1"/>
        <name val="Calibri"/>
        <scheme val="minor"/>
      </font>
      <numFmt numFmtId="4" formatCode="#,##0.00"/>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4" formatCode="#,##0.00"/>
    </dxf>
    <dxf>
      <font>
        <b val="0"/>
        <i val="0"/>
        <strike val="0"/>
        <condense val="0"/>
        <extend val="0"/>
        <outline val="0"/>
        <shadow val="0"/>
        <u val="none"/>
        <vertAlign val="baseline"/>
        <sz val="11"/>
        <color theme="1"/>
        <name val="Calibri"/>
        <scheme val="minor"/>
      </font>
      <numFmt numFmtId="4" formatCode="#,##0.00"/>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4" formatCode="#,##0.00"/>
    </dxf>
    <dxf>
      <font>
        <b val="0"/>
        <i val="0"/>
        <strike val="0"/>
        <condense val="0"/>
        <extend val="0"/>
        <outline val="0"/>
        <shadow val="0"/>
        <u val="none"/>
        <vertAlign val="baseline"/>
        <sz val="11"/>
        <color theme="1"/>
        <name val="Calibri"/>
        <scheme val="minor"/>
      </font>
      <numFmt numFmtId="4" formatCode="#,##0.00"/>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4" formatCode="#,##0.00"/>
    </dxf>
    <dxf>
      <font>
        <b val="0"/>
        <i val="0"/>
        <strike val="0"/>
        <condense val="0"/>
        <extend val="0"/>
        <outline val="0"/>
        <shadow val="0"/>
        <u val="none"/>
        <vertAlign val="baseline"/>
        <sz val="11"/>
        <color theme="1"/>
        <name val="Calibri"/>
        <scheme val="minor"/>
      </font>
      <numFmt numFmtId="4" formatCode="#,##0.00"/>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4" formatCode="#,##0.00"/>
    </dxf>
    <dxf>
      <font>
        <b val="0"/>
        <i val="0"/>
        <strike val="0"/>
        <condense val="0"/>
        <extend val="0"/>
        <outline val="0"/>
        <shadow val="0"/>
        <u val="none"/>
        <vertAlign val="baseline"/>
        <sz val="11"/>
        <color theme="1"/>
        <name val="Calibri"/>
        <scheme val="minor"/>
      </font>
      <numFmt numFmtId="4" formatCode="#,##0.00"/>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4" formatCode="#,##0.00"/>
    </dxf>
    <dxf>
      <font>
        <b val="0"/>
        <i val="0"/>
        <strike val="0"/>
        <condense val="0"/>
        <extend val="0"/>
        <outline val="0"/>
        <shadow val="0"/>
        <u val="none"/>
        <vertAlign val="baseline"/>
        <sz val="11"/>
        <color theme="1"/>
        <name val="Calibri"/>
        <scheme val="minor"/>
      </font>
      <numFmt numFmtId="4" formatCode="#,##0.00"/>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4" formatCode="#,##0.00"/>
    </dxf>
    <dxf>
      <font>
        <b val="0"/>
        <i val="0"/>
        <strike val="0"/>
        <condense val="0"/>
        <extend val="0"/>
        <outline val="0"/>
        <shadow val="0"/>
        <u val="none"/>
        <vertAlign val="baseline"/>
        <sz val="11"/>
        <color theme="1"/>
        <name val="Calibri"/>
        <scheme val="minor"/>
      </font>
      <numFmt numFmtId="4" formatCode="#,##0.00"/>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4" formatCode="#,##0.00"/>
    </dxf>
    <dxf>
      <font>
        <b val="0"/>
        <i val="0"/>
        <strike val="0"/>
        <condense val="0"/>
        <extend val="0"/>
        <outline val="0"/>
        <shadow val="0"/>
        <u val="none"/>
        <vertAlign val="baseline"/>
        <sz val="11"/>
        <color theme="1"/>
        <name val="Calibri"/>
        <scheme val="minor"/>
      </font>
      <numFmt numFmtId="4" formatCode="#,##0.00"/>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4" formatCode="#,##0.00"/>
    </dxf>
    <dxf>
      <font>
        <b val="0"/>
        <i val="0"/>
        <strike val="0"/>
        <condense val="0"/>
        <extend val="0"/>
        <outline val="0"/>
        <shadow val="0"/>
        <u val="none"/>
        <vertAlign val="baseline"/>
        <sz val="11"/>
        <color theme="1"/>
        <name val="Calibri"/>
        <scheme val="minor"/>
      </font>
      <numFmt numFmtId="4" formatCode="#,##0.00"/>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4" formatCode="#,##0.00"/>
    </dxf>
    <dxf>
      <font>
        <b val="0"/>
        <i val="0"/>
        <strike val="0"/>
        <condense val="0"/>
        <extend val="0"/>
        <outline val="0"/>
        <shadow val="0"/>
        <u val="none"/>
        <vertAlign val="baseline"/>
        <sz val="11"/>
        <color theme="1"/>
        <name val="Calibri"/>
        <scheme val="minor"/>
      </font>
      <numFmt numFmtId="4" formatCode="#,##0.00"/>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4" formatCode="#,##0.00"/>
    </dxf>
    <dxf>
      <font>
        <b val="0"/>
        <i val="0"/>
        <strike val="0"/>
        <condense val="0"/>
        <extend val="0"/>
        <outline val="0"/>
        <shadow val="0"/>
        <u val="none"/>
        <vertAlign val="baseline"/>
        <sz val="11"/>
        <color theme="1"/>
        <name val="Calibri"/>
        <scheme val="minor"/>
      </font>
      <numFmt numFmtId="4" formatCode="#,##0.00"/>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4" formatCode="#,##0.00"/>
    </dxf>
    <dxf>
      <font>
        <b val="0"/>
        <i val="0"/>
        <strike val="0"/>
        <condense val="0"/>
        <extend val="0"/>
        <outline val="0"/>
        <shadow val="0"/>
        <u val="none"/>
        <vertAlign val="baseline"/>
        <sz val="11"/>
        <color theme="1"/>
        <name val="Calibri"/>
        <scheme val="minor"/>
      </font>
      <numFmt numFmtId="4" formatCode="#,##0.00"/>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4" formatCode="#,##0.00"/>
    </dxf>
    <dxf>
      <font>
        <b val="0"/>
        <i val="0"/>
        <strike val="0"/>
        <condense val="0"/>
        <extend val="0"/>
        <outline val="0"/>
        <shadow val="0"/>
        <u val="none"/>
        <vertAlign val="baseline"/>
        <sz val="11"/>
        <color theme="1"/>
        <name val="Calibri"/>
        <scheme val="minor"/>
      </font>
      <numFmt numFmtId="4" formatCode="#,##0.00"/>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4" formatCode="#,##0.00"/>
    </dxf>
    <dxf>
      <font>
        <b val="0"/>
        <i val="0"/>
        <strike val="0"/>
        <condense val="0"/>
        <extend val="0"/>
        <outline val="0"/>
        <shadow val="0"/>
        <u val="none"/>
        <vertAlign val="baseline"/>
        <sz val="11"/>
        <color theme="1"/>
        <name val="Calibri"/>
        <scheme val="minor"/>
      </font>
      <numFmt numFmtId="4" formatCode="#,##0.00"/>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4" formatCode="#,##0.00"/>
    </dxf>
    <dxf>
      <font>
        <b val="0"/>
        <i val="0"/>
        <strike val="0"/>
        <condense val="0"/>
        <extend val="0"/>
        <outline val="0"/>
        <shadow val="0"/>
        <u val="none"/>
        <vertAlign val="baseline"/>
        <sz val="11"/>
        <color theme="1"/>
        <name val="Calibri"/>
        <scheme val="minor"/>
      </font>
      <numFmt numFmtId="4" formatCode="#,##0.00"/>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4" formatCode="#,##0.00"/>
    </dxf>
    <dxf>
      <font>
        <b val="0"/>
        <i val="0"/>
        <strike val="0"/>
        <condense val="0"/>
        <extend val="0"/>
        <outline val="0"/>
        <shadow val="0"/>
        <u val="none"/>
        <vertAlign val="baseline"/>
        <sz val="11"/>
        <color theme="1"/>
        <name val="Calibri"/>
        <scheme val="minor"/>
      </font>
      <numFmt numFmtId="4" formatCode="#,##0.00"/>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4" formatCode="#,##0.00"/>
    </dxf>
    <dxf>
      <font>
        <b val="0"/>
        <i val="0"/>
        <strike val="0"/>
        <condense val="0"/>
        <extend val="0"/>
        <outline val="0"/>
        <shadow val="0"/>
        <u val="none"/>
        <vertAlign val="baseline"/>
        <sz val="11"/>
        <color theme="1"/>
        <name val="Calibri"/>
        <scheme val="minor"/>
      </font>
      <numFmt numFmtId="4" formatCode="#,##0.00"/>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4" formatCode="#,##0.00"/>
    </dxf>
    <dxf>
      <font>
        <b val="0"/>
        <i val="0"/>
        <strike val="0"/>
        <condense val="0"/>
        <extend val="0"/>
        <outline val="0"/>
        <shadow val="0"/>
        <u val="none"/>
        <vertAlign val="baseline"/>
        <sz val="11"/>
        <color theme="1"/>
        <name val="Calibri"/>
        <scheme val="minor"/>
      </font>
      <numFmt numFmtId="4" formatCode="#,##0.00"/>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4" formatCode="#,##0.00"/>
    </dxf>
    <dxf>
      <font>
        <b val="0"/>
        <i val="0"/>
        <strike val="0"/>
        <condense val="0"/>
        <extend val="0"/>
        <outline val="0"/>
        <shadow val="0"/>
        <u val="none"/>
        <vertAlign val="baseline"/>
        <sz val="11"/>
        <color theme="1"/>
        <name val="Calibri"/>
        <scheme val="minor"/>
      </font>
      <numFmt numFmtId="4" formatCode="#,##0.00"/>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4" formatCode="#,##0.00"/>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4" formatCode="0.00%"/>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4" formatCode="#,##0.00"/>
    </dxf>
    <dxf>
      <font>
        <b val="0"/>
        <i val="0"/>
        <strike val="0"/>
        <condense val="0"/>
        <extend val="0"/>
        <outline val="0"/>
        <shadow val="0"/>
        <u val="none"/>
        <vertAlign val="baseline"/>
        <sz val="11"/>
        <color theme="1"/>
        <name val="Calibri"/>
        <scheme val="minor"/>
      </font>
      <numFmt numFmtId="4" formatCode="#,##0.00"/>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4" formatCode="#,##0.00"/>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4" formatCode="0.00%"/>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4" formatCode="#,##0.00"/>
    </dxf>
    <dxf>
      <font>
        <b val="0"/>
        <i val="0"/>
        <strike val="0"/>
        <condense val="0"/>
        <extend val="0"/>
        <outline val="0"/>
        <shadow val="0"/>
        <u val="none"/>
        <vertAlign val="baseline"/>
        <sz val="11"/>
        <color theme="1"/>
        <name val="Calibri"/>
        <scheme val="minor"/>
      </font>
      <numFmt numFmtId="4" formatCode="#,##0.00"/>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4" formatCode="#,##0.00"/>
    </dxf>
    <dxf>
      <font>
        <b val="0"/>
        <i val="0"/>
        <strike val="0"/>
        <condense val="0"/>
        <extend val="0"/>
        <outline val="0"/>
        <shadow val="0"/>
        <u val="none"/>
        <vertAlign val="baseline"/>
        <sz val="11"/>
        <color theme="1"/>
        <name val="Calibri"/>
        <scheme val="minor"/>
      </font>
      <numFmt numFmtId="4" formatCode="#,##0.00"/>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alignment horizontal="general" vertical="center" textRotation="0" wrapText="1" indent="0" justifyLastLine="0" shrinkToFit="0" readingOrder="0"/>
    </dxf>
    <dxf>
      <font>
        <b val="0"/>
        <i val="0"/>
        <strike val="0"/>
        <condense val="0"/>
        <extend val="0"/>
        <outline val="0"/>
        <shadow val="0"/>
        <u val="none"/>
        <vertAlign val="baseline"/>
        <sz val="11"/>
        <color theme="1"/>
        <name val="Calibri"/>
        <scheme val="minor"/>
      </font>
      <alignment horizontal="general" vertical="center" textRotation="0" wrapText="1" indent="0" justifyLastLine="0" shrinkToFit="0" readingOrder="0"/>
    </dxf>
    <dxf>
      <font>
        <b val="0"/>
        <i val="0"/>
        <strike val="0"/>
        <condense val="0"/>
        <extend val="0"/>
        <outline val="0"/>
        <shadow val="0"/>
        <u val="none"/>
        <vertAlign val="baseline"/>
        <sz val="11"/>
        <color theme="1"/>
        <name val="Calibri"/>
        <scheme val="minor"/>
      </font>
      <alignment horizontal="general" vertical="center" textRotation="0" wrapText="1" indent="0" justifyLastLine="0" shrinkToFit="0" readingOrder="0"/>
    </dxf>
    <dxf>
      <font>
        <b val="0"/>
        <i val="0"/>
        <strike val="0"/>
        <condense val="0"/>
        <extend val="0"/>
        <outline val="0"/>
        <shadow val="0"/>
        <u val="none"/>
        <vertAlign val="baseline"/>
        <sz val="11"/>
        <color theme="1"/>
        <name val="Calibri"/>
        <scheme val="minor"/>
      </font>
      <alignment horizontal="general" vertical="center" textRotation="0" wrapText="1" indent="0" justifyLastLine="0" shrinkToFit="0" readingOrder="0"/>
    </dxf>
    <dxf>
      <font>
        <b val="0"/>
        <i val="0"/>
        <strike val="0"/>
        <condense val="0"/>
        <extend val="0"/>
        <outline val="0"/>
        <shadow val="0"/>
        <u val="none"/>
        <vertAlign val="baseline"/>
        <sz val="11"/>
        <color theme="1"/>
        <name val="Calibri"/>
        <scheme val="minor"/>
      </font>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alignment horizontal="center" vertical="center" textRotation="0" wrapText="0" indent="0" justifyLastLine="0" shrinkToFit="0" readingOrder="0"/>
    </dxf>
    <dxf>
      <font>
        <strike val="0"/>
        <outline val="0"/>
        <shadow val="0"/>
        <u val="none"/>
        <vertAlign val="baseline"/>
        <sz val="11"/>
        <color rgb="FF000000"/>
        <name val="Calibri"/>
        <scheme val="none"/>
      </font>
    </dxf>
    <dxf>
      <font>
        <strike val="0"/>
        <outline val="0"/>
        <shadow val="0"/>
        <u val="none"/>
        <vertAlign val="baseline"/>
        <sz val="11"/>
        <color rgb="FF000000"/>
        <name val="Calibri"/>
        <scheme val="none"/>
      </font>
      <alignment horizontal="general" vertical="center" textRotation="0" indent="0" justifyLastLine="0" shrinkToFit="0" readingOrder="0"/>
    </dxf>
    <dxf>
      <font>
        <strike val="0"/>
        <outline val="0"/>
        <shadow val="0"/>
        <u val="none"/>
        <vertAlign val="baseline"/>
        <sz val="11"/>
        <color theme="1"/>
        <name val="Calibri"/>
        <scheme val="minor"/>
      </font>
      <alignment horizontal="center" vertical="center" textRotation="0" wrapText="1" indent="0" justifyLastLine="0" shrinkToFit="0" readingOrder="0"/>
    </dxf>
    <dxf>
      <fill>
        <patternFill>
          <bgColor rgb="FF92D050"/>
        </patternFill>
      </fill>
    </dxf>
    <dxf>
      <fill>
        <patternFill>
          <bgColor rgb="FFFFFF00"/>
        </patternFill>
      </fill>
    </dxf>
    <dxf>
      <fill>
        <patternFill>
          <bgColor rgb="FFFF0000"/>
        </patternFill>
      </fill>
    </dxf>
    <dxf>
      <fill>
        <patternFill>
          <bgColor theme="0" tint="-0.24994659260841701"/>
        </patternFill>
      </fill>
    </dxf>
    <dxf>
      <fill>
        <patternFill>
          <bgColor rgb="FF92D050"/>
        </patternFill>
      </fill>
    </dxf>
    <dxf>
      <fill>
        <patternFill>
          <bgColor rgb="FFFFFF00"/>
        </patternFill>
      </fill>
    </dxf>
    <dxf>
      <fill>
        <patternFill>
          <bgColor rgb="FFFF0000"/>
        </patternFill>
      </fill>
    </dxf>
    <dxf>
      <fill>
        <patternFill>
          <bgColor theme="0" tint="-0.24994659260841701"/>
        </patternFill>
      </fill>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4" formatCode="#,##0.00"/>
    </dxf>
    <dxf>
      <font>
        <b val="0"/>
        <i val="0"/>
        <strike val="0"/>
        <condense val="0"/>
        <extend val="0"/>
        <outline val="0"/>
        <shadow val="0"/>
        <u val="none"/>
        <vertAlign val="baseline"/>
        <sz val="11"/>
        <color theme="1"/>
        <name val="Calibri"/>
        <scheme val="minor"/>
      </font>
      <numFmt numFmtId="4" formatCode="#,##0.00"/>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4" formatCode="#,##0.00"/>
    </dxf>
    <dxf>
      <font>
        <b val="0"/>
        <i val="0"/>
        <strike val="0"/>
        <condense val="0"/>
        <extend val="0"/>
        <outline val="0"/>
        <shadow val="0"/>
        <u val="none"/>
        <vertAlign val="baseline"/>
        <sz val="11"/>
        <color theme="1"/>
        <name val="Calibri"/>
        <scheme val="minor"/>
      </font>
      <numFmt numFmtId="4" formatCode="#,##0.00"/>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4" formatCode="#,##0.00"/>
    </dxf>
    <dxf>
      <font>
        <b val="0"/>
        <i val="0"/>
        <strike val="0"/>
        <condense val="0"/>
        <extend val="0"/>
        <outline val="0"/>
        <shadow val="0"/>
        <u val="none"/>
        <vertAlign val="baseline"/>
        <sz val="11"/>
        <color theme="1"/>
        <name val="Calibri"/>
        <scheme val="minor"/>
      </font>
      <numFmt numFmtId="4" formatCode="#,##0.00"/>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4" formatCode="#,##0.00"/>
    </dxf>
    <dxf>
      <font>
        <b val="0"/>
        <i val="0"/>
        <strike val="0"/>
        <condense val="0"/>
        <extend val="0"/>
        <outline val="0"/>
        <shadow val="0"/>
        <u val="none"/>
        <vertAlign val="baseline"/>
        <sz val="11"/>
        <color theme="1"/>
        <name val="Calibri"/>
        <scheme val="minor"/>
      </font>
      <numFmt numFmtId="4" formatCode="#,##0.00"/>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4" formatCode="#,##0.00"/>
    </dxf>
    <dxf>
      <font>
        <b val="0"/>
        <i val="0"/>
        <strike val="0"/>
        <condense val="0"/>
        <extend val="0"/>
        <outline val="0"/>
        <shadow val="0"/>
        <u val="none"/>
        <vertAlign val="baseline"/>
        <sz val="11"/>
        <color theme="1"/>
        <name val="Calibri"/>
        <scheme val="minor"/>
      </font>
      <numFmt numFmtId="4" formatCode="#,##0.00"/>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4" formatCode="#,##0.00"/>
    </dxf>
    <dxf>
      <font>
        <b val="0"/>
        <i val="0"/>
        <strike val="0"/>
        <condense val="0"/>
        <extend val="0"/>
        <outline val="0"/>
        <shadow val="0"/>
        <u val="none"/>
        <vertAlign val="baseline"/>
        <sz val="11"/>
        <color theme="1"/>
        <name val="Calibri"/>
        <scheme val="minor"/>
      </font>
      <numFmt numFmtId="4" formatCode="#,##0.00"/>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4" formatCode="#,##0.00"/>
    </dxf>
    <dxf>
      <font>
        <b val="0"/>
        <i val="0"/>
        <strike val="0"/>
        <condense val="0"/>
        <extend val="0"/>
        <outline val="0"/>
        <shadow val="0"/>
        <u val="none"/>
        <vertAlign val="baseline"/>
        <sz val="11"/>
        <color theme="1"/>
        <name val="Calibri"/>
        <scheme val="minor"/>
      </font>
      <numFmt numFmtId="4" formatCode="#,##0.00"/>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4" formatCode="#,##0.00"/>
    </dxf>
    <dxf>
      <font>
        <b val="0"/>
        <i val="0"/>
        <strike val="0"/>
        <condense val="0"/>
        <extend val="0"/>
        <outline val="0"/>
        <shadow val="0"/>
        <u val="none"/>
        <vertAlign val="baseline"/>
        <sz val="11"/>
        <color theme="1"/>
        <name val="Calibri"/>
        <scheme val="minor"/>
      </font>
      <numFmt numFmtId="4" formatCode="#,##0.00"/>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4" formatCode="#,##0.00"/>
    </dxf>
    <dxf>
      <font>
        <b val="0"/>
        <i val="0"/>
        <strike val="0"/>
        <condense val="0"/>
        <extend val="0"/>
        <outline val="0"/>
        <shadow val="0"/>
        <u val="none"/>
        <vertAlign val="baseline"/>
        <sz val="11"/>
        <color theme="1"/>
        <name val="Calibri"/>
        <scheme val="minor"/>
      </font>
      <numFmt numFmtId="4" formatCode="#,##0.00"/>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4" formatCode="#,##0.00"/>
    </dxf>
    <dxf>
      <font>
        <b val="0"/>
        <i val="0"/>
        <strike val="0"/>
        <condense val="0"/>
        <extend val="0"/>
        <outline val="0"/>
        <shadow val="0"/>
        <u val="none"/>
        <vertAlign val="baseline"/>
        <sz val="11"/>
        <color theme="1"/>
        <name val="Calibri"/>
        <scheme val="minor"/>
      </font>
      <numFmt numFmtId="4" formatCode="#,##0.00"/>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4" formatCode="#,##0.00"/>
    </dxf>
    <dxf>
      <font>
        <b val="0"/>
        <i val="0"/>
        <strike val="0"/>
        <condense val="0"/>
        <extend val="0"/>
        <outline val="0"/>
        <shadow val="0"/>
        <u val="none"/>
        <vertAlign val="baseline"/>
        <sz val="11"/>
        <color theme="1"/>
        <name val="Calibri"/>
        <scheme val="minor"/>
      </font>
      <numFmt numFmtId="4" formatCode="#,##0.00"/>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4" formatCode="#,##0.00"/>
    </dxf>
    <dxf>
      <font>
        <b val="0"/>
        <i val="0"/>
        <strike val="0"/>
        <condense val="0"/>
        <extend val="0"/>
        <outline val="0"/>
        <shadow val="0"/>
        <u val="none"/>
        <vertAlign val="baseline"/>
        <sz val="11"/>
        <color theme="1"/>
        <name val="Calibri"/>
        <scheme val="minor"/>
      </font>
      <numFmt numFmtId="4" formatCode="#,##0.00"/>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4" formatCode="#,##0.00"/>
    </dxf>
    <dxf>
      <font>
        <b val="0"/>
        <i val="0"/>
        <strike val="0"/>
        <condense val="0"/>
        <extend val="0"/>
        <outline val="0"/>
        <shadow val="0"/>
        <u val="none"/>
        <vertAlign val="baseline"/>
        <sz val="11"/>
        <color theme="1"/>
        <name val="Calibri"/>
        <scheme val="minor"/>
      </font>
      <numFmt numFmtId="4" formatCode="#,##0.00"/>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4" formatCode="#,##0.00"/>
    </dxf>
    <dxf>
      <font>
        <b val="0"/>
        <i val="0"/>
        <strike val="0"/>
        <condense val="0"/>
        <extend val="0"/>
        <outline val="0"/>
        <shadow val="0"/>
        <u val="none"/>
        <vertAlign val="baseline"/>
        <sz val="11"/>
        <color theme="1"/>
        <name val="Calibri"/>
        <scheme val="minor"/>
      </font>
      <numFmt numFmtId="4" formatCode="#,##0.00"/>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4" formatCode="#,##0.00"/>
    </dxf>
    <dxf>
      <font>
        <b val="0"/>
        <i val="0"/>
        <strike val="0"/>
        <condense val="0"/>
        <extend val="0"/>
        <outline val="0"/>
        <shadow val="0"/>
        <u val="none"/>
        <vertAlign val="baseline"/>
        <sz val="11"/>
        <color theme="1"/>
        <name val="Calibri"/>
        <scheme val="minor"/>
      </font>
      <numFmt numFmtId="4" formatCode="#,##0.00"/>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4" formatCode="#,##0.00"/>
    </dxf>
    <dxf>
      <font>
        <b val="0"/>
        <i val="0"/>
        <strike val="0"/>
        <condense val="0"/>
        <extend val="0"/>
        <outline val="0"/>
        <shadow val="0"/>
        <u val="none"/>
        <vertAlign val="baseline"/>
        <sz val="11"/>
        <color theme="1"/>
        <name val="Calibri"/>
        <scheme val="minor"/>
      </font>
      <numFmt numFmtId="4" formatCode="#,##0.00"/>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4" formatCode="#,##0.00"/>
    </dxf>
    <dxf>
      <font>
        <b val="0"/>
        <i val="0"/>
        <strike val="0"/>
        <condense val="0"/>
        <extend val="0"/>
        <outline val="0"/>
        <shadow val="0"/>
        <u val="none"/>
        <vertAlign val="baseline"/>
        <sz val="11"/>
        <color theme="1"/>
        <name val="Calibri"/>
        <scheme val="minor"/>
      </font>
      <numFmt numFmtId="4" formatCode="#,##0.00"/>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4" formatCode="#,##0.00"/>
    </dxf>
    <dxf>
      <font>
        <b val="0"/>
        <i val="0"/>
        <strike val="0"/>
        <condense val="0"/>
        <extend val="0"/>
        <outline val="0"/>
        <shadow val="0"/>
        <u val="none"/>
        <vertAlign val="baseline"/>
        <sz val="11"/>
        <color theme="1"/>
        <name val="Calibri"/>
        <scheme val="minor"/>
      </font>
      <numFmt numFmtId="4" formatCode="#,##0.00"/>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4" formatCode="#,##0.00"/>
    </dxf>
    <dxf>
      <font>
        <b val="0"/>
        <i val="0"/>
        <strike val="0"/>
        <condense val="0"/>
        <extend val="0"/>
        <outline val="0"/>
        <shadow val="0"/>
        <u val="none"/>
        <vertAlign val="baseline"/>
        <sz val="11"/>
        <color theme="1"/>
        <name val="Calibri"/>
        <scheme val="minor"/>
      </font>
      <numFmt numFmtId="4" formatCode="#,##0.00"/>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4" formatCode="#,##0.00"/>
    </dxf>
    <dxf>
      <font>
        <b val="0"/>
        <i val="0"/>
        <strike val="0"/>
        <condense val="0"/>
        <extend val="0"/>
        <outline val="0"/>
        <shadow val="0"/>
        <u val="none"/>
        <vertAlign val="baseline"/>
        <sz val="11"/>
        <color theme="1"/>
        <name val="Calibri"/>
        <scheme val="minor"/>
      </font>
      <numFmt numFmtId="4" formatCode="#,##0.00"/>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4" formatCode="#,##0.00"/>
    </dxf>
    <dxf>
      <font>
        <b val="0"/>
        <i val="0"/>
        <strike val="0"/>
        <condense val="0"/>
        <extend val="0"/>
        <outline val="0"/>
        <shadow val="0"/>
        <u val="none"/>
        <vertAlign val="baseline"/>
        <sz val="11"/>
        <color theme="1"/>
        <name val="Calibri"/>
        <scheme val="minor"/>
      </font>
      <numFmt numFmtId="4" formatCode="#,##0.00"/>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4" formatCode="#,##0.00"/>
    </dxf>
    <dxf>
      <font>
        <b val="0"/>
        <i val="0"/>
        <strike val="0"/>
        <condense val="0"/>
        <extend val="0"/>
        <outline val="0"/>
        <shadow val="0"/>
        <u val="none"/>
        <vertAlign val="baseline"/>
        <sz val="11"/>
        <color theme="1"/>
        <name val="Calibri"/>
        <scheme val="minor"/>
      </font>
      <numFmt numFmtId="4" formatCode="#,##0.00"/>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4" formatCode="#,##0.00"/>
    </dxf>
    <dxf>
      <font>
        <b val="0"/>
        <i val="0"/>
        <strike val="0"/>
        <condense val="0"/>
        <extend val="0"/>
        <outline val="0"/>
        <shadow val="0"/>
        <u val="none"/>
        <vertAlign val="baseline"/>
        <sz val="11"/>
        <color theme="1"/>
        <name val="Calibri"/>
        <scheme val="minor"/>
      </font>
      <numFmt numFmtId="4" formatCode="#,##0.00"/>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4" formatCode="#,##0.00"/>
    </dxf>
    <dxf>
      <font>
        <b val="0"/>
        <i val="0"/>
        <strike val="0"/>
        <condense val="0"/>
        <extend val="0"/>
        <outline val="0"/>
        <shadow val="0"/>
        <u val="none"/>
        <vertAlign val="baseline"/>
        <sz val="11"/>
        <color theme="1"/>
        <name val="Calibri"/>
        <scheme val="minor"/>
      </font>
      <numFmt numFmtId="4" formatCode="#,##0.00"/>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4" formatCode="#,##0.00"/>
    </dxf>
    <dxf>
      <font>
        <b val="0"/>
        <i val="0"/>
        <strike val="0"/>
        <condense val="0"/>
        <extend val="0"/>
        <outline val="0"/>
        <shadow val="0"/>
        <u val="none"/>
        <vertAlign val="baseline"/>
        <sz val="11"/>
        <color theme="1"/>
        <name val="Calibri"/>
        <scheme val="minor"/>
      </font>
      <numFmt numFmtId="4" formatCode="#,##0.00"/>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4" formatCode="#,##0.00"/>
    </dxf>
    <dxf>
      <font>
        <b val="0"/>
        <i val="0"/>
        <strike val="0"/>
        <condense val="0"/>
        <extend val="0"/>
        <outline val="0"/>
        <shadow val="0"/>
        <u val="none"/>
        <vertAlign val="baseline"/>
        <sz val="11"/>
        <color theme="1"/>
        <name val="Calibri"/>
        <scheme val="minor"/>
      </font>
      <numFmt numFmtId="4" formatCode="#,##0.00"/>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4" formatCode="#,##0.00"/>
    </dxf>
    <dxf>
      <font>
        <b val="0"/>
        <i val="0"/>
        <strike val="0"/>
        <condense val="0"/>
        <extend val="0"/>
        <outline val="0"/>
        <shadow val="0"/>
        <u val="none"/>
        <vertAlign val="baseline"/>
        <sz val="11"/>
        <color theme="1"/>
        <name val="Calibri"/>
        <scheme val="minor"/>
      </font>
      <numFmt numFmtId="4" formatCode="#,##0.00"/>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4" formatCode="#,##0.00"/>
    </dxf>
    <dxf>
      <font>
        <b val="0"/>
        <i val="0"/>
        <strike val="0"/>
        <condense val="0"/>
        <extend val="0"/>
        <outline val="0"/>
        <shadow val="0"/>
        <u val="none"/>
        <vertAlign val="baseline"/>
        <sz val="11"/>
        <color theme="1"/>
        <name val="Calibri"/>
        <scheme val="minor"/>
      </font>
      <numFmt numFmtId="4" formatCode="#,##0.00"/>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4" formatCode="#,##0.00"/>
    </dxf>
    <dxf>
      <font>
        <b val="0"/>
        <i val="0"/>
        <strike val="0"/>
        <condense val="0"/>
        <extend val="0"/>
        <outline val="0"/>
        <shadow val="0"/>
        <u val="none"/>
        <vertAlign val="baseline"/>
        <sz val="11"/>
        <color theme="1"/>
        <name val="Calibri"/>
        <scheme val="minor"/>
      </font>
      <numFmt numFmtId="4" formatCode="#,##0.00"/>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4" formatCode="#,##0.00"/>
    </dxf>
    <dxf>
      <font>
        <b val="0"/>
        <i val="0"/>
        <strike val="0"/>
        <condense val="0"/>
        <extend val="0"/>
        <outline val="0"/>
        <shadow val="0"/>
        <u val="none"/>
        <vertAlign val="baseline"/>
        <sz val="11"/>
        <color theme="1"/>
        <name val="Calibri"/>
        <scheme val="minor"/>
      </font>
      <numFmt numFmtId="4" formatCode="#,##0.00"/>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4" formatCode="#,##0.00"/>
    </dxf>
    <dxf>
      <font>
        <b val="0"/>
        <i val="0"/>
        <strike val="0"/>
        <condense val="0"/>
        <extend val="0"/>
        <outline val="0"/>
        <shadow val="0"/>
        <u val="none"/>
        <vertAlign val="baseline"/>
        <sz val="11"/>
        <color theme="1"/>
        <name val="Calibri"/>
        <scheme val="minor"/>
      </font>
      <numFmt numFmtId="4" formatCode="#,##0.00"/>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4" formatCode="#,##0.00"/>
    </dxf>
    <dxf>
      <font>
        <b val="0"/>
        <i val="0"/>
        <strike val="0"/>
        <condense val="0"/>
        <extend val="0"/>
        <outline val="0"/>
        <shadow val="0"/>
        <u val="none"/>
        <vertAlign val="baseline"/>
        <sz val="11"/>
        <color theme="1"/>
        <name val="Calibri"/>
        <scheme val="minor"/>
      </font>
      <numFmt numFmtId="4" formatCode="#,##0.00"/>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4" formatCode="#,##0.00"/>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4" formatCode="0.00%"/>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4" formatCode="#,##0.00"/>
    </dxf>
    <dxf>
      <font>
        <b val="0"/>
        <i val="0"/>
        <strike val="0"/>
        <condense val="0"/>
        <extend val="0"/>
        <outline val="0"/>
        <shadow val="0"/>
        <u val="none"/>
        <vertAlign val="baseline"/>
        <sz val="11"/>
        <color theme="1"/>
        <name val="Calibri"/>
        <scheme val="minor"/>
      </font>
      <numFmt numFmtId="4" formatCode="#,##0.00"/>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4" formatCode="#,##0.00"/>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4" formatCode="0.00%"/>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4" formatCode="#,##0.00"/>
    </dxf>
    <dxf>
      <font>
        <b val="0"/>
        <i val="0"/>
        <strike val="0"/>
        <condense val="0"/>
        <extend val="0"/>
        <outline val="0"/>
        <shadow val="0"/>
        <u val="none"/>
        <vertAlign val="baseline"/>
        <sz val="11"/>
        <color theme="1"/>
        <name val="Calibri"/>
        <scheme val="minor"/>
      </font>
      <numFmt numFmtId="4" formatCode="#,##0.00"/>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4" formatCode="#,##0.00"/>
    </dxf>
    <dxf>
      <font>
        <b val="0"/>
        <i val="0"/>
        <strike val="0"/>
        <condense val="0"/>
        <extend val="0"/>
        <outline val="0"/>
        <shadow val="0"/>
        <u val="none"/>
        <vertAlign val="baseline"/>
        <sz val="11"/>
        <color theme="1"/>
        <name val="Calibri"/>
        <scheme val="minor"/>
      </font>
      <numFmt numFmtId="4" formatCode="#,##0.00"/>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alignment horizontal="general" vertical="center" textRotation="0" wrapText="1" indent="0" justifyLastLine="0" shrinkToFit="0" readingOrder="0"/>
    </dxf>
    <dxf>
      <font>
        <b val="0"/>
        <i val="0"/>
        <strike val="0"/>
        <condense val="0"/>
        <extend val="0"/>
        <outline val="0"/>
        <shadow val="0"/>
        <u val="none"/>
        <vertAlign val="baseline"/>
        <sz val="11"/>
        <color theme="1"/>
        <name val="Calibri"/>
        <scheme val="minor"/>
      </font>
      <alignment horizontal="general" vertical="center" textRotation="0" wrapText="1" indent="0" justifyLastLine="0" shrinkToFit="0" readingOrder="0"/>
    </dxf>
    <dxf>
      <font>
        <b val="0"/>
        <i val="0"/>
        <strike val="0"/>
        <condense val="0"/>
        <extend val="0"/>
        <outline val="0"/>
        <shadow val="0"/>
        <u val="none"/>
        <vertAlign val="baseline"/>
        <sz val="11"/>
        <color theme="1"/>
        <name val="Calibri"/>
        <scheme val="minor"/>
      </font>
      <alignment horizontal="general" vertical="center" textRotation="0" wrapText="1" indent="0" justifyLastLine="0" shrinkToFit="0" readingOrder="0"/>
    </dxf>
    <dxf>
      <font>
        <b val="0"/>
        <i val="0"/>
        <strike val="0"/>
        <condense val="0"/>
        <extend val="0"/>
        <outline val="0"/>
        <shadow val="0"/>
        <u val="none"/>
        <vertAlign val="baseline"/>
        <sz val="11"/>
        <color theme="1"/>
        <name val="Calibri"/>
        <scheme val="minor"/>
      </font>
      <alignment horizontal="general" vertical="center" textRotation="0" wrapText="1" indent="0" justifyLastLine="0" shrinkToFit="0" readingOrder="0"/>
    </dxf>
    <dxf>
      <font>
        <b val="0"/>
        <i val="0"/>
        <strike val="0"/>
        <condense val="0"/>
        <extend val="0"/>
        <outline val="0"/>
        <shadow val="0"/>
        <u val="none"/>
        <vertAlign val="baseline"/>
        <sz val="11"/>
        <color theme="1"/>
        <name val="Calibri"/>
        <scheme val="minor"/>
      </font>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alignment horizontal="center" vertical="center" textRotation="0" wrapText="0" indent="0" justifyLastLine="0" shrinkToFit="0" readingOrder="0"/>
    </dxf>
    <dxf>
      <font>
        <strike val="0"/>
        <outline val="0"/>
        <shadow val="0"/>
        <u val="none"/>
        <vertAlign val="baseline"/>
        <sz val="11"/>
        <color rgb="FF000000"/>
        <name val="Calibri"/>
        <scheme val="none"/>
      </font>
    </dxf>
    <dxf>
      <font>
        <strike val="0"/>
        <outline val="0"/>
        <shadow val="0"/>
        <u val="none"/>
        <vertAlign val="baseline"/>
        <sz val="11"/>
        <color rgb="FF000000"/>
        <name val="Calibri"/>
        <scheme val="none"/>
      </font>
      <alignment horizontal="general" vertical="center" textRotation="0" indent="0" justifyLastLine="0" shrinkToFit="0" readingOrder="0"/>
    </dxf>
    <dxf>
      <font>
        <strike val="0"/>
        <outline val="0"/>
        <shadow val="0"/>
        <u val="none"/>
        <vertAlign val="baseline"/>
        <sz val="11"/>
        <color theme="1"/>
        <name val="Calibri"/>
        <scheme val="minor"/>
      </font>
      <alignment horizontal="center" vertical="center" textRotation="0" wrapText="1" indent="0" justifyLastLine="0" shrinkToFit="0" readingOrder="0"/>
    </dxf>
    <dxf>
      <fill>
        <patternFill>
          <bgColor rgb="FF92D050"/>
        </patternFill>
      </fill>
    </dxf>
    <dxf>
      <fill>
        <patternFill>
          <bgColor rgb="FFFFFF00"/>
        </patternFill>
      </fill>
    </dxf>
    <dxf>
      <fill>
        <patternFill>
          <bgColor rgb="FFFF0000"/>
        </patternFill>
      </fill>
    </dxf>
    <dxf>
      <fill>
        <patternFill>
          <bgColor theme="0" tint="-0.24994659260841701"/>
        </patternFill>
      </fill>
    </dxf>
    <dxf>
      <fill>
        <patternFill>
          <bgColor rgb="FF92D050"/>
        </patternFill>
      </fill>
    </dxf>
    <dxf>
      <fill>
        <patternFill>
          <bgColor rgb="FFFFFF00"/>
        </patternFill>
      </fill>
    </dxf>
    <dxf>
      <fill>
        <patternFill>
          <bgColor rgb="FFFF0000"/>
        </patternFill>
      </fill>
    </dxf>
    <dxf>
      <fill>
        <patternFill>
          <bgColor theme="0" tint="-0.24994659260841701"/>
        </patternFill>
      </fill>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numFmt numFmtId="4" formatCode="#,##0.00"/>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4" formatCode="#,##0.00"/>
    </dxf>
    <dxf>
      <font>
        <b val="0"/>
        <i val="0"/>
        <strike val="0"/>
        <condense val="0"/>
        <extend val="0"/>
        <outline val="0"/>
        <shadow val="0"/>
        <u val="none"/>
        <vertAlign val="baseline"/>
        <sz val="11"/>
        <color theme="1"/>
        <name val="Calibri"/>
        <scheme val="minor"/>
      </font>
      <numFmt numFmtId="4" formatCode="#,##0.00"/>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4" formatCode="#,##0.00"/>
    </dxf>
    <dxf>
      <font>
        <b val="0"/>
        <i val="0"/>
        <strike val="0"/>
        <condense val="0"/>
        <extend val="0"/>
        <outline val="0"/>
        <shadow val="0"/>
        <u val="none"/>
        <vertAlign val="baseline"/>
        <sz val="11"/>
        <color theme="1"/>
        <name val="Calibri"/>
        <scheme val="minor"/>
      </font>
      <numFmt numFmtId="4" formatCode="#,##0.00"/>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4" formatCode="#,##0.00"/>
    </dxf>
    <dxf>
      <font>
        <b val="0"/>
        <i val="0"/>
        <strike val="0"/>
        <condense val="0"/>
        <extend val="0"/>
        <outline val="0"/>
        <shadow val="0"/>
        <u val="none"/>
        <vertAlign val="baseline"/>
        <sz val="11"/>
        <color theme="1"/>
        <name val="Calibri"/>
        <scheme val="minor"/>
      </font>
      <numFmt numFmtId="4" formatCode="#,##0.00"/>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4" formatCode="#,##0.00"/>
    </dxf>
    <dxf>
      <font>
        <b val="0"/>
        <i val="0"/>
        <strike val="0"/>
        <condense val="0"/>
        <extend val="0"/>
        <outline val="0"/>
        <shadow val="0"/>
        <u val="none"/>
        <vertAlign val="baseline"/>
        <sz val="11"/>
        <color theme="1"/>
        <name val="Calibri"/>
        <scheme val="minor"/>
      </font>
      <numFmt numFmtId="4" formatCode="#,##0.00"/>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4" formatCode="#,##0.00"/>
    </dxf>
    <dxf>
      <font>
        <b val="0"/>
        <i val="0"/>
        <strike val="0"/>
        <condense val="0"/>
        <extend val="0"/>
        <outline val="0"/>
        <shadow val="0"/>
        <u val="none"/>
        <vertAlign val="baseline"/>
        <sz val="11"/>
        <color theme="1"/>
        <name val="Calibri"/>
        <scheme val="minor"/>
      </font>
      <numFmt numFmtId="4" formatCode="#,##0.00"/>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4" formatCode="#,##0.00"/>
    </dxf>
    <dxf>
      <font>
        <b val="0"/>
        <i val="0"/>
        <strike val="0"/>
        <condense val="0"/>
        <extend val="0"/>
        <outline val="0"/>
        <shadow val="0"/>
        <u val="none"/>
        <vertAlign val="baseline"/>
        <sz val="11"/>
        <color theme="1"/>
        <name val="Calibri"/>
        <scheme val="minor"/>
      </font>
      <numFmt numFmtId="4" formatCode="#,##0.00"/>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4" formatCode="#,##0.00"/>
    </dxf>
    <dxf>
      <font>
        <b val="0"/>
        <i val="0"/>
        <strike val="0"/>
        <condense val="0"/>
        <extend val="0"/>
        <outline val="0"/>
        <shadow val="0"/>
        <u val="none"/>
        <vertAlign val="baseline"/>
        <sz val="11"/>
        <color theme="1"/>
        <name val="Calibri"/>
        <scheme val="minor"/>
      </font>
      <numFmt numFmtId="4" formatCode="#,##0.00"/>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4" formatCode="#,##0.00"/>
    </dxf>
    <dxf>
      <font>
        <b val="0"/>
        <i val="0"/>
        <strike val="0"/>
        <condense val="0"/>
        <extend val="0"/>
        <outline val="0"/>
        <shadow val="0"/>
        <u val="none"/>
        <vertAlign val="baseline"/>
        <sz val="11"/>
        <color theme="1"/>
        <name val="Calibri"/>
        <scheme val="minor"/>
      </font>
      <numFmt numFmtId="4" formatCode="#,##0.00"/>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4" formatCode="#,##0.00"/>
    </dxf>
    <dxf>
      <font>
        <b val="0"/>
        <i val="0"/>
        <strike val="0"/>
        <condense val="0"/>
        <extend val="0"/>
        <outline val="0"/>
        <shadow val="0"/>
        <u val="none"/>
        <vertAlign val="baseline"/>
        <sz val="11"/>
        <color theme="1"/>
        <name val="Calibri"/>
        <scheme val="minor"/>
      </font>
      <numFmt numFmtId="4" formatCode="#,##0.00"/>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4" formatCode="#,##0.00"/>
    </dxf>
    <dxf>
      <font>
        <b val="0"/>
        <i val="0"/>
        <strike val="0"/>
        <condense val="0"/>
        <extend val="0"/>
        <outline val="0"/>
        <shadow val="0"/>
        <u val="none"/>
        <vertAlign val="baseline"/>
        <sz val="11"/>
        <color theme="1"/>
        <name val="Calibri"/>
        <scheme val="minor"/>
      </font>
      <numFmt numFmtId="4" formatCode="#,##0.00"/>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4" formatCode="#,##0.00"/>
    </dxf>
    <dxf>
      <font>
        <b val="0"/>
        <i val="0"/>
        <strike val="0"/>
        <condense val="0"/>
        <extend val="0"/>
        <outline val="0"/>
        <shadow val="0"/>
        <u val="none"/>
        <vertAlign val="baseline"/>
        <sz val="11"/>
        <color theme="1"/>
        <name val="Calibri"/>
        <scheme val="minor"/>
      </font>
      <numFmt numFmtId="4" formatCode="#,##0.00"/>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4" formatCode="#,##0.00"/>
    </dxf>
    <dxf>
      <font>
        <b val="0"/>
        <i val="0"/>
        <strike val="0"/>
        <condense val="0"/>
        <extend val="0"/>
        <outline val="0"/>
        <shadow val="0"/>
        <u val="none"/>
        <vertAlign val="baseline"/>
        <sz val="11"/>
        <color theme="1"/>
        <name val="Calibri"/>
        <scheme val="minor"/>
      </font>
      <numFmt numFmtId="4" formatCode="#,##0.00"/>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4" formatCode="#,##0.00"/>
    </dxf>
    <dxf>
      <font>
        <b val="0"/>
        <i val="0"/>
        <strike val="0"/>
        <condense val="0"/>
        <extend val="0"/>
        <outline val="0"/>
        <shadow val="0"/>
        <u val="none"/>
        <vertAlign val="baseline"/>
        <sz val="11"/>
        <color theme="1"/>
        <name val="Calibri"/>
        <scheme val="minor"/>
      </font>
      <numFmt numFmtId="4" formatCode="#,##0.00"/>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4" formatCode="#,##0.00"/>
    </dxf>
    <dxf>
      <font>
        <b val="0"/>
        <i val="0"/>
        <strike val="0"/>
        <condense val="0"/>
        <extend val="0"/>
        <outline val="0"/>
        <shadow val="0"/>
        <u val="none"/>
        <vertAlign val="baseline"/>
        <sz val="11"/>
        <color theme="1"/>
        <name val="Calibri"/>
        <scheme val="minor"/>
      </font>
      <numFmt numFmtId="4" formatCode="#,##0.00"/>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4" formatCode="#,##0.00"/>
    </dxf>
    <dxf>
      <font>
        <b val="0"/>
        <i val="0"/>
        <strike val="0"/>
        <condense val="0"/>
        <extend val="0"/>
        <outline val="0"/>
        <shadow val="0"/>
        <u val="none"/>
        <vertAlign val="baseline"/>
        <sz val="11"/>
        <color theme="1"/>
        <name val="Calibri"/>
        <scheme val="minor"/>
      </font>
      <numFmt numFmtId="4" formatCode="#,##0.00"/>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4" formatCode="#,##0.00"/>
    </dxf>
    <dxf>
      <font>
        <b val="0"/>
        <i val="0"/>
        <strike val="0"/>
        <condense val="0"/>
        <extend val="0"/>
        <outline val="0"/>
        <shadow val="0"/>
        <u val="none"/>
        <vertAlign val="baseline"/>
        <sz val="11"/>
        <color theme="1"/>
        <name val="Calibri"/>
        <scheme val="minor"/>
      </font>
      <numFmt numFmtId="4" formatCode="#,##0.00"/>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4" formatCode="#,##0.00"/>
    </dxf>
    <dxf>
      <font>
        <b val="0"/>
        <i val="0"/>
        <strike val="0"/>
        <condense val="0"/>
        <extend val="0"/>
        <outline val="0"/>
        <shadow val="0"/>
        <u val="none"/>
        <vertAlign val="baseline"/>
        <sz val="11"/>
        <color theme="1"/>
        <name val="Calibri"/>
        <scheme val="minor"/>
      </font>
      <numFmt numFmtId="4" formatCode="#,##0.00"/>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4" formatCode="#,##0.00"/>
    </dxf>
    <dxf>
      <font>
        <b val="0"/>
        <i val="0"/>
        <strike val="0"/>
        <condense val="0"/>
        <extend val="0"/>
        <outline val="0"/>
        <shadow val="0"/>
        <u val="none"/>
        <vertAlign val="baseline"/>
        <sz val="11"/>
        <color theme="1"/>
        <name val="Calibri"/>
        <scheme val="minor"/>
      </font>
      <numFmt numFmtId="4" formatCode="#,##0.00"/>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4" formatCode="#,##0.00"/>
    </dxf>
    <dxf>
      <font>
        <b val="0"/>
        <i val="0"/>
        <strike val="0"/>
        <condense val="0"/>
        <extend val="0"/>
        <outline val="0"/>
        <shadow val="0"/>
        <u val="none"/>
        <vertAlign val="baseline"/>
        <sz val="11"/>
        <color theme="1"/>
        <name val="Calibri"/>
        <scheme val="minor"/>
      </font>
      <numFmt numFmtId="4" formatCode="#,##0.00"/>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4" formatCode="#,##0.00"/>
    </dxf>
    <dxf>
      <font>
        <b val="0"/>
        <i val="0"/>
        <strike val="0"/>
        <condense val="0"/>
        <extend val="0"/>
        <outline val="0"/>
        <shadow val="0"/>
        <u val="none"/>
        <vertAlign val="baseline"/>
        <sz val="11"/>
        <color theme="1"/>
        <name val="Calibri"/>
        <scheme val="minor"/>
      </font>
      <numFmt numFmtId="4" formatCode="#,##0.00"/>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4" formatCode="#,##0.00"/>
    </dxf>
    <dxf>
      <font>
        <b val="0"/>
        <i val="0"/>
        <strike val="0"/>
        <condense val="0"/>
        <extend val="0"/>
        <outline val="0"/>
        <shadow val="0"/>
        <u val="none"/>
        <vertAlign val="baseline"/>
        <sz val="11"/>
        <color theme="1"/>
        <name val="Calibri"/>
        <scheme val="minor"/>
      </font>
      <numFmt numFmtId="4" formatCode="#,##0.00"/>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4" formatCode="#,##0.00"/>
    </dxf>
    <dxf>
      <font>
        <b val="0"/>
        <i val="0"/>
        <strike val="0"/>
        <condense val="0"/>
        <extend val="0"/>
        <outline val="0"/>
        <shadow val="0"/>
        <u val="none"/>
        <vertAlign val="baseline"/>
        <sz val="11"/>
        <color theme="1"/>
        <name val="Calibri"/>
        <scheme val="minor"/>
      </font>
      <numFmt numFmtId="4" formatCode="#,##0.00"/>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4" formatCode="#,##0.00"/>
    </dxf>
    <dxf>
      <font>
        <b val="0"/>
        <i val="0"/>
        <strike val="0"/>
        <condense val="0"/>
        <extend val="0"/>
        <outline val="0"/>
        <shadow val="0"/>
        <u val="none"/>
        <vertAlign val="baseline"/>
        <sz val="11"/>
        <color theme="1"/>
        <name val="Calibri"/>
        <scheme val="minor"/>
      </font>
      <numFmt numFmtId="4" formatCode="#,##0.00"/>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4" formatCode="#,##0.00"/>
    </dxf>
    <dxf>
      <font>
        <b val="0"/>
        <i val="0"/>
        <strike val="0"/>
        <condense val="0"/>
        <extend val="0"/>
        <outline val="0"/>
        <shadow val="0"/>
        <u val="none"/>
        <vertAlign val="baseline"/>
        <sz val="11"/>
        <color theme="1"/>
        <name val="Calibri"/>
        <scheme val="minor"/>
      </font>
      <numFmt numFmtId="4" formatCode="#,##0.00"/>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4" formatCode="#,##0.00"/>
    </dxf>
    <dxf>
      <font>
        <b val="0"/>
        <i val="0"/>
        <strike val="0"/>
        <condense val="0"/>
        <extend val="0"/>
        <outline val="0"/>
        <shadow val="0"/>
        <u val="none"/>
        <vertAlign val="baseline"/>
        <sz val="11"/>
        <color theme="1"/>
        <name val="Calibri"/>
        <scheme val="minor"/>
      </font>
      <numFmt numFmtId="4" formatCode="#,##0.00"/>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4" formatCode="#,##0.00"/>
    </dxf>
    <dxf>
      <font>
        <b val="0"/>
        <i val="0"/>
        <strike val="0"/>
        <condense val="0"/>
        <extend val="0"/>
        <outline val="0"/>
        <shadow val="0"/>
        <u val="none"/>
        <vertAlign val="baseline"/>
        <sz val="11"/>
        <color theme="1"/>
        <name val="Calibri"/>
        <scheme val="minor"/>
      </font>
      <numFmt numFmtId="4" formatCode="#,##0.00"/>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4" formatCode="#,##0.00"/>
    </dxf>
    <dxf>
      <font>
        <b val="0"/>
        <i val="0"/>
        <strike val="0"/>
        <condense val="0"/>
        <extend val="0"/>
        <outline val="0"/>
        <shadow val="0"/>
        <u val="none"/>
        <vertAlign val="baseline"/>
        <sz val="11"/>
        <color theme="1"/>
        <name val="Calibri"/>
        <scheme val="minor"/>
      </font>
      <numFmt numFmtId="4" formatCode="#,##0.00"/>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4" formatCode="#,##0.00"/>
    </dxf>
    <dxf>
      <font>
        <b val="0"/>
        <i val="0"/>
        <strike val="0"/>
        <condense val="0"/>
        <extend val="0"/>
        <outline val="0"/>
        <shadow val="0"/>
        <u val="none"/>
        <vertAlign val="baseline"/>
        <sz val="11"/>
        <color theme="1"/>
        <name val="Calibri"/>
        <scheme val="minor"/>
      </font>
      <numFmt numFmtId="4" formatCode="#,##0.00"/>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4" formatCode="#,##0.00"/>
    </dxf>
    <dxf>
      <font>
        <b val="0"/>
        <i val="0"/>
        <strike val="0"/>
        <condense val="0"/>
        <extend val="0"/>
        <outline val="0"/>
        <shadow val="0"/>
        <u val="none"/>
        <vertAlign val="baseline"/>
        <sz val="11"/>
        <color theme="1"/>
        <name val="Calibri"/>
        <scheme val="minor"/>
      </font>
      <numFmt numFmtId="4" formatCode="#,##0.00"/>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4" formatCode="#,##0.00"/>
    </dxf>
    <dxf>
      <font>
        <b val="0"/>
        <i val="0"/>
        <strike val="0"/>
        <condense val="0"/>
        <extend val="0"/>
        <outline val="0"/>
        <shadow val="0"/>
        <u val="none"/>
        <vertAlign val="baseline"/>
        <sz val="11"/>
        <color theme="1"/>
        <name val="Calibri"/>
        <scheme val="minor"/>
      </font>
      <numFmt numFmtId="4" formatCode="#,##0.00"/>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4" formatCode="#,##0.00"/>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4" formatCode="#,##0.00"/>
    </dxf>
    <dxf>
      <font>
        <b val="0"/>
        <i val="0"/>
        <strike val="0"/>
        <condense val="0"/>
        <extend val="0"/>
        <outline val="0"/>
        <shadow val="0"/>
        <u val="none"/>
        <vertAlign val="baseline"/>
        <sz val="11"/>
        <color theme="1"/>
        <name val="Calibri"/>
        <scheme val="minor"/>
      </font>
      <numFmt numFmtId="4" formatCode="#,##0.00"/>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4" formatCode="#,##0.00"/>
    </dxf>
    <dxf>
      <font>
        <b val="0"/>
        <i val="0"/>
        <strike val="0"/>
        <condense val="0"/>
        <extend val="0"/>
        <outline val="0"/>
        <shadow val="0"/>
        <u val="none"/>
        <vertAlign val="baseline"/>
        <sz val="11"/>
        <color theme="1"/>
        <name val="Calibri"/>
        <scheme val="minor"/>
      </font>
      <numFmt numFmtId="4" formatCode="#,##0.00"/>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4" formatCode="#,##0.00"/>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4" formatCode="0.00%"/>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4" formatCode="#,##0.00"/>
    </dxf>
    <dxf>
      <font>
        <b val="0"/>
        <i val="0"/>
        <strike val="0"/>
        <condense val="0"/>
        <extend val="0"/>
        <outline val="0"/>
        <shadow val="0"/>
        <u val="none"/>
        <vertAlign val="baseline"/>
        <sz val="11"/>
        <color theme="1"/>
        <name val="Calibri"/>
        <scheme val="minor"/>
      </font>
      <numFmt numFmtId="4" formatCode="#,##0.00"/>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4" formatCode="#,##0.00"/>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4" formatCode="0.00%"/>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4" formatCode="#,##0.00"/>
    </dxf>
    <dxf>
      <font>
        <b val="0"/>
        <i val="0"/>
        <strike val="0"/>
        <condense val="0"/>
        <extend val="0"/>
        <outline val="0"/>
        <shadow val="0"/>
        <u val="none"/>
        <vertAlign val="baseline"/>
        <sz val="11"/>
        <color theme="1"/>
        <name val="Calibri"/>
        <scheme val="minor"/>
      </font>
      <numFmt numFmtId="4" formatCode="#,##0.00"/>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4" formatCode="#,##0.00"/>
    </dxf>
    <dxf>
      <font>
        <b val="0"/>
        <i val="0"/>
        <strike val="0"/>
        <condense val="0"/>
        <extend val="0"/>
        <outline val="0"/>
        <shadow val="0"/>
        <u val="none"/>
        <vertAlign val="baseline"/>
        <sz val="11"/>
        <color theme="1"/>
        <name val="Calibri"/>
        <scheme val="minor"/>
      </font>
      <numFmt numFmtId="4" formatCode="#,##0.00"/>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alignment horizontal="general" vertical="center" textRotation="0" wrapText="1" indent="0" justifyLastLine="0" shrinkToFit="0" readingOrder="0"/>
    </dxf>
    <dxf>
      <font>
        <b val="0"/>
        <i val="0"/>
        <strike val="0"/>
        <condense val="0"/>
        <extend val="0"/>
        <outline val="0"/>
        <shadow val="0"/>
        <u val="none"/>
        <vertAlign val="baseline"/>
        <sz val="11"/>
        <color theme="1"/>
        <name val="Calibri"/>
        <scheme val="minor"/>
      </font>
      <alignment horizontal="general" vertical="center" textRotation="0" wrapText="1" indent="0" justifyLastLine="0" shrinkToFit="0" readingOrder="0"/>
    </dxf>
    <dxf>
      <font>
        <b val="0"/>
        <i val="0"/>
        <strike val="0"/>
        <condense val="0"/>
        <extend val="0"/>
        <outline val="0"/>
        <shadow val="0"/>
        <u val="none"/>
        <vertAlign val="baseline"/>
        <sz val="11"/>
        <color theme="1"/>
        <name val="Calibri"/>
        <scheme val="minor"/>
      </font>
      <alignment horizontal="general" vertical="center" textRotation="0" wrapText="1" indent="0" justifyLastLine="0" shrinkToFit="0" readingOrder="0"/>
    </dxf>
    <dxf>
      <font>
        <b val="0"/>
        <i val="0"/>
        <strike val="0"/>
        <condense val="0"/>
        <extend val="0"/>
        <outline val="0"/>
        <shadow val="0"/>
        <u val="none"/>
        <vertAlign val="baseline"/>
        <sz val="11"/>
        <color theme="1"/>
        <name val="Calibri"/>
        <scheme val="minor"/>
      </font>
      <alignment horizontal="general" vertical="center" textRotation="0" wrapText="1" indent="0" justifyLastLine="0" shrinkToFit="0" readingOrder="0"/>
    </dxf>
    <dxf>
      <font>
        <b val="0"/>
        <i val="0"/>
        <strike val="0"/>
        <condense val="0"/>
        <extend val="0"/>
        <outline val="0"/>
        <shadow val="0"/>
        <u val="none"/>
        <vertAlign val="baseline"/>
        <sz val="11"/>
        <color theme="1"/>
        <name val="Calibri"/>
        <scheme val="minor"/>
      </font>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alignment horizontal="left" vertical="center" textRotation="0" wrapText="1" indent="0" justifyLastLine="0" shrinkToFit="0" readingOrder="0"/>
    </dxf>
    <dxf>
      <font>
        <strike val="0"/>
        <outline val="0"/>
        <shadow val="0"/>
        <u val="none"/>
        <vertAlign val="baseline"/>
        <sz val="11"/>
        <color rgb="FF000000"/>
        <name val="Calibri"/>
        <scheme val="none"/>
      </font>
    </dxf>
    <dxf>
      <font>
        <strike val="0"/>
        <outline val="0"/>
        <shadow val="0"/>
        <u val="none"/>
        <vertAlign val="baseline"/>
        <sz val="11"/>
        <color rgb="FF000000"/>
        <name val="Calibri"/>
        <scheme val="none"/>
      </font>
      <alignment horizontal="general" vertical="center" textRotation="0" indent="0" justifyLastLine="0" shrinkToFit="0" readingOrder="0"/>
    </dxf>
    <dxf>
      <font>
        <strike val="0"/>
        <outline val="0"/>
        <shadow val="0"/>
        <u val="none"/>
        <vertAlign val="baseline"/>
        <sz val="11"/>
        <color theme="1"/>
        <name val="Calibri"/>
        <scheme val="minor"/>
      </font>
      <alignment horizontal="center" vertical="center" textRotation="0" wrapText="1" indent="0" justifyLastLine="0" shrinkToFit="0" readingOrder="0"/>
    </dxf>
    <dxf>
      <fill>
        <patternFill>
          <bgColor rgb="FF92D050"/>
        </patternFill>
      </fill>
    </dxf>
    <dxf>
      <fill>
        <patternFill>
          <bgColor rgb="FFFFFF00"/>
        </patternFill>
      </fill>
    </dxf>
    <dxf>
      <fill>
        <patternFill>
          <bgColor rgb="FFFF0000"/>
        </patternFill>
      </fill>
    </dxf>
    <dxf>
      <fill>
        <patternFill>
          <bgColor theme="0" tint="-0.24994659260841701"/>
        </patternFill>
      </fill>
    </dxf>
    <dxf>
      <fill>
        <patternFill>
          <bgColor rgb="FF92D050"/>
        </patternFill>
      </fill>
    </dxf>
    <dxf>
      <fill>
        <patternFill>
          <bgColor rgb="FFFFFF00"/>
        </patternFill>
      </fill>
    </dxf>
    <dxf>
      <fill>
        <patternFill>
          <bgColor rgb="FFFF0000"/>
        </patternFill>
      </fill>
    </dxf>
    <dxf>
      <fill>
        <patternFill>
          <bgColor theme="0" tint="-0.24994659260841701"/>
        </patternFill>
      </fill>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numFmt numFmtId="4" formatCode="#,##0.00"/>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4" formatCode="#,##0.00"/>
    </dxf>
    <dxf>
      <font>
        <b val="0"/>
        <i val="0"/>
        <strike val="0"/>
        <condense val="0"/>
        <extend val="0"/>
        <outline val="0"/>
        <shadow val="0"/>
        <u val="none"/>
        <vertAlign val="baseline"/>
        <sz val="11"/>
        <color theme="1"/>
        <name val="Calibri"/>
        <scheme val="minor"/>
      </font>
      <numFmt numFmtId="4" formatCode="#,##0.00"/>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4" formatCode="#,##0.00"/>
    </dxf>
    <dxf>
      <font>
        <b val="0"/>
        <i val="0"/>
        <strike val="0"/>
        <condense val="0"/>
        <extend val="0"/>
        <outline val="0"/>
        <shadow val="0"/>
        <u val="none"/>
        <vertAlign val="baseline"/>
        <sz val="11"/>
        <color theme="1"/>
        <name val="Calibri"/>
        <scheme val="minor"/>
      </font>
      <numFmt numFmtId="4" formatCode="#,##0.00"/>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4" formatCode="#,##0.00"/>
    </dxf>
    <dxf>
      <font>
        <b val="0"/>
        <i val="0"/>
        <strike val="0"/>
        <condense val="0"/>
        <extend val="0"/>
        <outline val="0"/>
        <shadow val="0"/>
        <u val="none"/>
        <vertAlign val="baseline"/>
        <sz val="11"/>
        <color theme="1"/>
        <name val="Calibri"/>
        <scheme val="minor"/>
      </font>
      <numFmt numFmtId="4" formatCode="#,##0.00"/>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4" formatCode="#,##0.00"/>
    </dxf>
    <dxf>
      <font>
        <b val="0"/>
        <i val="0"/>
        <strike val="0"/>
        <condense val="0"/>
        <extend val="0"/>
        <outline val="0"/>
        <shadow val="0"/>
        <u val="none"/>
        <vertAlign val="baseline"/>
        <sz val="11"/>
        <color theme="1"/>
        <name val="Calibri"/>
        <scheme val="minor"/>
      </font>
      <numFmt numFmtId="4" formatCode="#,##0.00"/>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4" formatCode="#,##0.00"/>
    </dxf>
    <dxf>
      <font>
        <b val="0"/>
        <i val="0"/>
        <strike val="0"/>
        <condense val="0"/>
        <extend val="0"/>
        <outline val="0"/>
        <shadow val="0"/>
        <u val="none"/>
        <vertAlign val="baseline"/>
        <sz val="11"/>
        <color theme="1"/>
        <name val="Calibri"/>
        <scheme val="minor"/>
      </font>
      <numFmt numFmtId="4" formatCode="#,##0.00"/>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4" formatCode="#,##0.00"/>
    </dxf>
    <dxf>
      <font>
        <b val="0"/>
        <i val="0"/>
        <strike val="0"/>
        <condense val="0"/>
        <extend val="0"/>
        <outline val="0"/>
        <shadow val="0"/>
        <u val="none"/>
        <vertAlign val="baseline"/>
        <sz val="11"/>
        <color theme="1"/>
        <name val="Calibri"/>
        <scheme val="minor"/>
      </font>
      <numFmt numFmtId="4" formatCode="#,##0.00"/>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4" formatCode="#,##0.00"/>
    </dxf>
    <dxf>
      <font>
        <b val="0"/>
        <i val="0"/>
        <strike val="0"/>
        <condense val="0"/>
        <extend val="0"/>
        <outline val="0"/>
        <shadow val="0"/>
        <u val="none"/>
        <vertAlign val="baseline"/>
        <sz val="11"/>
        <color theme="1"/>
        <name val="Calibri"/>
        <scheme val="minor"/>
      </font>
      <numFmt numFmtId="4" formatCode="#,##0.00"/>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4" formatCode="#,##0.00"/>
    </dxf>
    <dxf>
      <font>
        <b val="0"/>
        <i val="0"/>
        <strike val="0"/>
        <condense val="0"/>
        <extend val="0"/>
        <outline val="0"/>
        <shadow val="0"/>
        <u val="none"/>
        <vertAlign val="baseline"/>
        <sz val="11"/>
        <color theme="1"/>
        <name val="Calibri"/>
        <scheme val="minor"/>
      </font>
      <numFmt numFmtId="4" formatCode="#,##0.00"/>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4" formatCode="#,##0.00"/>
    </dxf>
    <dxf>
      <font>
        <b val="0"/>
        <i val="0"/>
        <strike val="0"/>
        <condense val="0"/>
        <extend val="0"/>
        <outline val="0"/>
        <shadow val="0"/>
        <u val="none"/>
        <vertAlign val="baseline"/>
        <sz val="11"/>
        <color theme="1"/>
        <name val="Calibri"/>
        <scheme val="minor"/>
      </font>
      <numFmt numFmtId="4" formatCode="#,##0.00"/>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4" formatCode="#,##0.00"/>
    </dxf>
    <dxf>
      <font>
        <b val="0"/>
        <i val="0"/>
        <strike val="0"/>
        <condense val="0"/>
        <extend val="0"/>
        <outline val="0"/>
        <shadow val="0"/>
        <u val="none"/>
        <vertAlign val="baseline"/>
        <sz val="11"/>
        <color theme="1"/>
        <name val="Calibri"/>
        <scheme val="minor"/>
      </font>
      <numFmt numFmtId="4" formatCode="#,##0.00"/>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4" formatCode="#,##0.00"/>
    </dxf>
    <dxf>
      <font>
        <b val="0"/>
        <i val="0"/>
        <strike val="0"/>
        <condense val="0"/>
        <extend val="0"/>
        <outline val="0"/>
        <shadow val="0"/>
        <u val="none"/>
        <vertAlign val="baseline"/>
        <sz val="11"/>
        <color theme="1"/>
        <name val="Calibri"/>
        <scheme val="minor"/>
      </font>
      <numFmt numFmtId="4" formatCode="#,##0.00"/>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4" formatCode="#,##0.00"/>
    </dxf>
    <dxf>
      <font>
        <b val="0"/>
        <i val="0"/>
        <strike val="0"/>
        <condense val="0"/>
        <extend val="0"/>
        <outline val="0"/>
        <shadow val="0"/>
        <u val="none"/>
        <vertAlign val="baseline"/>
        <sz val="11"/>
        <color theme="1"/>
        <name val="Calibri"/>
        <scheme val="minor"/>
      </font>
      <numFmt numFmtId="4" formatCode="#,##0.00"/>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4" formatCode="#,##0.00"/>
    </dxf>
    <dxf>
      <font>
        <b val="0"/>
        <i val="0"/>
        <strike val="0"/>
        <condense val="0"/>
        <extend val="0"/>
        <outline val="0"/>
        <shadow val="0"/>
        <u val="none"/>
        <vertAlign val="baseline"/>
        <sz val="11"/>
        <color theme="1"/>
        <name val="Calibri"/>
        <scheme val="minor"/>
      </font>
      <numFmt numFmtId="4" formatCode="#,##0.00"/>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4" formatCode="#,##0.00"/>
    </dxf>
    <dxf>
      <font>
        <b val="0"/>
        <i val="0"/>
        <strike val="0"/>
        <condense val="0"/>
        <extend val="0"/>
        <outline val="0"/>
        <shadow val="0"/>
        <u val="none"/>
        <vertAlign val="baseline"/>
        <sz val="11"/>
        <color theme="1"/>
        <name val="Calibri"/>
        <scheme val="minor"/>
      </font>
      <numFmt numFmtId="4" formatCode="#,##0.00"/>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4" formatCode="#,##0.00"/>
    </dxf>
    <dxf>
      <font>
        <b val="0"/>
        <i val="0"/>
        <strike val="0"/>
        <condense val="0"/>
        <extend val="0"/>
        <outline val="0"/>
        <shadow val="0"/>
        <u val="none"/>
        <vertAlign val="baseline"/>
        <sz val="11"/>
        <color theme="1"/>
        <name val="Calibri"/>
        <scheme val="minor"/>
      </font>
      <numFmt numFmtId="4" formatCode="#,##0.00"/>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4" formatCode="#,##0.00"/>
    </dxf>
    <dxf>
      <font>
        <b val="0"/>
        <i val="0"/>
        <strike val="0"/>
        <condense val="0"/>
        <extend val="0"/>
        <outline val="0"/>
        <shadow val="0"/>
        <u val="none"/>
        <vertAlign val="baseline"/>
        <sz val="11"/>
        <color theme="1"/>
        <name val="Calibri"/>
        <scheme val="minor"/>
      </font>
      <numFmt numFmtId="4" formatCode="#,##0.00"/>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4" formatCode="#,##0.00"/>
    </dxf>
    <dxf>
      <font>
        <b val="0"/>
        <i val="0"/>
        <strike val="0"/>
        <condense val="0"/>
        <extend val="0"/>
        <outline val="0"/>
        <shadow val="0"/>
        <u val="none"/>
        <vertAlign val="baseline"/>
        <sz val="11"/>
        <color theme="1"/>
        <name val="Calibri"/>
        <scheme val="minor"/>
      </font>
      <numFmt numFmtId="4" formatCode="#,##0.00"/>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4" formatCode="#,##0.00"/>
    </dxf>
    <dxf>
      <font>
        <b val="0"/>
        <i val="0"/>
        <strike val="0"/>
        <condense val="0"/>
        <extend val="0"/>
        <outline val="0"/>
        <shadow val="0"/>
        <u val="none"/>
        <vertAlign val="baseline"/>
        <sz val="11"/>
        <color theme="1"/>
        <name val="Calibri"/>
        <scheme val="minor"/>
      </font>
      <numFmt numFmtId="4" formatCode="#,##0.00"/>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4" formatCode="#,##0.00"/>
    </dxf>
    <dxf>
      <font>
        <b val="0"/>
        <i val="0"/>
        <strike val="0"/>
        <condense val="0"/>
        <extend val="0"/>
        <outline val="0"/>
        <shadow val="0"/>
        <u val="none"/>
        <vertAlign val="baseline"/>
        <sz val="11"/>
        <color theme="1"/>
        <name val="Calibri"/>
        <scheme val="minor"/>
      </font>
      <numFmt numFmtId="4" formatCode="#,##0.00"/>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4" formatCode="#,##0.00"/>
    </dxf>
    <dxf>
      <font>
        <b val="0"/>
        <i val="0"/>
        <strike val="0"/>
        <condense val="0"/>
        <extend val="0"/>
        <outline val="0"/>
        <shadow val="0"/>
        <u val="none"/>
        <vertAlign val="baseline"/>
        <sz val="11"/>
        <color theme="1"/>
        <name val="Calibri"/>
        <scheme val="minor"/>
      </font>
      <numFmt numFmtId="4" formatCode="#,##0.00"/>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4" formatCode="#,##0.00"/>
    </dxf>
    <dxf>
      <font>
        <b val="0"/>
        <i val="0"/>
        <strike val="0"/>
        <condense val="0"/>
        <extend val="0"/>
        <outline val="0"/>
        <shadow val="0"/>
        <u val="none"/>
        <vertAlign val="baseline"/>
        <sz val="11"/>
        <color theme="1"/>
        <name val="Calibri"/>
        <scheme val="minor"/>
      </font>
      <numFmt numFmtId="4" formatCode="#,##0.00"/>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4" formatCode="#,##0.00"/>
    </dxf>
    <dxf>
      <font>
        <b val="0"/>
        <i val="0"/>
        <strike val="0"/>
        <condense val="0"/>
        <extend val="0"/>
        <outline val="0"/>
        <shadow val="0"/>
        <u val="none"/>
        <vertAlign val="baseline"/>
        <sz val="11"/>
        <color theme="1"/>
        <name val="Calibri"/>
        <scheme val="minor"/>
      </font>
      <numFmt numFmtId="4" formatCode="#,##0.00"/>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4" formatCode="#,##0.00"/>
    </dxf>
    <dxf>
      <font>
        <b val="0"/>
        <i val="0"/>
        <strike val="0"/>
        <condense val="0"/>
        <extend val="0"/>
        <outline val="0"/>
        <shadow val="0"/>
        <u val="none"/>
        <vertAlign val="baseline"/>
        <sz val="11"/>
        <color theme="1"/>
        <name val="Calibri"/>
        <scheme val="minor"/>
      </font>
      <numFmt numFmtId="4" formatCode="#,##0.00"/>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4" formatCode="#,##0.00"/>
    </dxf>
    <dxf>
      <font>
        <b val="0"/>
        <i val="0"/>
        <strike val="0"/>
        <condense val="0"/>
        <extend val="0"/>
        <outline val="0"/>
        <shadow val="0"/>
        <u val="none"/>
        <vertAlign val="baseline"/>
        <sz val="11"/>
        <color theme="1"/>
        <name val="Calibri"/>
        <scheme val="minor"/>
      </font>
      <numFmt numFmtId="4" formatCode="#,##0.00"/>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4" formatCode="#,##0.00"/>
    </dxf>
    <dxf>
      <font>
        <b val="0"/>
        <i val="0"/>
        <strike val="0"/>
        <condense val="0"/>
        <extend val="0"/>
        <outline val="0"/>
        <shadow val="0"/>
        <u val="none"/>
        <vertAlign val="baseline"/>
        <sz val="11"/>
        <color theme="1"/>
        <name val="Calibri"/>
        <scheme val="minor"/>
      </font>
      <numFmt numFmtId="4" formatCode="#,##0.00"/>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4" formatCode="#,##0.00"/>
    </dxf>
    <dxf>
      <font>
        <b val="0"/>
        <i val="0"/>
        <strike val="0"/>
        <condense val="0"/>
        <extend val="0"/>
        <outline val="0"/>
        <shadow val="0"/>
        <u val="none"/>
        <vertAlign val="baseline"/>
        <sz val="11"/>
        <color theme="1"/>
        <name val="Calibri"/>
        <scheme val="minor"/>
      </font>
      <numFmt numFmtId="4" formatCode="#,##0.00"/>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4" formatCode="#,##0.00"/>
    </dxf>
    <dxf>
      <font>
        <b val="0"/>
        <i val="0"/>
        <strike val="0"/>
        <condense val="0"/>
        <extend val="0"/>
        <outline val="0"/>
        <shadow val="0"/>
        <u val="none"/>
        <vertAlign val="baseline"/>
        <sz val="11"/>
        <color theme="1"/>
        <name val="Calibri"/>
        <scheme val="minor"/>
      </font>
      <numFmt numFmtId="4" formatCode="#,##0.00"/>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4" formatCode="#,##0.00"/>
    </dxf>
    <dxf>
      <font>
        <b val="0"/>
        <i val="0"/>
        <strike val="0"/>
        <condense val="0"/>
        <extend val="0"/>
        <outline val="0"/>
        <shadow val="0"/>
        <u val="none"/>
        <vertAlign val="baseline"/>
        <sz val="11"/>
        <color theme="1"/>
        <name val="Calibri"/>
        <scheme val="minor"/>
      </font>
      <numFmt numFmtId="4" formatCode="#,##0.00"/>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4" formatCode="#,##0.00"/>
    </dxf>
    <dxf>
      <font>
        <b val="0"/>
        <i val="0"/>
        <strike val="0"/>
        <condense val="0"/>
        <extend val="0"/>
        <outline val="0"/>
        <shadow val="0"/>
        <u val="none"/>
        <vertAlign val="baseline"/>
        <sz val="11"/>
        <color theme="1"/>
        <name val="Calibri"/>
        <scheme val="minor"/>
      </font>
      <numFmt numFmtId="4" formatCode="#,##0.00"/>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4" formatCode="#,##0.00"/>
    </dxf>
    <dxf>
      <font>
        <b val="0"/>
        <i val="0"/>
        <strike val="0"/>
        <condense val="0"/>
        <extend val="0"/>
        <outline val="0"/>
        <shadow val="0"/>
        <u val="none"/>
        <vertAlign val="baseline"/>
        <sz val="11"/>
        <color theme="1"/>
        <name val="Calibri"/>
        <scheme val="minor"/>
      </font>
      <numFmt numFmtId="4" formatCode="#,##0.00"/>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4" formatCode="#,##0.00"/>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4" formatCode="#,##0.00"/>
    </dxf>
    <dxf>
      <font>
        <b val="0"/>
        <i val="0"/>
        <strike val="0"/>
        <condense val="0"/>
        <extend val="0"/>
        <outline val="0"/>
        <shadow val="0"/>
        <u val="none"/>
        <vertAlign val="baseline"/>
        <sz val="11"/>
        <color theme="1"/>
        <name val="Calibri"/>
        <scheme val="minor"/>
      </font>
      <numFmt numFmtId="4" formatCode="#,##0.00"/>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4" formatCode="#,##0.00"/>
    </dxf>
    <dxf>
      <font>
        <b val="0"/>
        <i val="0"/>
        <strike val="0"/>
        <condense val="0"/>
        <extend val="0"/>
        <outline val="0"/>
        <shadow val="0"/>
        <u val="none"/>
        <vertAlign val="baseline"/>
        <sz val="11"/>
        <color theme="1"/>
        <name val="Calibri"/>
        <scheme val="minor"/>
      </font>
      <numFmt numFmtId="4" formatCode="#,##0.00"/>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4" formatCode="#,##0.00"/>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4" formatCode="0.00%"/>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4" formatCode="#,##0.00"/>
    </dxf>
    <dxf>
      <font>
        <b val="0"/>
        <i val="0"/>
        <strike val="0"/>
        <condense val="0"/>
        <extend val="0"/>
        <outline val="0"/>
        <shadow val="0"/>
        <u val="none"/>
        <vertAlign val="baseline"/>
        <sz val="11"/>
        <color theme="1"/>
        <name val="Calibri"/>
        <scheme val="minor"/>
      </font>
      <numFmt numFmtId="4" formatCode="#,##0.00"/>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4" formatCode="#,##0.00"/>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4" formatCode="0.00%"/>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4" formatCode="#,##0.00"/>
    </dxf>
    <dxf>
      <font>
        <b val="0"/>
        <i val="0"/>
        <strike val="0"/>
        <condense val="0"/>
        <extend val="0"/>
        <outline val="0"/>
        <shadow val="0"/>
        <u val="none"/>
        <vertAlign val="baseline"/>
        <sz val="11"/>
        <color theme="1"/>
        <name val="Calibri"/>
        <scheme val="minor"/>
      </font>
      <numFmt numFmtId="4" formatCode="#,##0.00"/>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4" formatCode="#,##0.00"/>
    </dxf>
    <dxf>
      <font>
        <b val="0"/>
        <i val="0"/>
        <strike val="0"/>
        <condense val="0"/>
        <extend val="0"/>
        <outline val="0"/>
        <shadow val="0"/>
        <u val="none"/>
        <vertAlign val="baseline"/>
        <sz val="11"/>
        <color theme="1"/>
        <name val="Calibri"/>
        <scheme val="minor"/>
      </font>
      <numFmt numFmtId="4" formatCode="#,##0.00"/>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alignment horizontal="general" vertical="center" textRotation="0" wrapText="1" indent="0" justifyLastLine="0" shrinkToFit="0" readingOrder="0"/>
    </dxf>
    <dxf>
      <font>
        <b val="0"/>
        <i val="0"/>
        <strike val="0"/>
        <condense val="0"/>
        <extend val="0"/>
        <outline val="0"/>
        <shadow val="0"/>
        <u val="none"/>
        <vertAlign val="baseline"/>
        <sz val="11"/>
        <color theme="1"/>
        <name val="Calibri"/>
        <scheme val="minor"/>
      </font>
      <alignment horizontal="general" vertical="center" textRotation="0" wrapText="1" indent="0" justifyLastLine="0" shrinkToFit="0" readingOrder="0"/>
    </dxf>
    <dxf>
      <font>
        <b val="0"/>
        <i val="0"/>
        <strike val="0"/>
        <condense val="0"/>
        <extend val="0"/>
        <outline val="0"/>
        <shadow val="0"/>
        <u val="none"/>
        <vertAlign val="baseline"/>
        <sz val="11"/>
        <color theme="1"/>
        <name val="Calibri"/>
        <scheme val="minor"/>
      </font>
      <alignment horizontal="general" vertical="center" textRotation="0" wrapText="1" indent="0" justifyLastLine="0" shrinkToFit="0" readingOrder="0"/>
    </dxf>
    <dxf>
      <font>
        <b val="0"/>
        <i val="0"/>
        <strike val="0"/>
        <condense val="0"/>
        <extend val="0"/>
        <outline val="0"/>
        <shadow val="0"/>
        <u val="none"/>
        <vertAlign val="baseline"/>
        <sz val="11"/>
        <color theme="1"/>
        <name val="Calibri"/>
        <scheme val="minor"/>
      </font>
      <alignment horizontal="general" vertical="center" textRotation="0" wrapText="1" indent="0" justifyLastLine="0" shrinkToFit="0" readingOrder="0"/>
    </dxf>
    <dxf>
      <font>
        <b val="0"/>
        <i val="0"/>
        <strike val="0"/>
        <condense val="0"/>
        <extend val="0"/>
        <outline val="0"/>
        <shadow val="0"/>
        <u val="none"/>
        <vertAlign val="baseline"/>
        <sz val="11"/>
        <color theme="1"/>
        <name val="Calibri"/>
        <scheme val="minor"/>
      </font>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alignment horizontal="center" vertical="center" textRotation="0" wrapText="0" indent="0" justifyLastLine="0" shrinkToFit="0" readingOrder="0"/>
    </dxf>
    <dxf>
      <font>
        <strike val="0"/>
        <outline val="0"/>
        <shadow val="0"/>
        <u val="none"/>
        <vertAlign val="baseline"/>
        <sz val="11"/>
        <color rgb="FF000000"/>
        <name val="Calibri"/>
        <scheme val="none"/>
      </font>
    </dxf>
    <dxf>
      <font>
        <strike val="0"/>
        <outline val="0"/>
        <shadow val="0"/>
        <u val="none"/>
        <vertAlign val="baseline"/>
        <sz val="11"/>
        <color rgb="FF000000"/>
        <name val="Calibri"/>
        <scheme val="none"/>
      </font>
      <alignment horizontal="general" vertical="center" textRotation="0" indent="0" justifyLastLine="0" shrinkToFit="0" readingOrder="0"/>
    </dxf>
    <dxf>
      <font>
        <strike val="0"/>
        <outline val="0"/>
        <shadow val="0"/>
        <u val="none"/>
        <vertAlign val="baseline"/>
        <sz val="11"/>
        <color theme="1"/>
        <name val="Calibri"/>
        <scheme val="minor"/>
      </font>
      <alignment horizontal="center" vertical="center" textRotation="0" wrapText="1" indent="0" justifyLastLine="0" shrinkToFit="0" readingOrder="0"/>
    </dxf>
    <dxf>
      <fill>
        <patternFill>
          <bgColor rgb="FF92D050"/>
        </patternFill>
      </fill>
    </dxf>
    <dxf>
      <fill>
        <patternFill>
          <bgColor rgb="FFFFFF00"/>
        </patternFill>
      </fill>
    </dxf>
    <dxf>
      <fill>
        <patternFill>
          <bgColor rgb="FFFF0000"/>
        </patternFill>
      </fill>
    </dxf>
    <dxf>
      <fill>
        <patternFill>
          <bgColor theme="0" tint="-0.24994659260841701"/>
        </patternFill>
      </fill>
    </dxf>
    <dxf>
      <fill>
        <patternFill>
          <bgColor rgb="FF92D050"/>
        </patternFill>
      </fill>
    </dxf>
    <dxf>
      <fill>
        <patternFill>
          <bgColor rgb="FFFFFF00"/>
        </patternFill>
      </fill>
    </dxf>
    <dxf>
      <fill>
        <patternFill>
          <bgColor rgb="FFFF0000"/>
        </patternFill>
      </fill>
    </dxf>
    <dxf>
      <fill>
        <patternFill>
          <bgColor theme="0" tint="-0.24994659260841701"/>
        </patternFill>
      </fill>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numFmt numFmtId="4" formatCode="#,##0.00"/>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4" formatCode="#,##0.00"/>
    </dxf>
    <dxf>
      <font>
        <b val="0"/>
        <i val="0"/>
        <strike val="0"/>
        <condense val="0"/>
        <extend val="0"/>
        <outline val="0"/>
        <shadow val="0"/>
        <u val="none"/>
        <vertAlign val="baseline"/>
        <sz val="11"/>
        <color theme="1"/>
        <name val="Calibri"/>
        <scheme val="minor"/>
      </font>
      <numFmt numFmtId="4" formatCode="#,##0.00"/>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4" formatCode="#,##0.00"/>
    </dxf>
    <dxf>
      <font>
        <b val="0"/>
        <i val="0"/>
        <strike val="0"/>
        <condense val="0"/>
        <extend val="0"/>
        <outline val="0"/>
        <shadow val="0"/>
        <u val="none"/>
        <vertAlign val="baseline"/>
        <sz val="11"/>
        <color theme="1"/>
        <name val="Calibri"/>
        <scheme val="minor"/>
      </font>
      <numFmt numFmtId="4" formatCode="#,##0.00"/>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4" formatCode="#,##0.00"/>
    </dxf>
    <dxf>
      <font>
        <b val="0"/>
        <i val="0"/>
        <strike val="0"/>
        <condense val="0"/>
        <extend val="0"/>
        <outline val="0"/>
        <shadow val="0"/>
        <u val="none"/>
        <vertAlign val="baseline"/>
        <sz val="11"/>
        <color theme="1"/>
        <name val="Calibri"/>
        <scheme val="minor"/>
      </font>
      <numFmt numFmtId="4" formatCode="#,##0.00"/>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4" formatCode="#,##0.00"/>
    </dxf>
    <dxf>
      <font>
        <b val="0"/>
        <i val="0"/>
        <strike val="0"/>
        <condense val="0"/>
        <extend val="0"/>
        <outline val="0"/>
        <shadow val="0"/>
        <u val="none"/>
        <vertAlign val="baseline"/>
        <sz val="11"/>
        <color theme="1"/>
        <name val="Calibri"/>
        <scheme val="minor"/>
      </font>
      <numFmt numFmtId="4" formatCode="#,##0.00"/>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4" formatCode="#,##0.00"/>
    </dxf>
    <dxf>
      <font>
        <b val="0"/>
        <i val="0"/>
        <strike val="0"/>
        <condense val="0"/>
        <extend val="0"/>
        <outline val="0"/>
        <shadow val="0"/>
        <u val="none"/>
        <vertAlign val="baseline"/>
        <sz val="11"/>
        <color theme="1"/>
        <name val="Calibri"/>
        <scheme val="minor"/>
      </font>
      <numFmt numFmtId="4" formatCode="#,##0.00"/>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4" formatCode="#,##0.00"/>
    </dxf>
    <dxf>
      <font>
        <b val="0"/>
        <i val="0"/>
        <strike val="0"/>
        <condense val="0"/>
        <extend val="0"/>
        <outline val="0"/>
        <shadow val="0"/>
        <u val="none"/>
        <vertAlign val="baseline"/>
        <sz val="11"/>
        <color theme="1"/>
        <name val="Calibri"/>
        <scheme val="minor"/>
      </font>
      <numFmt numFmtId="4" formatCode="#,##0.00"/>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4" formatCode="#,##0.00"/>
    </dxf>
    <dxf>
      <font>
        <b val="0"/>
        <i val="0"/>
        <strike val="0"/>
        <condense val="0"/>
        <extend val="0"/>
        <outline val="0"/>
        <shadow val="0"/>
        <u val="none"/>
        <vertAlign val="baseline"/>
        <sz val="11"/>
        <color theme="1"/>
        <name val="Calibri"/>
        <scheme val="minor"/>
      </font>
      <numFmt numFmtId="4" formatCode="#,##0.00"/>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4" formatCode="#,##0.00"/>
    </dxf>
    <dxf>
      <font>
        <b val="0"/>
        <i val="0"/>
        <strike val="0"/>
        <condense val="0"/>
        <extend val="0"/>
        <outline val="0"/>
        <shadow val="0"/>
        <u val="none"/>
        <vertAlign val="baseline"/>
        <sz val="11"/>
        <color theme="1"/>
        <name val="Calibri"/>
        <scheme val="minor"/>
      </font>
      <numFmt numFmtId="4" formatCode="#,##0.00"/>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4" formatCode="#,##0.00"/>
    </dxf>
    <dxf>
      <font>
        <b val="0"/>
        <i val="0"/>
        <strike val="0"/>
        <condense val="0"/>
        <extend val="0"/>
        <outline val="0"/>
        <shadow val="0"/>
        <u val="none"/>
        <vertAlign val="baseline"/>
        <sz val="11"/>
        <color theme="1"/>
        <name val="Calibri"/>
        <scheme val="minor"/>
      </font>
      <numFmt numFmtId="4" formatCode="#,##0.00"/>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4" formatCode="#,##0.00"/>
    </dxf>
    <dxf>
      <font>
        <b val="0"/>
        <i val="0"/>
        <strike val="0"/>
        <condense val="0"/>
        <extend val="0"/>
        <outline val="0"/>
        <shadow val="0"/>
        <u val="none"/>
        <vertAlign val="baseline"/>
        <sz val="11"/>
        <color theme="1"/>
        <name val="Calibri"/>
        <scheme val="minor"/>
      </font>
      <numFmt numFmtId="4" formatCode="#,##0.00"/>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4" formatCode="#,##0.00"/>
    </dxf>
    <dxf>
      <font>
        <b val="0"/>
        <i val="0"/>
        <strike val="0"/>
        <condense val="0"/>
        <extend val="0"/>
        <outline val="0"/>
        <shadow val="0"/>
        <u val="none"/>
        <vertAlign val="baseline"/>
        <sz val="11"/>
        <color theme="1"/>
        <name val="Calibri"/>
        <scheme val="minor"/>
      </font>
      <numFmt numFmtId="4" formatCode="#,##0.00"/>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4" formatCode="#,##0.00"/>
    </dxf>
    <dxf>
      <font>
        <b val="0"/>
        <i val="0"/>
        <strike val="0"/>
        <condense val="0"/>
        <extend val="0"/>
        <outline val="0"/>
        <shadow val="0"/>
        <u val="none"/>
        <vertAlign val="baseline"/>
        <sz val="11"/>
        <color theme="1"/>
        <name val="Calibri"/>
        <scheme val="minor"/>
      </font>
      <numFmt numFmtId="4" formatCode="#,##0.00"/>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4" formatCode="#,##0.00"/>
    </dxf>
    <dxf>
      <font>
        <b val="0"/>
        <i val="0"/>
        <strike val="0"/>
        <condense val="0"/>
        <extend val="0"/>
        <outline val="0"/>
        <shadow val="0"/>
        <u val="none"/>
        <vertAlign val="baseline"/>
        <sz val="11"/>
        <color theme="1"/>
        <name val="Calibri"/>
        <scheme val="minor"/>
      </font>
      <numFmt numFmtId="4" formatCode="#,##0.00"/>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4" formatCode="#,##0.00"/>
    </dxf>
    <dxf>
      <font>
        <b val="0"/>
        <i val="0"/>
        <strike val="0"/>
        <condense val="0"/>
        <extend val="0"/>
        <outline val="0"/>
        <shadow val="0"/>
        <u val="none"/>
        <vertAlign val="baseline"/>
        <sz val="11"/>
        <color theme="1"/>
        <name val="Calibri"/>
        <scheme val="minor"/>
      </font>
      <numFmt numFmtId="4" formatCode="#,##0.00"/>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4" formatCode="#,##0.00"/>
    </dxf>
    <dxf>
      <font>
        <b val="0"/>
        <i val="0"/>
        <strike val="0"/>
        <condense val="0"/>
        <extend val="0"/>
        <outline val="0"/>
        <shadow val="0"/>
        <u val="none"/>
        <vertAlign val="baseline"/>
        <sz val="11"/>
        <color theme="1"/>
        <name val="Calibri"/>
        <scheme val="minor"/>
      </font>
      <numFmt numFmtId="4" formatCode="#,##0.00"/>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4" formatCode="#,##0.00"/>
    </dxf>
    <dxf>
      <font>
        <b val="0"/>
        <i val="0"/>
        <strike val="0"/>
        <condense val="0"/>
        <extend val="0"/>
        <outline val="0"/>
        <shadow val="0"/>
        <u val="none"/>
        <vertAlign val="baseline"/>
        <sz val="11"/>
        <color theme="1"/>
        <name val="Calibri"/>
        <scheme val="minor"/>
      </font>
      <numFmt numFmtId="4" formatCode="#,##0.00"/>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4" formatCode="#,##0.00"/>
    </dxf>
    <dxf>
      <font>
        <b val="0"/>
        <i val="0"/>
        <strike val="0"/>
        <condense val="0"/>
        <extend val="0"/>
        <outline val="0"/>
        <shadow val="0"/>
        <u val="none"/>
        <vertAlign val="baseline"/>
        <sz val="11"/>
        <color theme="1"/>
        <name val="Calibri"/>
        <scheme val="minor"/>
      </font>
      <numFmt numFmtId="4" formatCode="#,##0.00"/>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4" formatCode="#,##0.00"/>
    </dxf>
    <dxf>
      <font>
        <b val="0"/>
        <i val="0"/>
        <strike val="0"/>
        <condense val="0"/>
        <extend val="0"/>
        <outline val="0"/>
        <shadow val="0"/>
        <u val="none"/>
        <vertAlign val="baseline"/>
        <sz val="11"/>
        <color theme="1"/>
        <name val="Calibri"/>
        <scheme val="minor"/>
      </font>
      <numFmt numFmtId="4" formatCode="#,##0.00"/>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4" formatCode="#,##0.00"/>
    </dxf>
    <dxf>
      <font>
        <b val="0"/>
        <i val="0"/>
        <strike val="0"/>
        <condense val="0"/>
        <extend val="0"/>
        <outline val="0"/>
        <shadow val="0"/>
        <u val="none"/>
        <vertAlign val="baseline"/>
        <sz val="11"/>
        <color theme="1"/>
        <name val="Calibri"/>
        <scheme val="minor"/>
      </font>
      <numFmt numFmtId="4" formatCode="#,##0.00"/>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4" formatCode="#,##0.00"/>
    </dxf>
    <dxf>
      <font>
        <b val="0"/>
        <i val="0"/>
        <strike val="0"/>
        <condense val="0"/>
        <extend val="0"/>
        <outline val="0"/>
        <shadow val="0"/>
        <u val="none"/>
        <vertAlign val="baseline"/>
        <sz val="11"/>
        <color theme="1"/>
        <name val="Calibri"/>
        <scheme val="minor"/>
      </font>
      <numFmt numFmtId="4" formatCode="#,##0.00"/>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4" formatCode="#,##0.00"/>
    </dxf>
    <dxf>
      <font>
        <b val="0"/>
        <i val="0"/>
        <strike val="0"/>
        <condense val="0"/>
        <extend val="0"/>
        <outline val="0"/>
        <shadow val="0"/>
        <u val="none"/>
        <vertAlign val="baseline"/>
        <sz val="11"/>
        <color theme="1"/>
        <name val="Calibri"/>
        <scheme val="minor"/>
      </font>
      <numFmt numFmtId="4" formatCode="#,##0.00"/>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4" formatCode="#,##0.00"/>
    </dxf>
    <dxf>
      <font>
        <b val="0"/>
        <i val="0"/>
        <strike val="0"/>
        <condense val="0"/>
        <extend val="0"/>
        <outline val="0"/>
        <shadow val="0"/>
        <u val="none"/>
        <vertAlign val="baseline"/>
        <sz val="11"/>
        <color theme="1"/>
        <name val="Calibri"/>
        <scheme val="minor"/>
      </font>
      <numFmt numFmtId="4" formatCode="#,##0.00"/>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4" formatCode="#,##0.00"/>
    </dxf>
    <dxf>
      <font>
        <b val="0"/>
        <i val="0"/>
        <strike val="0"/>
        <condense val="0"/>
        <extend val="0"/>
        <outline val="0"/>
        <shadow val="0"/>
        <u val="none"/>
        <vertAlign val="baseline"/>
        <sz val="11"/>
        <color theme="1"/>
        <name val="Calibri"/>
        <scheme val="minor"/>
      </font>
      <numFmt numFmtId="4" formatCode="#,##0.00"/>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4" formatCode="#,##0.00"/>
    </dxf>
    <dxf>
      <font>
        <b val="0"/>
        <i val="0"/>
        <strike val="0"/>
        <condense val="0"/>
        <extend val="0"/>
        <outline val="0"/>
        <shadow val="0"/>
        <u val="none"/>
        <vertAlign val="baseline"/>
        <sz val="11"/>
        <color theme="1"/>
        <name val="Calibri"/>
        <scheme val="minor"/>
      </font>
      <numFmt numFmtId="4" formatCode="#,##0.00"/>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4" formatCode="#,##0.00"/>
    </dxf>
    <dxf>
      <font>
        <b val="0"/>
        <i val="0"/>
        <strike val="0"/>
        <condense val="0"/>
        <extend val="0"/>
        <outline val="0"/>
        <shadow val="0"/>
        <u val="none"/>
        <vertAlign val="baseline"/>
        <sz val="11"/>
        <color theme="1"/>
        <name val="Calibri"/>
        <scheme val="minor"/>
      </font>
      <numFmt numFmtId="4" formatCode="#,##0.00"/>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4" formatCode="#,##0.00"/>
    </dxf>
    <dxf>
      <font>
        <b val="0"/>
        <i val="0"/>
        <strike val="0"/>
        <condense val="0"/>
        <extend val="0"/>
        <outline val="0"/>
        <shadow val="0"/>
        <u val="none"/>
        <vertAlign val="baseline"/>
        <sz val="11"/>
        <color theme="1"/>
        <name val="Calibri"/>
        <scheme val="minor"/>
      </font>
      <numFmt numFmtId="4" formatCode="#,##0.00"/>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4" formatCode="#,##0.00"/>
    </dxf>
    <dxf>
      <font>
        <b val="0"/>
        <i val="0"/>
        <strike val="0"/>
        <condense val="0"/>
        <extend val="0"/>
        <outline val="0"/>
        <shadow val="0"/>
        <u val="none"/>
        <vertAlign val="baseline"/>
        <sz val="11"/>
        <color theme="1"/>
        <name val="Calibri"/>
        <scheme val="minor"/>
      </font>
      <numFmt numFmtId="4" formatCode="#,##0.00"/>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4" formatCode="#,##0.00"/>
    </dxf>
    <dxf>
      <font>
        <b val="0"/>
        <i val="0"/>
        <strike val="0"/>
        <condense val="0"/>
        <extend val="0"/>
        <outline val="0"/>
        <shadow val="0"/>
        <u val="none"/>
        <vertAlign val="baseline"/>
        <sz val="11"/>
        <color theme="1"/>
        <name val="Calibri"/>
        <scheme val="minor"/>
      </font>
      <numFmt numFmtId="4" formatCode="#,##0.00"/>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4" formatCode="#,##0.00"/>
    </dxf>
    <dxf>
      <font>
        <b val="0"/>
        <i val="0"/>
        <strike val="0"/>
        <condense val="0"/>
        <extend val="0"/>
        <outline val="0"/>
        <shadow val="0"/>
        <u val="none"/>
        <vertAlign val="baseline"/>
        <sz val="11"/>
        <color theme="1"/>
        <name val="Calibri"/>
        <scheme val="minor"/>
      </font>
      <numFmt numFmtId="4" formatCode="#,##0.00"/>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4" formatCode="#,##0.00"/>
    </dxf>
    <dxf>
      <font>
        <b val="0"/>
        <i val="0"/>
        <strike val="0"/>
        <condense val="0"/>
        <extend val="0"/>
        <outline val="0"/>
        <shadow val="0"/>
        <u val="none"/>
        <vertAlign val="baseline"/>
        <sz val="11"/>
        <color theme="1"/>
        <name val="Calibri"/>
        <scheme val="minor"/>
      </font>
      <numFmt numFmtId="4" formatCode="#,##0.00"/>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4" formatCode="#,##0.00"/>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4" formatCode="#,##0.00"/>
    </dxf>
    <dxf>
      <font>
        <b val="0"/>
        <i val="0"/>
        <strike val="0"/>
        <condense val="0"/>
        <extend val="0"/>
        <outline val="0"/>
        <shadow val="0"/>
        <u val="none"/>
        <vertAlign val="baseline"/>
        <sz val="11"/>
        <color theme="1"/>
        <name val="Calibri"/>
        <scheme val="minor"/>
      </font>
      <numFmt numFmtId="4" formatCode="#,##0.00"/>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4" formatCode="#,##0.00"/>
    </dxf>
    <dxf>
      <font>
        <b val="0"/>
        <i val="0"/>
        <strike val="0"/>
        <condense val="0"/>
        <extend val="0"/>
        <outline val="0"/>
        <shadow val="0"/>
        <u val="none"/>
        <vertAlign val="baseline"/>
        <sz val="11"/>
        <color theme="1"/>
        <name val="Calibri"/>
        <scheme val="minor"/>
      </font>
      <numFmt numFmtId="4" formatCode="#,##0.00"/>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4" formatCode="#,##0.00"/>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4" formatCode="0.00%"/>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4" formatCode="#,##0.00"/>
    </dxf>
    <dxf>
      <font>
        <b val="0"/>
        <i val="0"/>
        <strike val="0"/>
        <condense val="0"/>
        <extend val="0"/>
        <outline val="0"/>
        <shadow val="0"/>
        <u val="none"/>
        <vertAlign val="baseline"/>
        <sz val="11"/>
        <color theme="1"/>
        <name val="Calibri"/>
        <scheme val="minor"/>
      </font>
      <numFmt numFmtId="4" formatCode="#,##0.00"/>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4" formatCode="#,##0.00"/>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4" formatCode="0.00%"/>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4" formatCode="#,##0.00"/>
    </dxf>
    <dxf>
      <font>
        <b val="0"/>
        <i val="0"/>
        <strike val="0"/>
        <condense val="0"/>
        <extend val="0"/>
        <outline val="0"/>
        <shadow val="0"/>
        <u val="none"/>
        <vertAlign val="baseline"/>
        <sz val="11"/>
        <color theme="1"/>
        <name val="Calibri"/>
        <scheme val="minor"/>
      </font>
      <numFmt numFmtId="4" formatCode="#,##0.00"/>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4" formatCode="#,##0.00"/>
    </dxf>
    <dxf>
      <font>
        <b val="0"/>
        <i val="0"/>
        <strike val="0"/>
        <condense val="0"/>
        <extend val="0"/>
        <outline val="0"/>
        <shadow val="0"/>
        <u val="none"/>
        <vertAlign val="baseline"/>
        <sz val="11"/>
        <color theme="1"/>
        <name val="Calibri"/>
        <scheme val="minor"/>
      </font>
      <numFmt numFmtId="4" formatCode="#,##0.00"/>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alignment horizontal="general" vertical="center" textRotation="0" wrapText="1" indent="0" justifyLastLine="0" shrinkToFit="0" readingOrder="0"/>
    </dxf>
    <dxf>
      <font>
        <b val="0"/>
        <i val="0"/>
        <strike val="0"/>
        <condense val="0"/>
        <extend val="0"/>
        <outline val="0"/>
        <shadow val="0"/>
        <u val="none"/>
        <vertAlign val="baseline"/>
        <sz val="11"/>
        <color theme="1"/>
        <name val="Calibri"/>
        <scheme val="minor"/>
      </font>
      <alignment horizontal="general" vertical="center" textRotation="0" wrapText="1" indent="0" justifyLastLine="0" shrinkToFit="0" readingOrder="0"/>
    </dxf>
    <dxf>
      <font>
        <b val="0"/>
        <i val="0"/>
        <strike val="0"/>
        <condense val="0"/>
        <extend val="0"/>
        <outline val="0"/>
        <shadow val="0"/>
        <u val="none"/>
        <vertAlign val="baseline"/>
        <sz val="11"/>
        <color theme="1"/>
        <name val="Calibri"/>
        <scheme val="minor"/>
      </font>
      <alignment horizontal="general" vertical="center" textRotation="0" wrapText="1" indent="0" justifyLastLine="0" shrinkToFit="0" readingOrder="0"/>
    </dxf>
    <dxf>
      <font>
        <b val="0"/>
        <i val="0"/>
        <strike val="0"/>
        <condense val="0"/>
        <extend val="0"/>
        <outline val="0"/>
        <shadow val="0"/>
        <u val="none"/>
        <vertAlign val="baseline"/>
        <sz val="11"/>
        <color theme="1"/>
        <name val="Calibri"/>
        <scheme val="minor"/>
      </font>
      <alignment horizontal="general" vertical="center" textRotation="0" wrapText="1" indent="0" justifyLastLine="0" shrinkToFit="0" readingOrder="0"/>
    </dxf>
    <dxf>
      <font>
        <b val="0"/>
        <i val="0"/>
        <strike val="0"/>
        <condense val="0"/>
        <extend val="0"/>
        <outline val="0"/>
        <shadow val="0"/>
        <u val="none"/>
        <vertAlign val="baseline"/>
        <sz val="11"/>
        <color theme="1"/>
        <name val="Calibri"/>
        <scheme val="minor"/>
      </font>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alignment horizontal="center" vertical="center" textRotation="0" wrapText="0" indent="0" justifyLastLine="0" shrinkToFit="0" readingOrder="0"/>
    </dxf>
    <dxf>
      <font>
        <strike val="0"/>
        <outline val="0"/>
        <shadow val="0"/>
        <u val="none"/>
        <vertAlign val="baseline"/>
        <sz val="11"/>
        <color rgb="FF000000"/>
        <name val="Calibri"/>
        <scheme val="none"/>
      </font>
    </dxf>
    <dxf>
      <font>
        <strike val="0"/>
        <outline val="0"/>
        <shadow val="0"/>
        <u val="none"/>
        <vertAlign val="baseline"/>
        <sz val="11"/>
        <color rgb="FF000000"/>
        <name val="Calibri"/>
        <scheme val="none"/>
      </font>
      <alignment horizontal="general" vertical="center" textRotation="0" indent="0" justifyLastLine="0" shrinkToFit="0" readingOrder="0"/>
    </dxf>
    <dxf>
      <font>
        <strike val="0"/>
        <outline val="0"/>
        <shadow val="0"/>
        <u val="none"/>
        <vertAlign val="baseline"/>
        <sz val="11"/>
        <color theme="1"/>
        <name val="Calibri"/>
        <scheme val="minor"/>
      </font>
      <alignment horizontal="center" vertical="center" textRotation="0" wrapText="1" indent="0" justifyLastLine="0" shrinkToFit="0" readingOrder="0"/>
    </dxf>
    <dxf>
      <fill>
        <patternFill>
          <bgColor rgb="FF92D050"/>
        </patternFill>
      </fill>
    </dxf>
    <dxf>
      <fill>
        <patternFill>
          <bgColor rgb="FFFFFF00"/>
        </patternFill>
      </fill>
    </dxf>
    <dxf>
      <fill>
        <patternFill>
          <bgColor rgb="FFFF0000"/>
        </patternFill>
      </fill>
    </dxf>
    <dxf>
      <fill>
        <patternFill>
          <bgColor theme="0" tint="-0.24994659260841701"/>
        </patternFill>
      </fill>
    </dxf>
    <dxf>
      <fill>
        <patternFill>
          <bgColor rgb="FF92D050"/>
        </patternFill>
      </fill>
    </dxf>
    <dxf>
      <fill>
        <patternFill>
          <bgColor rgb="FFFFFF00"/>
        </patternFill>
      </fill>
    </dxf>
    <dxf>
      <fill>
        <patternFill>
          <bgColor rgb="FFFF0000"/>
        </patternFill>
      </fill>
    </dxf>
    <dxf>
      <fill>
        <patternFill>
          <bgColor theme="0" tint="-0.24994659260841701"/>
        </patternFill>
      </fill>
    </dxf>
    <dxf>
      <fill>
        <patternFill>
          <bgColor rgb="FF92D050"/>
        </patternFill>
      </fill>
    </dxf>
    <dxf>
      <fill>
        <patternFill>
          <bgColor rgb="FFFFFF00"/>
        </patternFill>
      </fill>
    </dxf>
    <dxf>
      <fill>
        <patternFill>
          <bgColor rgb="FFFF0000"/>
        </patternFill>
      </fill>
    </dxf>
    <dxf>
      <fill>
        <patternFill>
          <bgColor theme="0" tint="-0.24994659260841701"/>
        </patternFill>
      </fill>
    </dxf>
    <dxf>
      <font>
        <b val="0"/>
        <i val="0"/>
        <strike val="0"/>
        <condense val="0"/>
        <extend val="0"/>
        <outline val="0"/>
        <shadow val="0"/>
        <u val="none"/>
        <vertAlign val="baseline"/>
        <sz val="11"/>
        <color theme="1"/>
        <name val="Calibri"/>
        <scheme val="minor"/>
      </font>
      <alignment horizontal="general" vertical="center" textRotation="0" wrapText="0" indent="0" justifyLastLine="0" shrinkToFit="0" readingOrder="0"/>
      <border diagonalUp="0" diagonalDown="0" outline="0">
        <left/>
        <right/>
        <top style="double">
          <color theme="8" tint="0.39994506668294322"/>
        </top>
        <bottom/>
      </border>
    </dxf>
    <dxf>
      <font>
        <b val="0"/>
        <i val="0"/>
        <strike val="0"/>
        <condense val="0"/>
        <extend val="0"/>
        <outline val="0"/>
        <shadow val="0"/>
        <u val="none"/>
        <vertAlign val="baseline"/>
        <sz val="11"/>
        <color theme="1"/>
        <name val="Calibri"/>
        <scheme val="minor"/>
      </font>
      <numFmt numFmtId="4" formatCode="#,##0.00"/>
      <alignment horizontal="general" vertical="center" textRotation="0" wrapText="0" indent="0" justifyLastLine="0" shrinkToFit="0" readingOrder="0"/>
      <border diagonalUp="0" diagonalDown="0">
        <left/>
        <right style="thin">
          <color theme="8" tint="0.39997558519241921"/>
        </right>
        <top style="thin">
          <color theme="8" tint="0.39997558519241921"/>
        </top>
        <bottom style="thin">
          <color theme="8" tint="0.39997558519241921"/>
        </bottom>
        <vertical/>
        <horizontal/>
      </border>
    </dxf>
    <dxf>
      <font>
        <b val="0"/>
        <i val="0"/>
        <strike val="0"/>
        <condense val="0"/>
        <extend val="0"/>
        <outline val="0"/>
        <shadow val="0"/>
        <u val="none"/>
        <vertAlign val="baseline"/>
        <sz val="11"/>
        <color theme="1"/>
        <name val="Calibri"/>
        <scheme val="minor"/>
      </font>
      <numFmt numFmtId="4" formatCode="#,##0.00"/>
    </dxf>
    <dxf>
      <font>
        <b val="0"/>
        <i val="0"/>
        <strike val="0"/>
        <condense val="0"/>
        <extend val="0"/>
        <outline val="0"/>
        <shadow val="0"/>
        <u val="none"/>
        <vertAlign val="baseline"/>
        <sz val="11"/>
        <color theme="1"/>
        <name val="Calibri"/>
        <scheme val="minor"/>
      </font>
      <numFmt numFmtId="4" formatCode="#,##0.00"/>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4" formatCode="#,##0.00"/>
    </dxf>
    <dxf>
      <font>
        <b val="0"/>
        <i val="0"/>
        <strike val="0"/>
        <condense val="0"/>
        <extend val="0"/>
        <outline val="0"/>
        <shadow val="0"/>
        <u val="none"/>
        <vertAlign val="baseline"/>
        <sz val="11"/>
        <color theme="1"/>
        <name val="Calibri"/>
        <scheme val="minor"/>
      </font>
      <numFmt numFmtId="4" formatCode="#,##0.00"/>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4" formatCode="#,##0.00"/>
    </dxf>
    <dxf>
      <font>
        <b val="0"/>
        <i val="0"/>
        <strike val="0"/>
        <condense val="0"/>
        <extend val="0"/>
        <outline val="0"/>
        <shadow val="0"/>
        <u val="none"/>
        <vertAlign val="baseline"/>
        <sz val="11"/>
        <color theme="1"/>
        <name val="Calibri"/>
        <scheme val="minor"/>
      </font>
      <numFmt numFmtId="4" formatCode="#,##0.00"/>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4" formatCode="#,##0.00"/>
    </dxf>
    <dxf>
      <font>
        <b val="0"/>
        <i val="0"/>
        <strike val="0"/>
        <condense val="0"/>
        <extend val="0"/>
        <outline val="0"/>
        <shadow val="0"/>
        <u val="none"/>
        <vertAlign val="baseline"/>
        <sz val="11"/>
        <color theme="1"/>
        <name val="Calibri"/>
        <scheme val="minor"/>
      </font>
      <numFmt numFmtId="4" formatCode="#,##0.00"/>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4" formatCode="#,##0.00"/>
    </dxf>
    <dxf>
      <font>
        <b val="0"/>
        <i val="0"/>
        <strike val="0"/>
        <condense val="0"/>
        <extend val="0"/>
        <outline val="0"/>
        <shadow val="0"/>
        <u val="none"/>
        <vertAlign val="baseline"/>
        <sz val="11"/>
        <color theme="1"/>
        <name val="Calibri"/>
        <scheme val="minor"/>
      </font>
      <numFmt numFmtId="4" formatCode="#,##0.00"/>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4" formatCode="#,##0.00"/>
    </dxf>
    <dxf>
      <font>
        <b val="0"/>
        <i val="0"/>
        <strike val="0"/>
        <condense val="0"/>
        <extend val="0"/>
        <outline val="0"/>
        <shadow val="0"/>
        <u val="none"/>
        <vertAlign val="baseline"/>
        <sz val="11"/>
        <color theme="1"/>
        <name val="Calibri"/>
        <scheme val="minor"/>
      </font>
      <numFmt numFmtId="4" formatCode="#,##0.00"/>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4" formatCode="#,##0.00"/>
    </dxf>
    <dxf>
      <font>
        <b val="0"/>
        <i val="0"/>
        <strike val="0"/>
        <condense val="0"/>
        <extend val="0"/>
        <outline val="0"/>
        <shadow val="0"/>
        <u val="none"/>
        <vertAlign val="baseline"/>
        <sz val="11"/>
        <color theme="1"/>
        <name val="Calibri"/>
        <scheme val="minor"/>
      </font>
      <numFmt numFmtId="4" formatCode="#,##0.00"/>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4" formatCode="#,##0.00"/>
    </dxf>
    <dxf>
      <font>
        <b val="0"/>
        <i val="0"/>
        <strike val="0"/>
        <condense val="0"/>
        <extend val="0"/>
        <outline val="0"/>
        <shadow val="0"/>
        <u val="none"/>
        <vertAlign val="baseline"/>
        <sz val="11"/>
        <color theme="1"/>
        <name val="Calibri"/>
        <scheme val="minor"/>
      </font>
      <numFmt numFmtId="4" formatCode="#,##0.00"/>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4" formatCode="#,##0.00"/>
    </dxf>
    <dxf>
      <font>
        <b val="0"/>
        <i val="0"/>
        <strike val="0"/>
        <condense val="0"/>
        <extend val="0"/>
        <outline val="0"/>
        <shadow val="0"/>
        <u val="none"/>
        <vertAlign val="baseline"/>
        <sz val="11"/>
        <color theme="1"/>
        <name val="Calibri"/>
        <scheme val="minor"/>
      </font>
      <numFmt numFmtId="4" formatCode="#,##0.00"/>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4" formatCode="#,##0.00"/>
    </dxf>
    <dxf>
      <font>
        <b val="0"/>
        <i val="0"/>
        <strike val="0"/>
        <condense val="0"/>
        <extend val="0"/>
        <outline val="0"/>
        <shadow val="0"/>
        <u val="none"/>
        <vertAlign val="baseline"/>
        <sz val="11"/>
        <color theme="1"/>
        <name val="Calibri"/>
        <scheme val="minor"/>
      </font>
      <numFmt numFmtId="4" formatCode="#,##0.00"/>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4" formatCode="#,##0.00"/>
    </dxf>
    <dxf>
      <font>
        <b val="0"/>
        <i val="0"/>
        <strike val="0"/>
        <condense val="0"/>
        <extend val="0"/>
        <outline val="0"/>
        <shadow val="0"/>
        <u val="none"/>
        <vertAlign val="baseline"/>
        <sz val="11"/>
        <color theme="1"/>
        <name val="Calibri"/>
        <scheme val="minor"/>
      </font>
      <numFmt numFmtId="4" formatCode="#,##0.00"/>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4" formatCode="#,##0.00"/>
    </dxf>
    <dxf>
      <font>
        <b val="0"/>
        <i val="0"/>
        <strike val="0"/>
        <condense val="0"/>
        <extend val="0"/>
        <outline val="0"/>
        <shadow val="0"/>
        <u val="none"/>
        <vertAlign val="baseline"/>
        <sz val="11"/>
        <color theme="1"/>
        <name val="Calibri"/>
        <scheme val="minor"/>
      </font>
      <numFmt numFmtId="4" formatCode="#,##0.00"/>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4" formatCode="#,##0.00"/>
    </dxf>
    <dxf>
      <font>
        <b val="0"/>
        <i val="0"/>
        <strike val="0"/>
        <condense val="0"/>
        <extend val="0"/>
        <outline val="0"/>
        <shadow val="0"/>
        <u val="none"/>
        <vertAlign val="baseline"/>
        <sz val="11"/>
        <color theme="1"/>
        <name val="Calibri"/>
        <scheme val="minor"/>
      </font>
      <numFmt numFmtId="4" formatCode="#,##0.00"/>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4" formatCode="#,##0.00"/>
    </dxf>
    <dxf>
      <font>
        <b val="0"/>
        <i val="0"/>
        <strike val="0"/>
        <condense val="0"/>
        <extend val="0"/>
        <outline val="0"/>
        <shadow val="0"/>
        <u val="none"/>
        <vertAlign val="baseline"/>
        <sz val="11"/>
        <color theme="1"/>
        <name val="Calibri"/>
        <scheme val="minor"/>
      </font>
      <numFmt numFmtId="4" formatCode="#,##0.00"/>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4" formatCode="#,##0.00"/>
    </dxf>
    <dxf>
      <font>
        <b val="0"/>
        <i val="0"/>
        <strike val="0"/>
        <condense val="0"/>
        <extend val="0"/>
        <outline val="0"/>
        <shadow val="0"/>
        <u val="none"/>
        <vertAlign val="baseline"/>
        <sz val="11"/>
        <color theme="1"/>
        <name val="Calibri"/>
        <scheme val="minor"/>
      </font>
      <numFmt numFmtId="4" formatCode="#,##0.00"/>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4" formatCode="#,##0.00"/>
    </dxf>
    <dxf>
      <font>
        <b val="0"/>
        <i val="0"/>
        <strike val="0"/>
        <condense val="0"/>
        <extend val="0"/>
        <outline val="0"/>
        <shadow val="0"/>
        <u val="none"/>
        <vertAlign val="baseline"/>
        <sz val="11"/>
        <color theme="1"/>
        <name val="Calibri"/>
        <scheme val="minor"/>
      </font>
      <numFmt numFmtId="4" formatCode="#,##0.00"/>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4" formatCode="#,##0.00"/>
    </dxf>
    <dxf>
      <font>
        <b val="0"/>
        <i val="0"/>
        <strike val="0"/>
        <condense val="0"/>
        <extend val="0"/>
        <outline val="0"/>
        <shadow val="0"/>
        <u val="none"/>
        <vertAlign val="baseline"/>
        <sz val="11"/>
        <color theme="1"/>
        <name val="Calibri"/>
        <scheme val="minor"/>
      </font>
      <numFmt numFmtId="4" formatCode="#,##0.00"/>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4" formatCode="#,##0.00"/>
    </dxf>
    <dxf>
      <font>
        <b val="0"/>
        <i val="0"/>
        <strike val="0"/>
        <condense val="0"/>
        <extend val="0"/>
        <outline val="0"/>
        <shadow val="0"/>
        <u val="none"/>
        <vertAlign val="baseline"/>
        <sz val="11"/>
        <color theme="1"/>
        <name val="Calibri"/>
        <scheme val="minor"/>
      </font>
      <numFmt numFmtId="4" formatCode="#,##0.00"/>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4" formatCode="#,##0.00"/>
    </dxf>
    <dxf>
      <font>
        <b val="0"/>
        <i val="0"/>
        <strike val="0"/>
        <condense val="0"/>
        <extend val="0"/>
        <outline val="0"/>
        <shadow val="0"/>
        <u val="none"/>
        <vertAlign val="baseline"/>
        <sz val="11"/>
        <color theme="1"/>
        <name val="Calibri"/>
        <scheme val="minor"/>
      </font>
      <numFmt numFmtId="4" formatCode="#,##0.00"/>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4" formatCode="#,##0.00"/>
    </dxf>
    <dxf>
      <font>
        <b val="0"/>
        <i val="0"/>
        <strike val="0"/>
        <condense val="0"/>
        <extend val="0"/>
        <outline val="0"/>
        <shadow val="0"/>
        <u val="none"/>
        <vertAlign val="baseline"/>
        <sz val="11"/>
        <color theme="1"/>
        <name val="Calibri"/>
        <scheme val="minor"/>
      </font>
      <numFmt numFmtId="4" formatCode="#,##0.00"/>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4" formatCode="#,##0.00"/>
    </dxf>
    <dxf>
      <font>
        <b val="0"/>
        <i val="0"/>
        <strike val="0"/>
        <condense val="0"/>
        <extend val="0"/>
        <outline val="0"/>
        <shadow val="0"/>
        <u val="none"/>
        <vertAlign val="baseline"/>
        <sz val="11"/>
        <color theme="1"/>
        <name val="Calibri"/>
        <scheme val="minor"/>
      </font>
      <numFmt numFmtId="4" formatCode="#,##0.00"/>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4" formatCode="#,##0.00"/>
    </dxf>
    <dxf>
      <font>
        <b val="0"/>
        <i val="0"/>
        <strike val="0"/>
        <condense val="0"/>
        <extend val="0"/>
        <outline val="0"/>
        <shadow val="0"/>
        <u val="none"/>
        <vertAlign val="baseline"/>
        <sz val="11"/>
        <color theme="1"/>
        <name val="Calibri"/>
        <scheme val="minor"/>
      </font>
      <numFmt numFmtId="4" formatCode="#,##0.00"/>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4" formatCode="#,##0.00"/>
    </dxf>
    <dxf>
      <font>
        <b val="0"/>
        <i val="0"/>
        <strike val="0"/>
        <condense val="0"/>
        <extend val="0"/>
        <outline val="0"/>
        <shadow val="0"/>
        <u val="none"/>
        <vertAlign val="baseline"/>
        <sz val="11"/>
        <color theme="1"/>
        <name val="Calibri"/>
        <scheme val="minor"/>
      </font>
      <numFmt numFmtId="4" formatCode="#,##0.00"/>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4" formatCode="#,##0.00"/>
    </dxf>
    <dxf>
      <font>
        <b val="0"/>
        <i val="0"/>
        <strike val="0"/>
        <condense val="0"/>
        <extend val="0"/>
        <outline val="0"/>
        <shadow val="0"/>
        <u val="none"/>
        <vertAlign val="baseline"/>
        <sz val="11"/>
        <color theme="1"/>
        <name val="Calibri"/>
        <scheme val="minor"/>
      </font>
      <numFmt numFmtId="4" formatCode="#,##0.00"/>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4" formatCode="#,##0.00"/>
    </dxf>
    <dxf>
      <font>
        <b val="0"/>
        <i val="0"/>
        <strike val="0"/>
        <condense val="0"/>
        <extend val="0"/>
        <outline val="0"/>
        <shadow val="0"/>
        <u val="none"/>
        <vertAlign val="baseline"/>
        <sz val="11"/>
        <color theme="1"/>
        <name val="Calibri"/>
        <scheme val="minor"/>
      </font>
      <numFmt numFmtId="4" formatCode="#,##0.00"/>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4" formatCode="#,##0.00"/>
    </dxf>
    <dxf>
      <font>
        <b val="0"/>
        <i val="0"/>
        <strike val="0"/>
        <condense val="0"/>
        <extend val="0"/>
        <outline val="0"/>
        <shadow val="0"/>
        <u val="none"/>
        <vertAlign val="baseline"/>
        <sz val="11"/>
        <color theme="1"/>
        <name val="Calibri"/>
        <scheme val="minor"/>
      </font>
      <numFmt numFmtId="4" formatCode="#,##0.00"/>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4" formatCode="#,##0.00"/>
    </dxf>
    <dxf>
      <font>
        <b val="0"/>
        <i val="0"/>
        <strike val="0"/>
        <condense val="0"/>
        <extend val="0"/>
        <outline val="0"/>
        <shadow val="0"/>
        <u val="none"/>
        <vertAlign val="baseline"/>
        <sz val="11"/>
        <color theme="1"/>
        <name val="Calibri"/>
        <scheme val="minor"/>
      </font>
      <numFmt numFmtId="4" formatCode="#,##0.00"/>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4" formatCode="#,##0.00"/>
    </dxf>
    <dxf>
      <font>
        <b val="0"/>
        <i val="0"/>
        <strike val="0"/>
        <condense val="0"/>
        <extend val="0"/>
        <outline val="0"/>
        <shadow val="0"/>
        <u val="none"/>
        <vertAlign val="baseline"/>
        <sz val="11"/>
        <color theme="1"/>
        <name val="Calibri"/>
        <scheme val="minor"/>
      </font>
      <numFmt numFmtId="4" formatCode="#,##0.00"/>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4" formatCode="#,##0.00"/>
    </dxf>
    <dxf>
      <font>
        <b val="0"/>
        <i val="0"/>
        <strike val="0"/>
        <condense val="0"/>
        <extend val="0"/>
        <outline val="0"/>
        <shadow val="0"/>
        <u val="none"/>
        <vertAlign val="baseline"/>
        <sz val="11"/>
        <color theme="1"/>
        <name val="Calibri"/>
        <scheme val="minor"/>
      </font>
      <numFmt numFmtId="4" formatCode="#,##0.00"/>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4" formatCode="#,##0.00"/>
    </dxf>
    <dxf>
      <font>
        <b val="0"/>
        <i val="0"/>
        <strike val="0"/>
        <condense val="0"/>
        <extend val="0"/>
        <outline val="0"/>
        <shadow val="0"/>
        <u val="none"/>
        <vertAlign val="baseline"/>
        <sz val="11"/>
        <color theme="1"/>
        <name val="Calibri"/>
        <scheme val="minor"/>
      </font>
      <numFmt numFmtId="4" formatCode="#,##0.00"/>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4" formatCode="#,##0.00"/>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4" formatCode="#,##0.00"/>
    </dxf>
    <dxf>
      <font>
        <b val="0"/>
        <i val="0"/>
        <strike val="0"/>
        <condense val="0"/>
        <extend val="0"/>
        <outline val="0"/>
        <shadow val="0"/>
        <u val="none"/>
        <vertAlign val="baseline"/>
        <sz val="11"/>
        <color theme="1"/>
        <name val="Calibri"/>
        <scheme val="minor"/>
      </font>
      <numFmt numFmtId="4" formatCode="#,##0.00"/>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4" formatCode="#,##0.00"/>
    </dxf>
    <dxf>
      <font>
        <b val="0"/>
        <i val="0"/>
        <strike val="0"/>
        <condense val="0"/>
        <extend val="0"/>
        <outline val="0"/>
        <shadow val="0"/>
        <u val="none"/>
        <vertAlign val="baseline"/>
        <sz val="11"/>
        <color theme="1"/>
        <name val="Calibri"/>
        <scheme val="minor"/>
      </font>
      <numFmt numFmtId="4" formatCode="#,##0.00"/>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4" formatCode="#,##0.00"/>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4" formatCode="0.00%"/>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4" formatCode="#,##0.00"/>
    </dxf>
    <dxf>
      <font>
        <b val="0"/>
        <i val="0"/>
        <strike val="0"/>
        <condense val="0"/>
        <extend val="0"/>
        <outline val="0"/>
        <shadow val="0"/>
        <u val="none"/>
        <vertAlign val="baseline"/>
        <sz val="11"/>
        <color theme="1"/>
        <name val="Calibri"/>
        <scheme val="minor"/>
      </font>
      <numFmt numFmtId="4" formatCode="#,##0.00"/>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4" formatCode="#,##0.00"/>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4" formatCode="0.00%"/>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4" formatCode="#,##0.00"/>
    </dxf>
    <dxf>
      <font>
        <b val="0"/>
        <i val="0"/>
        <strike val="0"/>
        <condense val="0"/>
        <extend val="0"/>
        <outline val="0"/>
        <shadow val="0"/>
        <u val="none"/>
        <vertAlign val="baseline"/>
        <sz val="11"/>
        <color theme="1"/>
        <name val="Calibri"/>
        <scheme val="minor"/>
      </font>
      <numFmt numFmtId="4" formatCode="#,##0.00"/>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4" formatCode="#,##0.00"/>
    </dxf>
    <dxf>
      <font>
        <b val="0"/>
        <i val="0"/>
        <strike val="0"/>
        <condense val="0"/>
        <extend val="0"/>
        <outline val="0"/>
        <shadow val="0"/>
        <u val="none"/>
        <vertAlign val="baseline"/>
        <sz val="11"/>
        <color theme="1"/>
        <name val="Calibri"/>
        <scheme val="minor"/>
      </font>
      <numFmt numFmtId="4" formatCode="#,##0.00"/>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alignment horizontal="general" vertical="center" textRotation="0" wrapText="1" indent="0" justifyLastLine="0" shrinkToFit="0" readingOrder="0"/>
    </dxf>
    <dxf>
      <font>
        <b val="0"/>
        <i val="0"/>
        <strike val="0"/>
        <condense val="0"/>
        <extend val="0"/>
        <outline val="0"/>
        <shadow val="0"/>
        <u val="none"/>
        <vertAlign val="baseline"/>
        <sz val="11"/>
        <color theme="1"/>
        <name val="Calibri"/>
        <scheme val="minor"/>
      </font>
      <alignment horizontal="general" vertical="center" textRotation="0" wrapText="1" indent="0" justifyLastLine="0" shrinkToFit="0" readingOrder="0"/>
    </dxf>
    <dxf>
      <font>
        <b val="0"/>
        <i val="0"/>
        <strike val="0"/>
        <condense val="0"/>
        <extend val="0"/>
        <outline val="0"/>
        <shadow val="0"/>
        <u val="none"/>
        <vertAlign val="baseline"/>
        <sz val="11"/>
        <color theme="1"/>
        <name val="Calibri"/>
        <scheme val="minor"/>
      </font>
      <alignment horizontal="general" vertical="center" textRotation="0" wrapText="1" indent="0" justifyLastLine="0" shrinkToFit="0" readingOrder="0"/>
    </dxf>
    <dxf>
      <font>
        <b val="0"/>
        <i val="0"/>
        <strike val="0"/>
        <condense val="0"/>
        <extend val="0"/>
        <outline val="0"/>
        <shadow val="0"/>
        <u val="none"/>
        <vertAlign val="baseline"/>
        <sz val="11"/>
        <color theme="1"/>
        <name val="Calibri"/>
        <scheme val="minor"/>
      </font>
      <alignment horizontal="general" vertical="center" textRotation="0" wrapText="1" indent="0" justifyLastLine="0" shrinkToFit="0" readingOrder="0"/>
    </dxf>
    <dxf>
      <font>
        <b val="0"/>
        <i val="0"/>
        <strike val="0"/>
        <condense val="0"/>
        <extend val="0"/>
        <outline val="0"/>
        <shadow val="0"/>
        <u val="none"/>
        <vertAlign val="baseline"/>
        <sz val="11"/>
        <color theme="1"/>
        <name val="Calibri"/>
        <scheme val="minor"/>
      </font>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alignment horizontal="center" vertical="center" textRotation="0" wrapText="0" indent="0" justifyLastLine="0" shrinkToFit="0" readingOrder="0"/>
    </dxf>
    <dxf>
      <font>
        <strike val="0"/>
        <outline val="0"/>
        <shadow val="0"/>
        <u val="none"/>
        <vertAlign val="baseline"/>
        <sz val="11"/>
        <color theme="1"/>
        <name val="Calibri"/>
        <scheme val="minor"/>
      </font>
    </dxf>
    <dxf>
      <font>
        <strike val="0"/>
        <outline val="0"/>
        <shadow val="0"/>
        <u val="none"/>
        <vertAlign val="baseline"/>
        <sz val="11"/>
        <color theme="1"/>
        <name val="Calibri"/>
        <scheme val="minor"/>
      </font>
      <alignment horizontal="general" vertical="center" textRotation="0" indent="0" justifyLastLine="0" shrinkToFit="0" readingOrder="0"/>
    </dxf>
    <dxf>
      <font>
        <strike val="0"/>
        <outline val="0"/>
        <shadow val="0"/>
        <u val="none"/>
        <vertAlign val="baseline"/>
        <sz val="11"/>
        <color theme="1"/>
        <name val="Calibri"/>
        <scheme val="minor"/>
      </font>
      <alignment horizontal="center" vertical="center" textRotation="0" wrapText="1" indent="0" justifyLastLine="0" shrinkToFit="0" readingOrder="0"/>
    </dxf>
    <dxf>
      <fill>
        <patternFill>
          <bgColor rgb="FF92D050"/>
        </patternFill>
      </fill>
    </dxf>
    <dxf>
      <fill>
        <patternFill>
          <bgColor rgb="FFFFFF00"/>
        </patternFill>
      </fill>
    </dxf>
    <dxf>
      <fill>
        <patternFill>
          <bgColor rgb="FFFF0000"/>
        </patternFill>
      </fill>
    </dxf>
    <dxf>
      <fill>
        <patternFill>
          <bgColor theme="0" tint="-0.24994659260841701"/>
        </patternFill>
      </fill>
    </dxf>
    <dxf>
      <fill>
        <patternFill>
          <bgColor rgb="FF92D050"/>
        </patternFill>
      </fill>
    </dxf>
    <dxf>
      <fill>
        <patternFill>
          <bgColor rgb="FFFFFF00"/>
        </patternFill>
      </fill>
    </dxf>
    <dxf>
      <fill>
        <patternFill>
          <bgColor rgb="FFFF0000"/>
        </patternFill>
      </fill>
    </dxf>
    <dxf>
      <fill>
        <patternFill>
          <bgColor theme="0" tint="-0.24994659260841701"/>
        </patternFill>
      </fill>
    </dxf>
    <dxf>
      <fill>
        <patternFill>
          <bgColor rgb="FF92D050"/>
        </patternFill>
      </fill>
    </dxf>
    <dxf>
      <fill>
        <patternFill>
          <bgColor rgb="FFFFFF00"/>
        </patternFill>
      </fill>
    </dxf>
    <dxf>
      <fill>
        <patternFill>
          <bgColor rgb="FFFF0000"/>
        </patternFill>
      </fill>
    </dxf>
    <dxf>
      <fill>
        <patternFill>
          <bgColor theme="0" tint="-0.2499465926084170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onnections" Target="connection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fr-FR"/>
              <a:t>Programmation - 2 juin 2016 - Programmés</a:t>
            </a:r>
          </a:p>
        </c:rich>
      </c:tx>
      <c:overlay val="0"/>
    </c:title>
    <c:autoTitleDeleted val="0"/>
    <c:plotArea>
      <c:layout>
        <c:manualLayout>
          <c:layoutTarget val="inner"/>
          <c:xMode val="edge"/>
          <c:yMode val="edge"/>
          <c:x val="0.18495029319157247"/>
          <c:y val="0.21612700902554671"/>
          <c:w val="0.4886723733036093"/>
          <c:h val="0.77484442306774326"/>
        </c:manualLayout>
      </c:layout>
      <c:pieChart>
        <c:varyColors val="1"/>
        <c:ser>
          <c:idx val="0"/>
          <c:order val="0"/>
          <c:explosion val="25"/>
          <c:dLbls>
            <c:dLbl>
              <c:idx val="0"/>
              <c:layout>
                <c:manualLayout>
                  <c:x val="4.6343175853018372E-2"/>
                  <c:y val="-4.4887722368037328E-2"/>
                </c:manualLayout>
              </c:layout>
              <c:showLegendKey val="0"/>
              <c:showVal val="0"/>
              <c:showCatName val="0"/>
              <c:showSerName val="0"/>
              <c:showPercent val="1"/>
              <c:showBubbleSize val="0"/>
            </c:dLbl>
            <c:dLbl>
              <c:idx val="1"/>
              <c:layout>
                <c:manualLayout>
                  <c:x val="-7.8656701487631653E-2"/>
                  <c:y val="3.6505215505547232E-3"/>
                </c:manualLayout>
              </c:layout>
              <c:showLegendKey val="0"/>
              <c:showVal val="0"/>
              <c:showCatName val="0"/>
              <c:showSerName val="0"/>
              <c:showPercent val="1"/>
              <c:showBubbleSize val="0"/>
            </c:dLbl>
            <c:dLbl>
              <c:idx val="2"/>
              <c:layout>
                <c:manualLayout>
                  <c:x val="-0.11583396449309535"/>
                  <c:y val="4.077357340228125E-2"/>
                </c:manualLayout>
              </c:layout>
              <c:showLegendKey val="0"/>
              <c:showVal val="0"/>
              <c:showCatName val="0"/>
              <c:showSerName val="0"/>
              <c:showPercent val="1"/>
              <c:showBubbleSize val="0"/>
            </c:dLbl>
            <c:dLbl>
              <c:idx val="3"/>
              <c:layout>
                <c:manualLayout>
                  <c:x val="8.2222878390201232E-2"/>
                  <c:y val="-7.0884368620589095E-3"/>
                </c:manualLayout>
              </c:layout>
              <c:showLegendKey val="0"/>
              <c:showVal val="0"/>
              <c:showCatName val="0"/>
              <c:showSerName val="0"/>
              <c:showPercent val="1"/>
              <c:showBubbleSize val="0"/>
            </c:dLbl>
            <c:showLegendKey val="0"/>
            <c:showVal val="0"/>
            <c:showCatName val="0"/>
            <c:showSerName val="0"/>
            <c:showPercent val="1"/>
            <c:showBubbleSize val="0"/>
            <c:showLeaderLines val="1"/>
          </c:dLbls>
          <c:cat>
            <c:strRef>
              <c:f>('Recap Financier'!$K$7,'Recap Financier'!$K$8,'Recap Financier'!$K$9,'Recap Financier'!$K$14)</c:f>
              <c:strCache>
                <c:ptCount val="4"/>
                <c:pt idx="0">
                  <c:v>FEDER</c:v>
                </c:pt>
                <c:pt idx="1">
                  <c:v>Etat</c:v>
                </c:pt>
                <c:pt idx="2">
                  <c:v>Régions</c:v>
                </c:pt>
                <c:pt idx="3">
                  <c:v>Départements</c:v>
                </c:pt>
              </c:strCache>
            </c:strRef>
          </c:cat>
          <c:val>
            <c:numRef>
              <c:f>('Recap Financier'!$L$7,'Recap Financier'!$L$8,'Recap Financier'!$L$9,'Recap Financier'!$L$14)</c:f>
              <c:numCache>
                <c:formatCode>#,##0.00</c:formatCode>
                <c:ptCount val="4"/>
                <c:pt idx="0">
                  <c:v>2747836.58</c:v>
                </c:pt>
                <c:pt idx="1">
                  <c:v>2176099.42</c:v>
                </c:pt>
                <c:pt idx="2">
                  <c:v>470038.73</c:v>
                </c:pt>
                <c:pt idx="3">
                  <c:v>50039.25</c:v>
                </c:pt>
              </c:numCache>
            </c:numRef>
          </c:val>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printSettings>
    <c:headerFooter/>
    <c:pageMargins b="0.75" l="0.7" r="0.7" t="0.75" header="0.3" footer="0.3"/>
    <c:pageSetup orientation="portrait"/>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wmf"/></Relationships>
</file>

<file path=xl/drawings/_rels/drawing2.xml.rels><?xml version="1.0" encoding="UTF-8" standalone="yes"?>
<Relationships xmlns="http://schemas.openxmlformats.org/package/2006/relationships"><Relationship Id="rId3" Type="http://schemas.openxmlformats.org/officeDocument/2006/relationships/image" Target="../media/image4.jpeg"/><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wmf"/></Relationships>
</file>

<file path=xl/drawings/_rels/drawing4.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wmf"/></Relationships>
</file>

<file path=xl/drawings/_rels/drawing5.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wmf"/></Relationships>
</file>

<file path=xl/drawings/_rels/drawing6.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wmf"/></Relationships>
</file>

<file path=xl/drawings/_rels/drawing7.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wmf"/></Relationships>
</file>

<file path=xl/drawings/_rels/drawing8.xml.rels><?xml version="1.0" encoding="UTF-8" standalone="yes"?>
<Relationships xmlns="http://schemas.openxmlformats.org/package/2006/relationships"><Relationship Id="rId3" Type="http://schemas.openxmlformats.org/officeDocument/2006/relationships/image" Target="../media/image6.jpeg"/><Relationship Id="rId2" Type="http://schemas.openxmlformats.org/officeDocument/2006/relationships/image" Target="../media/image5.jpeg"/><Relationship Id="rId1" Type="http://schemas.openxmlformats.org/officeDocument/2006/relationships/image" Target="../media/image1.wmf"/></Relationships>
</file>

<file path=xl/drawings/_rels/drawing9.xml.rels><?xml version="1.0" encoding="UTF-8" standalone="yes"?>
<Relationships xmlns="http://schemas.openxmlformats.org/package/2006/relationships"><Relationship Id="rId3" Type="http://schemas.openxmlformats.org/officeDocument/2006/relationships/image" Target="../media/image7.jpeg"/><Relationship Id="rId2" Type="http://schemas.openxmlformats.org/officeDocument/2006/relationships/image" Target="../media/image2.jpeg"/><Relationship Id="rId1" Type="http://schemas.openxmlformats.org/officeDocument/2006/relationships/image" Target="../media/image1.wmf"/><Relationship Id="rId4"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2</xdr:col>
      <xdr:colOff>2044700</xdr:colOff>
      <xdr:row>0</xdr:row>
      <xdr:rowOff>114300</xdr:rowOff>
    </xdr:from>
    <xdr:to>
      <xdr:col>8</xdr:col>
      <xdr:colOff>825500</xdr:colOff>
      <xdr:row>3</xdr:row>
      <xdr:rowOff>120650</xdr:rowOff>
    </xdr:to>
    <xdr:grpSp>
      <xdr:nvGrpSpPr>
        <xdr:cNvPr id="2" name="Groupe 1"/>
        <xdr:cNvGrpSpPr/>
      </xdr:nvGrpSpPr>
      <xdr:grpSpPr>
        <a:xfrm>
          <a:off x="5299075" y="114300"/>
          <a:ext cx="7416800" cy="625475"/>
          <a:chOff x="0" y="0"/>
          <a:chExt cx="6496050" cy="628650"/>
        </a:xfrm>
      </xdr:grpSpPr>
      <xdr:pic>
        <xdr:nvPicPr>
          <xdr:cNvPr id="3" name="Imag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524125" y="0"/>
            <a:ext cx="1257300" cy="619125"/>
          </a:xfrm>
          <a:prstGeom prst="rect">
            <a:avLst/>
          </a:prstGeom>
          <a:noFill/>
          <a:ln>
            <a:noFill/>
          </a:ln>
        </xdr:spPr>
      </xdr:pic>
      <xdr:pic>
        <xdr:nvPicPr>
          <xdr:cNvPr id="4" name="Image 3" descr="Marianne"/>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467350" y="0"/>
            <a:ext cx="1028700" cy="628650"/>
          </a:xfrm>
          <a:prstGeom prst="rect">
            <a:avLst/>
          </a:prstGeom>
          <a:noFill/>
          <a:ln>
            <a:noFill/>
          </a:ln>
        </xdr:spPr>
      </xdr:pic>
      <xdr:pic>
        <xdr:nvPicPr>
          <xdr:cNvPr id="5" name="Image 4" descr="Drapeau_couleur UE"/>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914400" cy="619125"/>
          </a:xfrm>
          <a:prstGeom prst="rect">
            <a:avLst/>
          </a:prstGeom>
          <a:noFill/>
          <a:ln>
            <a:noFill/>
          </a:ln>
        </xdr:spPr>
      </xdr:pic>
    </xdr:grp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2032000</xdr:colOff>
      <xdr:row>0</xdr:row>
      <xdr:rowOff>190500</xdr:rowOff>
    </xdr:from>
    <xdr:to>
      <xdr:col>8</xdr:col>
      <xdr:colOff>819150</xdr:colOff>
      <xdr:row>4</xdr:row>
      <xdr:rowOff>6350</xdr:rowOff>
    </xdr:to>
    <xdr:grpSp>
      <xdr:nvGrpSpPr>
        <xdr:cNvPr id="2" name="Groupe 1"/>
        <xdr:cNvGrpSpPr/>
      </xdr:nvGrpSpPr>
      <xdr:grpSpPr>
        <a:xfrm>
          <a:off x="5294313" y="190500"/>
          <a:ext cx="7276306" cy="625475"/>
          <a:chOff x="0" y="0"/>
          <a:chExt cx="6496050" cy="628650"/>
        </a:xfrm>
      </xdr:grpSpPr>
      <xdr:pic>
        <xdr:nvPicPr>
          <xdr:cNvPr id="3" name="Imag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524125" y="0"/>
            <a:ext cx="1257300" cy="619125"/>
          </a:xfrm>
          <a:prstGeom prst="rect">
            <a:avLst/>
          </a:prstGeom>
          <a:noFill/>
          <a:ln>
            <a:noFill/>
          </a:ln>
        </xdr:spPr>
      </xdr:pic>
      <xdr:pic>
        <xdr:nvPicPr>
          <xdr:cNvPr id="4" name="Image 3" descr="Marianne"/>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467350" y="0"/>
            <a:ext cx="1028700" cy="628650"/>
          </a:xfrm>
          <a:prstGeom prst="rect">
            <a:avLst/>
          </a:prstGeom>
          <a:noFill/>
          <a:ln>
            <a:noFill/>
          </a:ln>
        </xdr:spPr>
      </xdr:pic>
      <xdr:pic>
        <xdr:nvPicPr>
          <xdr:cNvPr id="5" name="Image 4" descr="Drapeau_couleur UE"/>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914400" cy="619125"/>
          </a:xfrm>
          <a:prstGeom prst="rect">
            <a:avLst/>
          </a:prstGeom>
          <a:noFill/>
          <a:ln>
            <a:noFill/>
          </a:ln>
        </xdr:spPr>
      </xdr:pic>
    </xdr:grp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2044700</xdr:colOff>
      <xdr:row>0</xdr:row>
      <xdr:rowOff>152400</xdr:rowOff>
    </xdr:from>
    <xdr:to>
      <xdr:col>8</xdr:col>
      <xdr:colOff>825500</xdr:colOff>
      <xdr:row>3</xdr:row>
      <xdr:rowOff>158750</xdr:rowOff>
    </xdr:to>
    <xdr:grpSp>
      <xdr:nvGrpSpPr>
        <xdr:cNvPr id="2" name="Groupe 1"/>
        <xdr:cNvGrpSpPr/>
      </xdr:nvGrpSpPr>
      <xdr:grpSpPr>
        <a:xfrm>
          <a:off x="5307013" y="152400"/>
          <a:ext cx="6662737" cy="625475"/>
          <a:chOff x="0" y="0"/>
          <a:chExt cx="6496050" cy="628650"/>
        </a:xfrm>
      </xdr:grpSpPr>
      <xdr:pic>
        <xdr:nvPicPr>
          <xdr:cNvPr id="3" name="Imag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524125" y="0"/>
            <a:ext cx="1257300" cy="619125"/>
          </a:xfrm>
          <a:prstGeom prst="rect">
            <a:avLst/>
          </a:prstGeom>
          <a:noFill/>
          <a:ln>
            <a:noFill/>
          </a:ln>
        </xdr:spPr>
      </xdr:pic>
      <xdr:pic>
        <xdr:nvPicPr>
          <xdr:cNvPr id="4" name="Image 3" descr="Marianne"/>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467350" y="0"/>
            <a:ext cx="1028700" cy="628650"/>
          </a:xfrm>
          <a:prstGeom prst="rect">
            <a:avLst/>
          </a:prstGeom>
          <a:noFill/>
          <a:ln>
            <a:noFill/>
          </a:ln>
        </xdr:spPr>
      </xdr:pic>
      <xdr:pic>
        <xdr:nvPicPr>
          <xdr:cNvPr id="5" name="Image 4" descr="Drapeau_couleur UE"/>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914400" cy="619125"/>
          </a:xfrm>
          <a:prstGeom prst="rect">
            <a:avLst/>
          </a:prstGeom>
          <a:noFill/>
          <a:ln>
            <a:noFill/>
          </a:ln>
        </xdr:spPr>
      </xdr:pic>
    </xdr:grp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2889250</xdr:colOff>
      <xdr:row>0</xdr:row>
      <xdr:rowOff>174625</xdr:rowOff>
    </xdr:from>
    <xdr:to>
      <xdr:col>6</xdr:col>
      <xdr:colOff>257175</xdr:colOff>
      <xdr:row>3</xdr:row>
      <xdr:rowOff>180975</xdr:rowOff>
    </xdr:to>
    <xdr:grpSp>
      <xdr:nvGrpSpPr>
        <xdr:cNvPr id="6" name="Groupe 5"/>
        <xdr:cNvGrpSpPr/>
      </xdr:nvGrpSpPr>
      <xdr:grpSpPr>
        <a:xfrm>
          <a:off x="5080000" y="174625"/>
          <a:ext cx="7416800" cy="625475"/>
          <a:chOff x="0" y="0"/>
          <a:chExt cx="6496050" cy="628650"/>
        </a:xfrm>
      </xdr:grpSpPr>
      <xdr:pic>
        <xdr:nvPicPr>
          <xdr:cNvPr id="7" name="Image 6"/>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524125" y="0"/>
            <a:ext cx="1257300" cy="619125"/>
          </a:xfrm>
          <a:prstGeom prst="rect">
            <a:avLst/>
          </a:prstGeom>
          <a:noFill/>
          <a:ln>
            <a:noFill/>
          </a:ln>
        </xdr:spPr>
      </xdr:pic>
      <xdr:pic>
        <xdr:nvPicPr>
          <xdr:cNvPr id="8" name="Image 7" descr="Marianne"/>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467350" y="0"/>
            <a:ext cx="1028700" cy="628650"/>
          </a:xfrm>
          <a:prstGeom prst="rect">
            <a:avLst/>
          </a:prstGeom>
          <a:noFill/>
          <a:ln>
            <a:noFill/>
          </a:ln>
        </xdr:spPr>
      </xdr:pic>
      <xdr:pic>
        <xdr:nvPicPr>
          <xdr:cNvPr id="9" name="Image 8" descr="Drapeau_couleur UE"/>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914400" cy="619125"/>
          </a:xfrm>
          <a:prstGeom prst="rect">
            <a:avLst/>
          </a:prstGeom>
          <a:noFill/>
          <a:ln>
            <a:noFill/>
          </a:ln>
        </xdr:spPr>
      </xdr:pic>
    </xdr:grpSp>
    <xdr:clientData/>
  </xdr:twoCellAnchor>
</xdr:wsDr>
</file>

<file path=xl/drawings/drawing5.xml><?xml version="1.0" encoding="utf-8"?>
<xdr:wsDr xmlns:xdr="http://schemas.openxmlformats.org/drawingml/2006/spreadsheetDrawing" xmlns:a="http://schemas.openxmlformats.org/drawingml/2006/main">
  <xdr:twoCellAnchor>
    <xdr:from>
      <xdr:col>2</xdr:col>
      <xdr:colOff>2044700</xdr:colOff>
      <xdr:row>0</xdr:row>
      <xdr:rowOff>190500</xdr:rowOff>
    </xdr:from>
    <xdr:to>
      <xdr:col>8</xdr:col>
      <xdr:colOff>825500</xdr:colOff>
      <xdr:row>4</xdr:row>
      <xdr:rowOff>6350</xdr:rowOff>
    </xdr:to>
    <xdr:grpSp>
      <xdr:nvGrpSpPr>
        <xdr:cNvPr id="2" name="Groupe 1"/>
        <xdr:cNvGrpSpPr/>
      </xdr:nvGrpSpPr>
      <xdr:grpSpPr>
        <a:xfrm>
          <a:off x="5307013" y="190500"/>
          <a:ext cx="6496050" cy="625475"/>
          <a:chOff x="0" y="0"/>
          <a:chExt cx="6496050" cy="628650"/>
        </a:xfrm>
      </xdr:grpSpPr>
      <xdr:pic>
        <xdr:nvPicPr>
          <xdr:cNvPr id="3" name="Imag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524125" y="0"/>
            <a:ext cx="1257300" cy="619125"/>
          </a:xfrm>
          <a:prstGeom prst="rect">
            <a:avLst/>
          </a:prstGeom>
          <a:noFill/>
          <a:ln>
            <a:noFill/>
          </a:ln>
        </xdr:spPr>
      </xdr:pic>
      <xdr:pic>
        <xdr:nvPicPr>
          <xdr:cNvPr id="4" name="Image 3" descr="Marianne"/>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467350" y="0"/>
            <a:ext cx="1028700" cy="628650"/>
          </a:xfrm>
          <a:prstGeom prst="rect">
            <a:avLst/>
          </a:prstGeom>
          <a:noFill/>
          <a:ln>
            <a:noFill/>
          </a:ln>
        </xdr:spPr>
      </xdr:pic>
      <xdr:pic>
        <xdr:nvPicPr>
          <xdr:cNvPr id="5" name="Image 4" descr="Drapeau_couleur UE"/>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914400" cy="619125"/>
          </a:xfrm>
          <a:prstGeom prst="rect">
            <a:avLst/>
          </a:prstGeom>
          <a:noFill/>
          <a:ln>
            <a:noFill/>
          </a:ln>
        </xdr:spPr>
      </xdr:pic>
    </xdr:grpSp>
    <xdr:clientData/>
  </xdr:twoCellAnchor>
</xdr:wsDr>
</file>

<file path=xl/drawings/drawing6.xml><?xml version="1.0" encoding="utf-8"?>
<xdr:wsDr xmlns:xdr="http://schemas.openxmlformats.org/drawingml/2006/spreadsheetDrawing" xmlns:a="http://schemas.openxmlformats.org/drawingml/2006/main">
  <xdr:twoCellAnchor>
    <xdr:from>
      <xdr:col>2</xdr:col>
      <xdr:colOff>2044700</xdr:colOff>
      <xdr:row>0</xdr:row>
      <xdr:rowOff>177800</xdr:rowOff>
    </xdr:from>
    <xdr:to>
      <xdr:col>8</xdr:col>
      <xdr:colOff>825500</xdr:colOff>
      <xdr:row>3</xdr:row>
      <xdr:rowOff>184150</xdr:rowOff>
    </xdr:to>
    <xdr:grpSp>
      <xdr:nvGrpSpPr>
        <xdr:cNvPr id="2" name="Groupe 1"/>
        <xdr:cNvGrpSpPr/>
      </xdr:nvGrpSpPr>
      <xdr:grpSpPr>
        <a:xfrm>
          <a:off x="5307013" y="177800"/>
          <a:ext cx="6519862" cy="625475"/>
          <a:chOff x="0" y="0"/>
          <a:chExt cx="6496050" cy="628650"/>
        </a:xfrm>
      </xdr:grpSpPr>
      <xdr:pic>
        <xdr:nvPicPr>
          <xdr:cNvPr id="3" name="Imag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524125" y="0"/>
            <a:ext cx="1257300" cy="619125"/>
          </a:xfrm>
          <a:prstGeom prst="rect">
            <a:avLst/>
          </a:prstGeom>
          <a:noFill/>
          <a:ln>
            <a:noFill/>
          </a:ln>
        </xdr:spPr>
      </xdr:pic>
      <xdr:pic>
        <xdr:nvPicPr>
          <xdr:cNvPr id="4" name="Image 3" descr="Marianne"/>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467350" y="0"/>
            <a:ext cx="1028700" cy="628650"/>
          </a:xfrm>
          <a:prstGeom prst="rect">
            <a:avLst/>
          </a:prstGeom>
          <a:noFill/>
          <a:ln>
            <a:noFill/>
          </a:ln>
        </xdr:spPr>
      </xdr:pic>
      <xdr:pic>
        <xdr:nvPicPr>
          <xdr:cNvPr id="5" name="Image 4" descr="Drapeau_couleur UE"/>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914400" cy="619125"/>
          </a:xfrm>
          <a:prstGeom prst="rect">
            <a:avLst/>
          </a:prstGeom>
          <a:noFill/>
          <a:ln>
            <a:noFill/>
          </a:ln>
        </xdr:spPr>
      </xdr:pic>
    </xdr:grpSp>
    <xdr:clientData/>
  </xdr:twoCellAnchor>
</xdr:wsDr>
</file>

<file path=xl/drawings/drawing7.xml><?xml version="1.0" encoding="utf-8"?>
<xdr:wsDr xmlns:xdr="http://schemas.openxmlformats.org/drawingml/2006/spreadsheetDrawing" xmlns:a="http://schemas.openxmlformats.org/drawingml/2006/main">
  <xdr:twoCellAnchor>
    <xdr:from>
      <xdr:col>2</xdr:col>
      <xdr:colOff>2044700</xdr:colOff>
      <xdr:row>0</xdr:row>
      <xdr:rowOff>190500</xdr:rowOff>
    </xdr:from>
    <xdr:to>
      <xdr:col>8</xdr:col>
      <xdr:colOff>825500</xdr:colOff>
      <xdr:row>4</xdr:row>
      <xdr:rowOff>6350</xdr:rowOff>
    </xdr:to>
    <xdr:grpSp>
      <xdr:nvGrpSpPr>
        <xdr:cNvPr id="2" name="Groupe 1"/>
        <xdr:cNvGrpSpPr/>
      </xdr:nvGrpSpPr>
      <xdr:grpSpPr>
        <a:xfrm>
          <a:off x="5307013" y="190500"/>
          <a:ext cx="6746081" cy="625475"/>
          <a:chOff x="0" y="0"/>
          <a:chExt cx="6496050" cy="628650"/>
        </a:xfrm>
      </xdr:grpSpPr>
      <xdr:pic>
        <xdr:nvPicPr>
          <xdr:cNvPr id="3" name="Imag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524125" y="0"/>
            <a:ext cx="1257300" cy="619125"/>
          </a:xfrm>
          <a:prstGeom prst="rect">
            <a:avLst/>
          </a:prstGeom>
          <a:noFill/>
          <a:ln>
            <a:noFill/>
          </a:ln>
        </xdr:spPr>
      </xdr:pic>
      <xdr:pic>
        <xdr:nvPicPr>
          <xdr:cNvPr id="4" name="Image 3" descr="Marianne"/>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467350" y="0"/>
            <a:ext cx="1028700" cy="628650"/>
          </a:xfrm>
          <a:prstGeom prst="rect">
            <a:avLst/>
          </a:prstGeom>
          <a:noFill/>
          <a:ln>
            <a:noFill/>
          </a:ln>
        </xdr:spPr>
      </xdr:pic>
      <xdr:pic>
        <xdr:nvPicPr>
          <xdr:cNvPr id="5" name="Image 4" descr="Drapeau_couleur UE"/>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914400" cy="619125"/>
          </a:xfrm>
          <a:prstGeom prst="rect">
            <a:avLst/>
          </a:prstGeom>
          <a:noFill/>
          <a:ln>
            <a:noFill/>
          </a:ln>
        </xdr:spPr>
      </xdr:pic>
    </xdr:grpSp>
    <xdr:clientData/>
  </xdr:twoCellAnchor>
</xdr:wsDr>
</file>

<file path=xl/drawings/drawing8.xml><?xml version="1.0" encoding="utf-8"?>
<xdr:wsDr xmlns:xdr="http://schemas.openxmlformats.org/drawingml/2006/spreadsheetDrawing" xmlns:a="http://schemas.openxmlformats.org/drawingml/2006/main">
  <xdr:twoCellAnchor>
    <xdr:from>
      <xdr:col>8</xdr:col>
      <xdr:colOff>0</xdr:colOff>
      <xdr:row>0</xdr:row>
      <xdr:rowOff>179915</xdr:rowOff>
    </xdr:from>
    <xdr:to>
      <xdr:col>43</xdr:col>
      <xdr:colOff>738719</xdr:colOff>
      <xdr:row>3</xdr:row>
      <xdr:rowOff>184148</xdr:rowOff>
    </xdr:to>
    <xdr:grpSp>
      <xdr:nvGrpSpPr>
        <xdr:cNvPr id="2" name="Groupe 1"/>
        <xdr:cNvGrpSpPr/>
      </xdr:nvGrpSpPr>
      <xdr:grpSpPr>
        <a:xfrm>
          <a:off x="8858250" y="179915"/>
          <a:ext cx="5024969" cy="623358"/>
          <a:chOff x="0" y="0"/>
          <a:chExt cx="6496050" cy="628650"/>
        </a:xfrm>
      </xdr:grpSpPr>
      <xdr:pic>
        <xdr:nvPicPr>
          <xdr:cNvPr id="3" name="Imag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524125" y="0"/>
            <a:ext cx="1257300" cy="619125"/>
          </a:xfrm>
          <a:prstGeom prst="rect">
            <a:avLst/>
          </a:prstGeom>
          <a:noFill/>
          <a:ln>
            <a:noFill/>
          </a:ln>
        </xdr:spPr>
      </xdr:pic>
      <xdr:pic>
        <xdr:nvPicPr>
          <xdr:cNvPr id="4" name="Image 3" descr="Marianne"/>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467350" y="0"/>
            <a:ext cx="1028700" cy="628650"/>
          </a:xfrm>
          <a:prstGeom prst="rect">
            <a:avLst/>
          </a:prstGeom>
          <a:noFill/>
          <a:ln>
            <a:noFill/>
          </a:ln>
        </xdr:spPr>
      </xdr:pic>
      <xdr:pic>
        <xdr:nvPicPr>
          <xdr:cNvPr id="5" name="Image 4" descr="Drapeau_couleur UE"/>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914400" cy="619125"/>
          </a:xfrm>
          <a:prstGeom prst="rect">
            <a:avLst/>
          </a:prstGeom>
          <a:noFill/>
          <a:ln>
            <a:noFill/>
          </a:ln>
        </xdr:spPr>
      </xdr:pic>
    </xdr:grp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209550</xdr:colOff>
      <xdr:row>0</xdr:row>
      <xdr:rowOff>76200</xdr:rowOff>
    </xdr:from>
    <xdr:to>
      <xdr:col>8</xdr:col>
      <xdr:colOff>457200</xdr:colOff>
      <xdr:row>3</xdr:row>
      <xdr:rowOff>133350</xdr:rowOff>
    </xdr:to>
    <xdr:grpSp>
      <xdr:nvGrpSpPr>
        <xdr:cNvPr id="2" name="Groupe 1"/>
        <xdr:cNvGrpSpPr/>
      </xdr:nvGrpSpPr>
      <xdr:grpSpPr>
        <a:xfrm>
          <a:off x="209550" y="76200"/>
          <a:ext cx="6543675" cy="628650"/>
          <a:chOff x="0" y="0"/>
          <a:chExt cx="6496050" cy="628650"/>
        </a:xfrm>
      </xdr:grpSpPr>
      <xdr:pic>
        <xdr:nvPicPr>
          <xdr:cNvPr id="3" name="Imag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524125" y="0"/>
            <a:ext cx="1257300" cy="619125"/>
          </a:xfrm>
          <a:prstGeom prst="rect">
            <a:avLst/>
          </a:prstGeom>
          <a:noFill/>
          <a:ln>
            <a:noFill/>
          </a:ln>
        </xdr:spPr>
      </xdr:pic>
      <xdr:pic>
        <xdr:nvPicPr>
          <xdr:cNvPr id="4" name="Image 3" descr="Marianne"/>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467350" y="0"/>
            <a:ext cx="1028700" cy="628650"/>
          </a:xfrm>
          <a:prstGeom prst="rect">
            <a:avLst/>
          </a:prstGeom>
          <a:noFill/>
          <a:ln>
            <a:noFill/>
          </a:ln>
        </xdr:spPr>
      </xdr:pic>
      <xdr:pic>
        <xdr:nvPicPr>
          <xdr:cNvPr id="5" name="Image 4" descr="Drapeau_couleur UE"/>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914400" cy="619125"/>
          </a:xfrm>
          <a:prstGeom prst="rect">
            <a:avLst/>
          </a:prstGeom>
          <a:noFill/>
          <a:ln>
            <a:noFill/>
          </a:ln>
        </xdr:spPr>
      </xdr:pic>
    </xdr:grpSp>
    <xdr:clientData/>
  </xdr:twoCellAnchor>
  <xdr:twoCellAnchor>
    <xdr:from>
      <xdr:col>1</xdr:col>
      <xdr:colOff>266701</xdr:colOff>
      <xdr:row>5</xdr:row>
      <xdr:rowOff>142875</xdr:rowOff>
    </xdr:from>
    <xdr:to>
      <xdr:col>7</xdr:col>
      <xdr:colOff>333376</xdr:colOff>
      <xdr:row>49</xdr:row>
      <xdr:rowOff>23813</xdr:rowOff>
    </xdr:to>
    <xdr:graphicFrame macro="">
      <xdr:nvGraphicFramePr>
        <xdr:cNvPr id="7" name="Graphique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queryTables/queryTable1.xml><?xml version="1.0" encoding="utf-8"?>
<queryTable xmlns="http://schemas.openxmlformats.org/spreadsheetml/2006/main" name="Lancer la requête à partir de Excel Files_8" adjustColumnWidth="0" connectionId="5" autoFormatId="16" applyNumberFormats="0" applyBorderFormats="0" applyFontFormats="0" applyPatternFormats="0" applyAlignmentFormats="0" applyWidthHeightFormats="0">
  <queryTableRefresh nextId="105" unboundColumnsRight="1">
    <queryTableFields count="42">
      <queryTableField id="1" name="ID_Synergie" tableColumnId="1"/>
      <queryTableField id="2" name="Nom_MO" tableColumnId="2"/>
      <queryTableField id="3" name="Intitule_Operation" tableColumnId="3"/>
      <queryTableField id="46" name="'Coût total éligible'" tableColumnId="43"/>
      <queryTableField id="42" dataBound="0" tableColumnId="39"/>
      <queryTableField id="92" dataBound="0" tableColumnId="81"/>
      <queryTableField id="43" dataBound="0" tableColumnId="40"/>
      <queryTableField id="93" dataBound="0" tableColumnId="82"/>
      <queryTableField id="78" name="'FEDER'" tableColumnId="75"/>
      <queryTableField id="99" dataBound="0" tableColumnId="7"/>
      <queryTableField id="102" name="'FNADT '" tableColumnId="10"/>
      <queryTableField id="49" name="'Agriculture'" tableColumnId="46"/>
      <queryTableField id="100" dataBound="0" tableColumnId="8"/>
      <queryTableField id="51" name="'ALPC'" tableColumnId="48"/>
      <queryTableField id="52" name="'AURA'" tableColumnId="49"/>
      <queryTableField id="81" name="'BFC'" tableColumnId="78"/>
      <queryTableField id="82" name="'LRMP'" tableColumnId="79"/>
      <queryTableField id="101" dataBound="0" tableColumnId="9"/>
      <queryTableField id="56" name="'03'" tableColumnId="53"/>
      <queryTableField id="57" name="'07'" tableColumnId="54"/>
      <queryTableField id="58" name="'11'" tableColumnId="55"/>
      <queryTableField id="59" name="'12'" tableColumnId="56"/>
      <queryTableField id="60" name="'15'" tableColumnId="57"/>
      <queryTableField id="61" name="'19'" tableColumnId="58"/>
      <queryTableField id="62" name="'21'" tableColumnId="59"/>
      <queryTableField id="85" name="'23'" tableColumnId="80"/>
      <queryTableField id="63" name="'30'" tableColumnId="60"/>
      <queryTableField id="64" name="'34'" tableColumnId="61"/>
      <queryTableField id="65" name="'42'" tableColumnId="62"/>
      <queryTableField id="66" name="'43'" tableColumnId="63"/>
      <queryTableField id="67" name="'46'" tableColumnId="64"/>
      <queryTableField id="68" name="'48'" tableColumnId="65"/>
      <queryTableField id="69" name="'58'" tableColumnId="66"/>
      <queryTableField id="70" name="'63'" tableColumnId="67"/>
      <queryTableField id="71" name="'69'" tableColumnId="68"/>
      <queryTableField id="72" name="'71'" tableColumnId="69"/>
      <queryTableField id="73" name="'81'" tableColumnId="70"/>
      <queryTableField id="74" name="'82'" tableColumnId="71"/>
      <queryTableField id="75" name="'87'" tableColumnId="72"/>
      <queryTableField id="76" name="'89'" tableColumnId="73"/>
      <queryTableField id="79" name="'Autre Public'" tableColumnId="76"/>
      <queryTableField id="104" dataBound="0" tableColumnId="4"/>
    </queryTableFields>
    <queryTableDeletedFields count="1">
      <deletedField name="Avis Cofimac"/>
    </queryTableDeletedFields>
  </queryTableRefresh>
</queryTable>
</file>

<file path=xl/queryTables/queryTable2.xml><?xml version="1.0" encoding="utf-8"?>
<queryTable xmlns="http://schemas.openxmlformats.org/spreadsheetml/2006/main" name="Lancer la requête à partir de Excel Files_8" adjustColumnWidth="0" connectionId="6" autoFormatId="16" applyNumberFormats="0" applyBorderFormats="0" applyFontFormats="0" applyPatternFormats="0" applyAlignmentFormats="0" applyWidthHeightFormats="0">
  <queryTableRefresh nextId="108" unboundColumnsRight="1">
    <queryTableFields count="42">
      <queryTableField id="1" name="ID_Synergie" tableColumnId="1"/>
      <queryTableField id="2" name="Nom_MO" tableColumnId="2"/>
      <queryTableField id="3" name="Intitule_Operation" tableColumnId="3"/>
      <queryTableField id="46" name="'Coût total éligible'" tableColumnId="43"/>
      <queryTableField id="42" dataBound="0" tableColumnId="39"/>
      <queryTableField id="92" dataBound="0" tableColumnId="81"/>
      <queryTableField id="43" dataBound="0" tableColumnId="40"/>
      <queryTableField id="93" dataBound="0" tableColumnId="82"/>
      <queryTableField id="78" name="'FEDER'" tableColumnId="75"/>
      <queryTableField id="99" dataBound="0" tableColumnId="7"/>
      <queryTableField id="104" name="'FNADT '" tableColumnId="11"/>
      <queryTableField id="49" name="'Agriculture'" tableColumnId="46"/>
      <queryTableField id="100" dataBound="0" tableColumnId="8"/>
      <queryTableField id="51" name="'ALPC'" tableColumnId="48"/>
      <queryTableField id="52" name="'AURA'" tableColumnId="49"/>
      <queryTableField id="81" name="'BFC'" tableColumnId="78"/>
      <queryTableField id="82" name="'LRMP'" tableColumnId="79"/>
      <queryTableField id="101" dataBound="0" tableColumnId="9"/>
      <queryTableField id="56" name="'03'" tableColumnId="53"/>
      <queryTableField id="57" name="'07'" tableColumnId="54"/>
      <queryTableField id="58" name="'11'" tableColumnId="55"/>
      <queryTableField id="59" name="'12'" tableColumnId="56"/>
      <queryTableField id="60" name="'15'" tableColumnId="57"/>
      <queryTableField id="61" name="'19'" tableColumnId="58"/>
      <queryTableField id="62" name="'21'" tableColumnId="59"/>
      <queryTableField id="85" name="'23'" tableColumnId="80"/>
      <queryTableField id="63" name="'30'" tableColumnId="60"/>
      <queryTableField id="64" name="'34'" tableColumnId="61"/>
      <queryTableField id="65" name="'42'" tableColumnId="62"/>
      <queryTableField id="66" name="'43'" tableColumnId="63"/>
      <queryTableField id="67" name="'46'" tableColumnId="64"/>
      <queryTableField id="68" name="'48'" tableColumnId="65"/>
      <queryTableField id="69" name="'58'" tableColumnId="66"/>
      <queryTableField id="70" name="'63'" tableColumnId="67"/>
      <queryTableField id="71" name="'69'" tableColumnId="68"/>
      <queryTableField id="72" name="'71'" tableColumnId="69"/>
      <queryTableField id="73" name="'81'" tableColumnId="70"/>
      <queryTableField id="74" name="'82'" tableColumnId="71"/>
      <queryTableField id="75" name="'87'" tableColumnId="72"/>
      <queryTableField id="76" name="'89'" tableColumnId="73"/>
      <queryTableField id="79" name="'Autre Public'" tableColumnId="76"/>
      <queryTableField id="95" dataBound="0" tableColumnId="4"/>
    </queryTableFields>
    <queryTableDeletedFields count="1">
      <deletedField name="Avis Cofimac"/>
    </queryTableDeletedFields>
  </queryTableRefresh>
</queryTable>
</file>

<file path=xl/queryTables/queryTable3.xml><?xml version="1.0" encoding="utf-8"?>
<queryTable xmlns="http://schemas.openxmlformats.org/spreadsheetml/2006/main" name="Lancer la requête à partir de Excel Files_8" adjustColumnWidth="0" connectionId="3" autoFormatId="16" applyNumberFormats="0" applyBorderFormats="0" applyFontFormats="0" applyPatternFormats="0" applyAlignmentFormats="0" applyWidthHeightFormats="0">
  <queryTableRefresh nextId="107" unboundColumnsRight="1">
    <queryTableFields count="42">
      <queryTableField id="1" name="ID_Synergie" tableColumnId="1"/>
      <queryTableField id="2" name="Nom_MO" tableColumnId="2"/>
      <queryTableField id="3" name="Intitule_Operation" tableColumnId="3"/>
      <queryTableField id="46" name="'Coût total éligible'" tableColumnId="43"/>
      <queryTableField id="42" dataBound="0" tableColumnId="39"/>
      <queryTableField id="92" dataBound="0" tableColumnId="81"/>
      <queryTableField id="43" dataBound="0" tableColumnId="40"/>
      <queryTableField id="93" dataBound="0" tableColumnId="82"/>
      <queryTableField id="78" name="'FEDER'" tableColumnId="75"/>
      <queryTableField id="99" dataBound="0" tableColumnId="7"/>
      <queryTableField id="104" name="'FNADT '" tableColumnId="11"/>
      <queryTableField id="49" name="'Agriculture'" tableColumnId="46"/>
      <queryTableField id="100" dataBound="0" tableColumnId="8"/>
      <queryTableField id="51" name="'ALPC'" tableColumnId="48"/>
      <queryTableField id="52" name="'AURA'" tableColumnId="49"/>
      <queryTableField id="81" name="'BFC'" tableColumnId="78"/>
      <queryTableField id="82" name="'LRMP'" tableColumnId="79"/>
      <queryTableField id="101" dataBound="0" tableColumnId="9"/>
      <queryTableField id="56" name="'03'" tableColumnId="53"/>
      <queryTableField id="57" name="'07'" tableColumnId="54"/>
      <queryTableField id="58" name="'11'" tableColumnId="55"/>
      <queryTableField id="59" name="'12'" tableColumnId="56"/>
      <queryTableField id="60" name="'15'" tableColumnId="57"/>
      <queryTableField id="61" name="'19'" tableColumnId="58"/>
      <queryTableField id="62" name="'21'" tableColumnId="59"/>
      <queryTableField id="85" name="'23'" tableColumnId="80"/>
      <queryTableField id="63" name="'30'" tableColumnId="60"/>
      <queryTableField id="64" name="'34'" tableColumnId="61"/>
      <queryTableField id="65" name="'42'" tableColumnId="62"/>
      <queryTableField id="66" name="'43'" tableColumnId="63"/>
      <queryTableField id="67" name="'46'" tableColumnId="64"/>
      <queryTableField id="68" name="'48'" tableColumnId="65"/>
      <queryTableField id="69" name="'58'" tableColumnId="66"/>
      <queryTableField id="70" name="'63'" tableColumnId="67"/>
      <queryTableField id="71" name="'69'" tableColumnId="68"/>
      <queryTableField id="72" name="'71'" tableColumnId="69"/>
      <queryTableField id="73" name="'81'" tableColumnId="70"/>
      <queryTableField id="74" name="'82'" tableColumnId="71"/>
      <queryTableField id="75" name="'87'" tableColumnId="72"/>
      <queryTableField id="76" name="'89'" tableColumnId="73"/>
      <queryTableField id="79" name="'Autre Public'" tableColumnId="76"/>
      <queryTableField id="95" dataBound="0" tableColumnId="4"/>
    </queryTableFields>
    <queryTableDeletedFields count="1">
      <deletedField name="Avis Cofimac"/>
    </queryTableDeletedFields>
  </queryTableRefresh>
</queryTable>
</file>

<file path=xl/queryTables/queryTable4.xml><?xml version="1.0" encoding="utf-8"?>
<queryTable xmlns="http://schemas.openxmlformats.org/spreadsheetml/2006/main" name="Lancer la requête à partir de Excel Files_8" adjustColumnWidth="0" connectionId="4" autoFormatId="16" applyNumberFormats="0" applyBorderFormats="0" applyFontFormats="0" applyPatternFormats="0" applyAlignmentFormats="0" applyWidthHeightFormats="0">
  <queryTableRefresh nextId="112" unboundColumnsRight="1">
    <queryTableFields count="43">
      <queryTableField id="109" name="'Thématique '" tableColumnId="6"/>
      <queryTableField id="1" name="ID_Synergie" tableColumnId="1"/>
      <queryTableField id="2" name="Nom_MO" tableColumnId="2"/>
      <queryTableField id="3" name="Intitule_Operation" tableColumnId="3"/>
      <queryTableField id="46" name="'Coût total éligible'" tableColumnId="43"/>
      <queryTableField id="42" dataBound="0" tableColumnId="39"/>
      <queryTableField id="92" dataBound="0" tableColumnId="81"/>
      <queryTableField id="43" dataBound="0" tableColumnId="40"/>
      <queryTableField id="93" dataBound="0" tableColumnId="82"/>
      <queryTableField id="78" name="'FEDER'" tableColumnId="75"/>
      <queryTableField id="99" dataBound="0" tableColumnId="7"/>
      <queryTableField id="104" name="'FNADT '" tableColumnId="11"/>
      <queryTableField id="49" name="'Agriculture'" tableColumnId="46"/>
      <queryTableField id="100" dataBound="0" tableColumnId="8"/>
      <queryTableField id="51" name="'ALPC'" tableColumnId="48"/>
      <queryTableField id="52" name="'AURA'" tableColumnId="49"/>
      <queryTableField id="81" name="'BFC'" tableColumnId="78"/>
      <queryTableField id="82" name="'LRMP'" tableColumnId="79"/>
      <queryTableField id="101" dataBound="0" tableColumnId="9"/>
      <queryTableField id="56" name="'03'" tableColumnId="53"/>
      <queryTableField id="57" name="'07'" tableColumnId="54"/>
      <queryTableField id="58" name="'11'" tableColumnId="55"/>
      <queryTableField id="59" name="'12'" tableColumnId="56"/>
      <queryTableField id="60" name="'15'" tableColumnId="57"/>
      <queryTableField id="61" name="'19'" tableColumnId="58"/>
      <queryTableField id="62" name="'21'" tableColumnId="59"/>
      <queryTableField id="85" name="'23'" tableColumnId="80"/>
      <queryTableField id="63" name="'30'" tableColumnId="60"/>
      <queryTableField id="64" name="'34'" tableColumnId="61"/>
      <queryTableField id="65" name="'42'" tableColumnId="62"/>
      <queryTableField id="66" name="'43'" tableColumnId="63"/>
      <queryTableField id="67" name="'46'" tableColumnId="64"/>
      <queryTableField id="68" name="'48'" tableColumnId="65"/>
      <queryTableField id="69" name="'58'" tableColumnId="66"/>
      <queryTableField id="70" name="'63'" tableColumnId="67"/>
      <queryTableField id="71" name="'69'" tableColumnId="68"/>
      <queryTableField id="72" name="'71'" tableColumnId="69"/>
      <queryTableField id="73" name="'81'" tableColumnId="70"/>
      <queryTableField id="74" name="'82'" tableColumnId="71"/>
      <queryTableField id="75" name="'87'" tableColumnId="72"/>
      <queryTableField id="76" name="'89'" tableColumnId="73"/>
      <queryTableField id="79" name="'Autre Public'" tableColumnId="76"/>
      <queryTableField id="95" dataBound="0" tableColumnId="4"/>
    </queryTableFields>
    <queryTableDeletedFields count="1">
      <deletedField name="Avis Cofimac"/>
    </queryTableDeletedFields>
  </queryTableRefresh>
</queryTable>
</file>

<file path=xl/queryTables/queryTable5.xml><?xml version="1.0" encoding="utf-8"?>
<queryTable xmlns="http://schemas.openxmlformats.org/spreadsheetml/2006/main" name="Lancer la requête à partir de Excel Files_8" adjustColumnWidth="0" connectionId="1" autoFormatId="16" applyNumberFormats="0" applyBorderFormats="0" applyFontFormats="0" applyPatternFormats="0" applyAlignmentFormats="0" applyWidthHeightFormats="0">
  <queryTableRefresh nextId="107" unboundColumnsRight="1">
    <queryTableFields count="42">
      <queryTableField id="1" name="ID_Synergie" tableColumnId="1"/>
      <queryTableField id="2" name="Nom_MO" tableColumnId="2"/>
      <queryTableField id="3" name="Intitule_Operation" tableColumnId="3"/>
      <queryTableField id="46" name="'Coût total éligible'" tableColumnId="43"/>
      <queryTableField id="42" dataBound="0" tableColumnId="39"/>
      <queryTableField id="92" dataBound="0" tableColumnId="81"/>
      <queryTableField id="43" dataBound="0" tableColumnId="40"/>
      <queryTableField id="93" dataBound="0" tableColumnId="82"/>
      <queryTableField id="78" name="'FEDER'" tableColumnId="75"/>
      <queryTableField id="99" dataBound="0" tableColumnId="7"/>
      <queryTableField id="104" name="'FNADT '" tableColumnId="11"/>
      <queryTableField id="49" name="'Agriculture'" tableColumnId="46"/>
      <queryTableField id="100" dataBound="0" tableColumnId="8"/>
      <queryTableField id="51" name="'ALPC'" tableColumnId="48"/>
      <queryTableField id="52" name="'AURA'" tableColumnId="49"/>
      <queryTableField id="81" name="'BFC'" tableColumnId="78"/>
      <queryTableField id="82" name="'LRMP'" tableColumnId="79"/>
      <queryTableField id="101" dataBound="0" tableColumnId="9"/>
      <queryTableField id="56" name="'03'" tableColumnId="53"/>
      <queryTableField id="57" name="'07'" tableColumnId="54"/>
      <queryTableField id="58" name="'11'" tableColumnId="55"/>
      <queryTableField id="59" name="'12'" tableColumnId="56"/>
      <queryTableField id="60" name="'15'" tableColumnId="57"/>
      <queryTableField id="61" name="'19'" tableColumnId="58"/>
      <queryTableField id="62" name="'21'" tableColumnId="59"/>
      <queryTableField id="85" name="'23'" tableColumnId="80"/>
      <queryTableField id="63" name="'30'" tableColumnId="60"/>
      <queryTableField id="64" name="'34'" tableColumnId="61"/>
      <queryTableField id="65" name="'42'" tableColumnId="62"/>
      <queryTableField id="66" name="'43'" tableColumnId="63"/>
      <queryTableField id="67" name="'46'" tableColumnId="64"/>
      <queryTableField id="68" name="'48'" tableColumnId="65"/>
      <queryTableField id="69" name="'58'" tableColumnId="66"/>
      <queryTableField id="70" name="'63'" tableColumnId="67"/>
      <queryTableField id="71" name="'69'" tableColumnId="68"/>
      <queryTableField id="72" name="'71'" tableColumnId="69"/>
      <queryTableField id="73" name="'81'" tableColumnId="70"/>
      <queryTableField id="74" name="'82'" tableColumnId="71"/>
      <queryTableField id="75" name="'87'" tableColumnId="72"/>
      <queryTableField id="76" name="'89'" tableColumnId="73"/>
      <queryTableField id="79" name="'Autre Public'" tableColumnId="76"/>
      <queryTableField id="95" dataBound="0" tableColumnId="4"/>
    </queryTableFields>
    <queryTableDeletedFields count="1">
      <deletedField name="Avis Cofimac"/>
    </queryTableDeletedFields>
  </queryTableRefresh>
</queryTable>
</file>

<file path=xl/queryTables/queryTable6.xml><?xml version="1.0" encoding="utf-8"?>
<queryTable xmlns="http://schemas.openxmlformats.org/spreadsheetml/2006/main" name="Lancer la requête à partir de Excel Files_8" adjustColumnWidth="0" connectionId="8" autoFormatId="16" applyNumberFormats="0" applyBorderFormats="0" applyFontFormats="0" applyPatternFormats="0" applyAlignmentFormats="0" applyWidthHeightFormats="0">
  <queryTableRefresh nextId="107" unboundColumnsRight="1">
    <queryTableFields count="42">
      <queryTableField id="1" name="ID_Synergie" tableColumnId="1"/>
      <queryTableField id="2" name="Nom_MO" tableColumnId="2"/>
      <queryTableField id="3" name="Intitule_Operation" tableColumnId="3"/>
      <queryTableField id="46" name="'Coût total éligible'" tableColumnId="43"/>
      <queryTableField id="42" dataBound="0" tableColumnId="39"/>
      <queryTableField id="92" dataBound="0" tableColumnId="81"/>
      <queryTableField id="43" dataBound="0" tableColumnId="40"/>
      <queryTableField id="93" dataBound="0" tableColumnId="82"/>
      <queryTableField id="78" name="'FEDER'" tableColumnId="75"/>
      <queryTableField id="99" dataBound="0" tableColumnId="7"/>
      <queryTableField id="104" name="'FNADT '" tableColumnId="11"/>
      <queryTableField id="49" name="'Agriculture'" tableColumnId="46"/>
      <queryTableField id="100" dataBound="0" tableColumnId="8"/>
      <queryTableField id="51" name="'ALPC'" tableColumnId="48"/>
      <queryTableField id="52" name="'AURA'" tableColumnId="49"/>
      <queryTableField id="81" name="'BFC'" tableColumnId="78"/>
      <queryTableField id="82" name="'LRMP'" tableColumnId="79"/>
      <queryTableField id="101" dataBound="0" tableColumnId="9"/>
      <queryTableField id="56" name="'03'" tableColumnId="53"/>
      <queryTableField id="57" name="'07'" tableColumnId="54"/>
      <queryTableField id="58" name="'11'" tableColumnId="55"/>
      <queryTableField id="59" name="'12'" tableColumnId="56"/>
      <queryTableField id="60" name="'15'" tableColumnId="57"/>
      <queryTableField id="61" name="'19'" tableColumnId="58"/>
      <queryTableField id="62" name="'21'" tableColumnId="59"/>
      <queryTableField id="85" name="'23'" tableColumnId="80"/>
      <queryTableField id="63" name="'30'" tableColumnId="60"/>
      <queryTableField id="64" name="'34'" tableColumnId="61"/>
      <queryTableField id="65" name="'42'" tableColumnId="62"/>
      <queryTableField id="66" name="'43'" tableColumnId="63"/>
      <queryTableField id="67" name="'46'" tableColumnId="64"/>
      <queryTableField id="68" name="'48'" tableColumnId="65"/>
      <queryTableField id="69" name="'58'" tableColumnId="66"/>
      <queryTableField id="70" name="'63'" tableColumnId="67"/>
      <queryTableField id="71" name="'69'" tableColumnId="68"/>
      <queryTableField id="72" name="'71'" tableColumnId="69"/>
      <queryTableField id="73" name="'81'" tableColumnId="70"/>
      <queryTableField id="74" name="'82'" tableColumnId="71"/>
      <queryTableField id="75" name="'87'" tableColumnId="72"/>
      <queryTableField id="76" name="'89'" tableColumnId="73"/>
      <queryTableField id="79" name="'Autre Public'" tableColumnId="76"/>
      <queryTableField id="95" dataBound="0" tableColumnId="4"/>
    </queryTableFields>
    <queryTableDeletedFields count="1">
      <deletedField name="Avis Cofimac"/>
    </queryTableDeletedFields>
  </queryTableRefresh>
</queryTable>
</file>

<file path=xl/queryTables/queryTable7.xml><?xml version="1.0" encoding="utf-8"?>
<queryTable xmlns="http://schemas.openxmlformats.org/spreadsheetml/2006/main" name="Lancer la requête à partir de Excel Files_8" adjustColumnWidth="0" connectionId="2" autoFormatId="16" applyNumberFormats="0" applyBorderFormats="0" applyFontFormats="0" applyPatternFormats="0" applyAlignmentFormats="0" applyWidthHeightFormats="0">
  <queryTableRefresh nextId="107" unboundColumnsRight="1">
    <queryTableFields count="42">
      <queryTableField id="1" name="ID_Synergie" tableColumnId="1"/>
      <queryTableField id="2" name="Nom_MO" tableColumnId="2"/>
      <queryTableField id="3" name="Intitule_Operation" tableColumnId="3"/>
      <queryTableField id="46" name="'Coût total éligible'" tableColumnId="43"/>
      <queryTableField id="42" dataBound="0" tableColumnId="39"/>
      <queryTableField id="92" dataBound="0" tableColumnId="81"/>
      <queryTableField id="43" dataBound="0" tableColumnId="40"/>
      <queryTableField id="93" dataBound="0" tableColumnId="82"/>
      <queryTableField id="78" name="'FEDER'" tableColumnId="75"/>
      <queryTableField id="99" dataBound="0" tableColumnId="7"/>
      <queryTableField id="104" name="'FNADT '" tableColumnId="11"/>
      <queryTableField id="49" name="'Agriculture'" tableColumnId="46"/>
      <queryTableField id="100" dataBound="0" tableColumnId="8"/>
      <queryTableField id="51" name="'ALPC'" tableColumnId="48"/>
      <queryTableField id="52" name="'AURA'" tableColumnId="49"/>
      <queryTableField id="81" name="'BFC'" tableColumnId="78"/>
      <queryTableField id="82" name="'LRMP'" tableColumnId="79"/>
      <queryTableField id="101" dataBound="0" tableColumnId="9"/>
      <queryTableField id="56" name="'03'" tableColumnId="53"/>
      <queryTableField id="57" name="'07'" tableColumnId="54"/>
      <queryTableField id="58" name="'11'" tableColumnId="55"/>
      <queryTableField id="59" name="'12'" tableColumnId="56"/>
      <queryTableField id="60" name="'15'" tableColumnId="57"/>
      <queryTableField id="61" name="'19'" tableColumnId="58"/>
      <queryTableField id="62" name="'21'" tableColumnId="59"/>
      <queryTableField id="85" name="'23'" tableColumnId="80"/>
      <queryTableField id="63" name="'30'" tableColumnId="60"/>
      <queryTableField id="64" name="'34'" tableColumnId="61"/>
      <queryTableField id="65" name="'42'" tableColumnId="62"/>
      <queryTableField id="66" name="'43'" tableColumnId="63"/>
      <queryTableField id="67" name="'46'" tableColumnId="64"/>
      <queryTableField id="68" name="'48'" tableColumnId="65"/>
      <queryTableField id="69" name="'58'" tableColumnId="66"/>
      <queryTableField id="70" name="'63'" tableColumnId="67"/>
      <queryTableField id="71" name="'69'" tableColumnId="68"/>
      <queryTableField id="72" name="'71'" tableColumnId="69"/>
      <queryTableField id="73" name="'81'" tableColumnId="70"/>
      <queryTableField id="74" name="'82'" tableColumnId="71"/>
      <queryTableField id="75" name="'87'" tableColumnId="72"/>
      <queryTableField id="76" name="'89'" tableColumnId="73"/>
      <queryTableField id="79" name="'Autre Public'" tableColumnId="76"/>
      <queryTableField id="95" dataBound="0" tableColumnId="4"/>
    </queryTableFields>
    <queryTableDeletedFields count="1">
      <deletedField name="Avis Cofimac"/>
    </queryTableDeletedFields>
  </queryTableRefresh>
</queryTable>
</file>

<file path=xl/queryTables/queryTable8.xml><?xml version="1.0" encoding="utf-8"?>
<queryTable xmlns="http://schemas.openxmlformats.org/spreadsheetml/2006/main" name="Lancer la requête à partir de Excel Files" adjustColumnWidth="0" connectionId="7" autoFormatId="16" applyNumberFormats="0" applyBorderFormats="0" applyFontFormats="0" applyPatternFormats="0" applyAlignmentFormats="0" applyWidthHeightFormats="0">
  <queryTableRefresh nextId="171" unboundColumnsRight="1">
    <queryTableFields count="46">
      <queryTableField id="1" name="Programme" tableColumnId="1"/>
      <queryTableField id="84" name="ID_dossier GIP" tableColumnId="50"/>
      <queryTableField id="48" name="ID_Synergie" tableColumnId="43"/>
      <queryTableField id="2" name="Nom_MO" tableColumnId="2"/>
      <queryTableField id="3" name="Intitule_Operation" tableColumnId="3"/>
      <queryTableField id="4" name="Coût total déposé" tableColumnId="4"/>
      <queryTableField id="128" name="Coût total Eligible FEDER" tableColumnId="12"/>
      <queryTableField id="131" dataBound="0" tableColumnId="13"/>
      <queryTableField id="92" dataBound="0" tableColumnId="6"/>
      <queryTableField id="44" dataBound="0" tableColumnId="44"/>
      <queryTableField id="40" dataBound="0" tableColumnId="40"/>
      <queryTableField id="42" dataBound="0" tableColumnId="42"/>
      <queryTableField id="89" dataBound="0" tableColumnId="52"/>
      <queryTableField id="133" name="'FNADT'" tableColumnId="15"/>
      <queryTableField id="134" name="'Agriculture'" tableColumnId="16"/>
      <queryTableField id="90" dataBound="0" tableColumnId="54"/>
      <queryTableField id="138" name="'ALPC'" tableColumnId="20"/>
      <queryTableField id="136" name="'AURA'" tableColumnId="18"/>
      <queryTableField id="137" name="'BFC'" tableColumnId="19"/>
      <queryTableField id="139" name="'LRMP'" tableColumnId="21"/>
      <queryTableField id="91" dataBound="0" tableColumnId="55"/>
      <queryTableField id="141" name="'03'" tableColumnId="23"/>
      <queryTableField id="142" name="'07'" tableColumnId="24"/>
      <queryTableField id="143" name="'11'" tableColumnId="25"/>
      <queryTableField id="144" name="'12'" tableColumnId="26"/>
      <queryTableField id="145" name="'15'" tableColumnId="27"/>
      <queryTableField id="146" name="'19'" tableColumnId="28"/>
      <queryTableField id="147" name="'21'" tableColumnId="29"/>
      <queryTableField id="148" name="'23'" tableColumnId="30"/>
      <queryTableField id="149" name="'30'" tableColumnId="31"/>
      <queryTableField id="150" name="'34'" tableColumnId="32"/>
      <queryTableField id="151" name="'42'" tableColumnId="33"/>
      <queryTableField id="152" name="'43'" tableColumnId="34"/>
      <queryTableField id="153" name="'46'" tableColumnId="35"/>
      <queryTableField id="154" name="'48'" tableColumnId="36"/>
      <queryTableField id="155" name="'58'" tableColumnId="37"/>
      <queryTableField id="156" name="'63'" tableColumnId="38"/>
      <queryTableField id="157" name="'69'" tableColumnId="39"/>
      <queryTableField id="158" name="'71'" tableColumnId="41"/>
      <queryTableField id="159" name="'81'" tableColumnId="45"/>
      <queryTableField id="160" name="'82'" tableColumnId="47"/>
      <queryTableField id="161" name="'87'" tableColumnId="48"/>
      <queryTableField id="162" name="'89'" tableColumnId="51"/>
      <queryTableField id="163" name="'FEDER'" tableColumnId="53"/>
      <queryTableField id="164" name="'Autre Public'" tableColumnId="56"/>
      <queryTableField id="169" dataBound="0" tableColumnId="5"/>
    </queryTableFields>
    <queryTableDeletedFields count="8">
      <deletedField name="Total_Etat_FN2"/>
      <deletedField name="Total_Regions_FN2"/>
      <deletedField name="Total_Dpts_FN2"/>
      <deletedField name="Aide Publique demandée"/>
      <deletedField name="'Régions'"/>
      <deletedField name="'Etat'"/>
      <deletedField name="'Dpts'"/>
      <deletedField name="Remarques"/>
    </queryTableDeletedFields>
  </queryTableRefresh>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_rels/table2.xml.rels><?xml version="1.0" encoding="UTF-8" standalone="yes"?>
<Relationships xmlns="http://schemas.openxmlformats.org/package/2006/relationships"><Relationship Id="rId1" Type="http://schemas.openxmlformats.org/officeDocument/2006/relationships/queryTable" Target="../queryTables/queryTable2.xml"/></Relationships>
</file>

<file path=xl/tables/_rels/table3.xml.rels><?xml version="1.0" encoding="UTF-8" standalone="yes"?>
<Relationships xmlns="http://schemas.openxmlformats.org/package/2006/relationships"><Relationship Id="rId1" Type="http://schemas.openxmlformats.org/officeDocument/2006/relationships/queryTable" Target="../queryTables/queryTable3.xml"/></Relationships>
</file>

<file path=xl/tables/_rels/table4.xml.rels><?xml version="1.0" encoding="UTF-8" standalone="yes"?>
<Relationships xmlns="http://schemas.openxmlformats.org/package/2006/relationships"><Relationship Id="rId1" Type="http://schemas.openxmlformats.org/officeDocument/2006/relationships/queryTable" Target="../queryTables/queryTable4.xml"/></Relationships>
</file>

<file path=xl/tables/_rels/table5.xml.rels><?xml version="1.0" encoding="UTF-8" standalone="yes"?>
<Relationships xmlns="http://schemas.openxmlformats.org/package/2006/relationships"><Relationship Id="rId1" Type="http://schemas.openxmlformats.org/officeDocument/2006/relationships/queryTable" Target="../queryTables/queryTable5.xml"/></Relationships>
</file>

<file path=xl/tables/_rels/table6.xml.rels><?xml version="1.0" encoding="UTF-8" standalone="yes"?>
<Relationships xmlns="http://schemas.openxmlformats.org/package/2006/relationships"><Relationship Id="rId1" Type="http://schemas.openxmlformats.org/officeDocument/2006/relationships/queryTable" Target="../queryTables/queryTable6.xml"/></Relationships>
</file>

<file path=xl/tables/_rels/table7.xml.rels><?xml version="1.0" encoding="UTF-8" standalone="yes"?>
<Relationships xmlns="http://schemas.openxmlformats.org/package/2006/relationships"><Relationship Id="rId1" Type="http://schemas.openxmlformats.org/officeDocument/2006/relationships/queryTable" Target="../queryTables/queryTable7.xml"/></Relationships>
</file>

<file path=xl/tables/_rels/table8.xml.rels><?xml version="1.0" encoding="UTF-8" standalone="yes"?>
<Relationships xmlns="http://schemas.openxmlformats.org/package/2006/relationships"><Relationship Id="rId1" Type="http://schemas.openxmlformats.org/officeDocument/2006/relationships/queryTable" Target="../queryTables/queryTable8.xml"/></Relationships>
</file>

<file path=xl/tables/table1.xml><?xml version="1.0" encoding="utf-8"?>
<table xmlns="http://schemas.openxmlformats.org/spreadsheetml/2006/main" id="1" name="Tableau_Lancer_la_requête_à_partir_de_Excel_Files102" displayName="Tableau_Lancer_la_requête_à_partir_de_Excel_Files102" ref="A6:AP19" tableType="queryTable" totalsRowCount="1" headerRowDxfId="838" dataDxfId="837" totalsRowDxfId="836">
  <autoFilter ref="A6:AP18"/>
  <sortState ref="A7:AQ18">
    <sortCondition ref="A6:A18"/>
  </sortState>
  <tableColumns count="42">
    <tableColumn id="1" uniqueName="1" name="ID_Synergie" totalsRowLabel="Total" queryTableFieldId="1" dataDxfId="835" totalsRowDxfId="834"/>
    <tableColumn id="2" uniqueName="2" name="Nom_MO" totalsRowFunction="count" queryTableFieldId="2" dataDxfId="833" totalsRowDxfId="832"/>
    <tableColumn id="3" uniqueName="3" name="Intitule_Operation" queryTableFieldId="3" dataDxfId="831" totalsRowDxfId="830"/>
    <tableColumn id="43" uniqueName="43" name="'Coût total éligible'" totalsRowFunction="sum" queryTableFieldId="46" dataDxfId="829" totalsRowDxfId="828"/>
    <tableColumn id="39" uniqueName="39" name="Aide _x000a_publique" totalsRowFunction="sum" queryTableFieldId="42" dataDxfId="827" totalsRowDxfId="826">
      <calculatedColumnFormula>Tableau_Lancer_la_requête_à_partir_de_Excel_Files102[[#This Row],[Aide Massif]]+Tableau_Lancer_la_requête_à_partir_de_Excel_Files102[[#This Row],[''Autre Public'']]</calculatedColumnFormula>
    </tableColumn>
    <tableColumn id="81" uniqueName="81" name="Tx Aide publique" queryTableFieldId="92" dataDxfId="825" totalsRowDxfId="824">
      <calculatedColumnFormula>Tableau_Lancer_la_requête_à_partir_de_Excel_Files102[[#This Row],[Aide 
publique]]/Tableau_Lancer_la_requête_à_partir_de_Excel_Files102[[#This Row],[''Coût total éligible'']]</calculatedColumnFormula>
    </tableColumn>
    <tableColumn id="40" uniqueName="40" name="Aide Massif" totalsRowFunction="sum" queryTableFieldId="43" dataDxfId="823" totalsRowDxfId="822">
      <calculatedColumnFormula>Tableau_Lancer_la_requête_à_partir_de_Excel_Files102[[#This Row],[''FEDER'']]+Tableau_Lancer_la_requête_à_partir_de_Excel_Files102[[#This Row],[Total Etat]]+Tableau_Lancer_la_requête_à_partir_de_Excel_Files102[[#This Row],[Total Régions]]+Tableau_Lancer_la_requête_à_partir_de_Excel_Files102[[#This Row],[Total Dpts]]</calculatedColumnFormula>
    </tableColumn>
    <tableColumn id="82" uniqueName="82" name="Tx_x000a_Aide Massif" queryTableFieldId="93" dataDxfId="821" totalsRowDxfId="820">
      <calculatedColumnFormula>Tableau_Lancer_la_requête_à_partir_de_Excel_Files102[[#This Row],[Aide Massif]]/Tableau_Lancer_la_requête_à_partir_de_Excel_Files102[[#This Row],[''Coût total éligible'']]</calculatedColumnFormula>
    </tableColumn>
    <tableColumn id="75" uniqueName="75" name="'FEDER'" totalsRowFunction="sum" queryTableFieldId="78" dataDxfId="819" totalsRowDxfId="818"/>
    <tableColumn id="7" uniqueName="7" name="Total Etat" totalsRowFunction="sum" queryTableFieldId="99" dataDxfId="817" totalsRowDxfId="816">
      <calculatedColumnFormula>Tableau_Lancer_la_requête_à_partir_de_Excel_Files102[[#This Row],[''FNADT '']]+Tableau_Lancer_la_requête_à_partir_de_Excel_Files102[[#This Row],[''Agriculture'']]</calculatedColumnFormula>
    </tableColumn>
    <tableColumn id="10" uniqueName="10" name="'FNADT '" queryTableFieldId="102" dataDxfId="815" totalsRowDxfId="814"/>
    <tableColumn id="46" uniqueName="46" name="'Agriculture'" totalsRowFunction="sum" queryTableFieldId="49" dataDxfId="813" totalsRowDxfId="812"/>
    <tableColumn id="8" uniqueName="8" name="Total Régions" totalsRowFunction="sum" queryTableFieldId="100" dataDxfId="811" totalsRowDxfId="810">
      <calculatedColumnFormula>Tableau_Lancer_la_requête_à_partir_de_Excel_Files102[[#This Row],[''ALPC'']]+Tableau_Lancer_la_requête_à_partir_de_Excel_Files102[[#This Row],[''AURA'']]+Tableau_Lancer_la_requête_à_partir_de_Excel_Files102[[#This Row],[''BFC'']]+Tableau_Lancer_la_requête_à_partir_de_Excel_Files102[[#This Row],[''LRMP'']]</calculatedColumnFormula>
    </tableColumn>
    <tableColumn id="48" uniqueName="48" name="'ALPC'" totalsRowFunction="sum" queryTableFieldId="51" dataDxfId="809" totalsRowDxfId="808"/>
    <tableColumn id="49" uniqueName="49" name="'AURA'" totalsRowFunction="sum" queryTableFieldId="52" dataDxfId="807" totalsRowDxfId="806"/>
    <tableColumn id="78" uniqueName="78" name="'BFC'" totalsRowFunction="sum" queryTableFieldId="81" dataDxfId="805" totalsRowDxfId="804"/>
    <tableColumn id="79" uniqueName="79" name="'LRMP'" totalsRowFunction="sum" queryTableFieldId="82" dataDxfId="803" totalsRowDxfId="802"/>
    <tableColumn id="9" uniqueName="9" name="Total Dpts" totalsRowFunction="sum" queryTableFieldId="101" dataDxfId="801" totalsRowDxfId="800">
      <calculatedColumnFormula>Tableau_Lancer_la_requête_à_partir_de_Excel_Files102[[#This Row],[''03'']]+Tableau_Lancer_la_requête_à_partir_de_Excel_Files102[[#This Row],[''07'']]+Tableau_Lancer_la_requête_à_partir_de_Excel_Files102[[#This Row],[''11'']]+Tableau_Lancer_la_requête_à_partir_de_Excel_Files102[[#This Row],[''12'']]+Tableau_Lancer_la_requête_à_partir_de_Excel_Files102[[#This Row],[''15'']]+Tableau_Lancer_la_requête_à_partir_de_Excel_Files102[[#This Row],[''19'']]+Tableau_Lancer_la_requête_à_partir_de_Excel_Files102[[#This Row],[''21'']]+Tableau_Lancer_la_requête_à_partir_de_Excel_Files102[[#This Row],[''23'']]+Tableau_Lancer_la_requête_à_partir_de_Excel_Files102[[#This Row],[''30'']]+Tableau_Lancer_la_requête_à_partir_de_Excel_Files102[[#This Row],[''34'']]+Tableau_Lancer_la_requête_à_partir_de_Excel_Files102[[#This Row],[''42'']]+Tableau_Lancer_la_requête_à_partir_de_Excel_Files102[[#This Row],[''43'']]+Tableau_Lancer_la_requête_à_partir_de_Excel_Files102[[#This Row],[''46'']]+Tableau_Lancer_la_requête_à_partir_de_Excel_Files102[[#This Row],[''48'']]+Tableau_Lancer_la_requête_à_partir_de_Excel_Files102[[#This Row],[''58'']]+Tableau_Lancer_la_requête_à_partir_de_Excel_Files102[[#This Row],[''63'']]+Tableau_Lancer_la_requête_à_partir_de_Excel_Files102[[#This Row],[''69'']]+Tableau_Lancer_la_requête_à_partir_de_Excel_Files102[[#This Row],[''71'']]+Tableau_Lancer_la_requête_à_partir_de_Excel_Files102[[#This Row],[''81'']]+Tableau_Lancer_la_requête_à_partir_de_Excel_Files102[[#This Row],[''82'']]+Tableau_Lancer_la_requête_à_partir_de_Excel_Files102[[#This Row],[''87'']]+Tableau_Lancer_la_requête_à_partir_de_Excel_Files102[[#This Row],[''89'']]</calculatedColumnFormula>
    </tableColumn>
    <tableColumn id="53" uniqueName="53" name="'03'" totalsRowFunction="sum" queryTableFieldId="56" dataDxfId="799" totalsRowDxfId="798"/>
    <tableColumn id="54" uniqueName="54" name="'07'" totalsRowFunction="sum" queryTableFieldId="57" dataDxfId="797" totalsRowDxfId="796"/>
    <tableColumn id="55" uniqueName="55" name="'11'" totalsRowFunction="sum" queryTableFieldId="58" dataDxfId="795" totalsRowDxfId="794"/>
    <tableColumn id="56" uniqueName="56" name="'12'" totalsRowFunction="sum" queryTableFieldId="59" dataDxfId="793" totalsRowDxfId="792"/>
    <tableColumn id="57" uniqueName="57" name="'15'" totalsRowFunction="sum" queryTableFieldId="60" dataDxfId="791" totalsRowDxfId="790"/>
    <tableColumn id="58" uniqueName="58" name="'19'" totalsRowFunction="sum" queryTableFieldId="61" dataDxfId="789" totalsRowDxfId="788"/>
    <tableColumn id="59" uniqueName="59" name="'21'" totalsRowFunction="sum" queryTableFieldId="62" dataDxfId="787" totalsRowDxfId="786"/>
    <tableColumn id="80" uniqueName="80" name="'23'" totalsRowFunction="sum" queryTableFieldId="85" dataDxfId="785" totalsRowDxfId="784"/>
    <tableColumn id="60" uniqueName="60" name="'30'" totalsRowFunction="sum" queryTableFieldId="63" dataDxfId="783" totalsRowDxfId="782"/>
    <tableColumn id="61" uniqueName="61" name="'34'" totalsRowFunction="sum" queryTableFieldId="64" dataDxfId="781" totalsRowDxfId="780"/>
    <tableColumn id="62" uniqueName="62" name="'42'" totalsRowFunction="sum" queryTableFieldId="65" dataDxfId="779" totalsRowDxfId="778"/>
    <tableColumn id="63" uniqueName="63" name="'43'" totalsRowFunction="sum" queryTableFieldId="66" dataDxfId="777" totalsRowDxfId="776"/>
    <tableColumn id="64" uniqueName="64" name="'46'" totalsRowFunction="sum" queryTableFieldId="67" dataDxfId="775" totalsRowDxfId="774"/>
    <tableColumn id="65" uniqueName="65" name="'48'" totalsRowFunction="sum" queryTableFieldId="68" dataDxfId="773" totalsRowDxfId="772"/>
    <tableColumn id="66" uniqueName="66" name="'58'" totalsRowFunction="sum" queryTableFieldId="69" dataDxfId="771" totalsRowDxfId="770"/>
    <tableColumn id="67" uniqueName="67" name="'63'" totalsRowFunction="sum" queryTableFieldId="70" dataDxfId="769" totalsRowDxfId="768"/>
    <tableColumn id="68" uniqueName="68" name="'69'" totalsRowFunction="sum" queryTableFieldId="71" dataDxfId="767" totalsRowDxfId="766"/>
    <tableColumn id="69" uniqueName="69" name="'71'" totalsRowFunction="sum" queryTableFieldId="72" dataDxfId="765" totalsRowDxfId="764"/>
    <tableColumn id="70" uniqueName="70" name="'81'" totalsRowFunction="sum" queryTableFieldId="73" dataDxfId="763" totalsRowDxfId="762"/>
    <tableColumn id="71" uniqueName="71" name="'82'" totalsRowFunction="sum" queryTableFieldId="74" dataDxfId="761" totalsRowDxfId="760"/>
    <tableColumn id="72" uniqueName="72" name="'87'" totalsRowFunction="sum" queryTableFieldId="75" dataDxfId="759" totalsRowDxfId="758"/>
    <tableColumn id="73" uniqueName="73" name="'89'" totalsRowFunction="sum" queryTableFieldId="76" dataDxfId="757" totalsRowDxfId="756"/>
    <tableColumn id="76" uniqueName="76" name="'Autre Public'" totalsRowFunction="sum" queryTableFieldId="79" dataDxfId="755" totalsRowDxfId="754"/>
    <tableColumn id="4" uniqueName="4" name="Avis Prog" queryTableFieldId="104" dataDxfId="753" totalsRowDxfId="752"/>
  </tableColumns>
  <tableStyleInfo name="TableStyleMedium6" showFirstColumn="0" showLastColumn="0" showRowStripes="1" showColumnStripes="0"/>
</table>
</file>

<file path=xl/tables/table2.xml><?xml version="1.0" encoding="utf-8"?>
<table xmlns="http://schemas.openxmlformats.org/spreadsheetml/2006/main" id="4" name="Tableau_Lancer_la_requête_à_partir_de_Excel_Files1025" displayName="Tableau_Lancer_la_requête_à_partir_de_Excel_Files1025" ref="A6:AP18" tableType="queryTable" totalsRowCount="1" headerRowDxfId="739" dataDxfId="738" totalsRowDxfId="737">
  <autoFilter ref="A6:AP17"/>
  <sortState ref="A7:AQ17">
    <sortCondition ref="A6:A18"/>
  </sortState>
  <tableColumns count="42">
    <tableColumn id="1" uniqueName="1" name="ID_Synergie" totalsRowLabel="Total" queryTableFieldId="1" dataDxfId="736" totalsRowDxfId="735"/>
    <tableColumn id="2" uniqueName="2" name="Nom_MO" totalsRowFunction="count" queryTableFieldId="2" dataDxfId="734" totalsRowDxfId="733"/>
    <tableColumn id="3" uniqueName="3" name="Intitule_Operation" queryTableFieldId="3" dataDxfId="732" totalsRowDxfId="731"/>
    <tableColumn id="43" uniqueName="43" name="'Coût total éligible'" totalsRowFunction="sum" queryTableFieldId="46" dataDxfId="730" totalsRowDxfId="729"/>
    <tableColumn id="39" uniqueName="39" name="Aide _x000a_publique" totalsRowFunction="sum" queryTableFieldId="42" dataDxfId="728" totalsRowDxfId="727">
      <calculatedColumnFormula>Tableau_Lancer_la_requête_à_partir_de_Excel_Files1025[[#This Row],[Aide Massif]]+Tableau_Lancer_la_requête_à_partir_de_Excel_Files1025[[#This Row],[''Autre Public'']]</calculatedColumnFormula>
    </tableColumn>
    <tableColumn id="81" uniqueName="81" name="Tx Aide publique" queryTableFieldId="92" dataDxfId="726" totalsRowDxfId="725">
      <calculatedColumnFormula>Tableau_Lancer_la_requête_à_partir_de_Excel_Files1025[[#This Row],[Aide 
publique]]/Tableau_Lancer_la_requête_à_partir_de_Excel_Files1025[[#This Row],[''Coût total éligible'']]</calculatedColumnFormula>
    </tableColumn>
    <tableColumn id="40" uniqueName="40" name="Aide Massif" totalsRowFunction="sum" queryTableFieldId="43" dataDxfId="724" totalsRowDxfId="723">
      <calculatedColumnFormula>Tableau_Lancer_la_requête_à_partir_de_Excel_Files1025[[#This Row],[''FEDER'']]+Tableau_Lancer_la_requête_à_partir_de_Excel_Files1025[[#This Row],[Total Etat]]+Tableau_Lancer_la_requête_à_partir_de_Excel_Files1025[[#This Row],[Total Régions]]+Tableau_Lancer_la_requête_à_partir_de_Excel_Files1025[[#This Row],[Total Dpts]]</calculatedColumnFormula>
    </tableColumn>
    <tableColumn id="82" uniqueName="82" name="Tx_x000a_Aide Massif" queryTableFieldId="93" dataDxfId="722" totalsRowDxfId="721">
      <calculatedColumnFormula>Tableau_Lancer_la_requête_à_partir_de_Excel_Files1025[[#This Row],[Aide Massif]]/Tableau_Lancer_la_requête_à_partir_de_Excel_Files1025[[#This Row],[''Coût total éligible'']]</calculatedColumnFormula>
    </tableColumn>
    <tableColumn id="75" uniqueName="75" name="'FEDER'" totalsRowFunction="sum" queryTableFieldId="78" dataDxfId="720" totalsRowDxfId="719"/>
    <tableColumn id="7" uniqueName="7" name="Total Etat" totalsRowFunction="sum" queryTableFieldId="99" dataDxfId="718" totalsRowDxfId="717">
      <calculatedColumnFormula>Tableau_Lancer_la_requête_à_partir_de_Excel_Files1025[[#This Row],[''FNADT '']]+Tableau_Lancer_la_requête_à_partir_de_Excel_Files1025[[#This Row],[''Agriculture'']]</calculatedColumnFormula>
    </tableColumn>
    <tableColumn id="11" uniqueName="11" name="'FNADT '" queryTableFieldId="104" dataDxfId="716" totalsRowDxfId="715"/>
    <tableColumn id="46" uniqueName="46" name="'Agriculture'" totalsRowFunction="sum" queryTableFieldId="49" dataDxfId="714" totalsRowDxfId="713"/>
    <tableColumn id="8" uniqueName="8" name="Total Régions" totalsRowFunction="sum" queryTableFieldId="100" dataDxfId="712" totalsRowDxfId="711">
      <calculatedColumnFormula>Tableau_Lancer_la_requête_à_partir_de_Excel_Files1025[[#This Row],[''ALPC'']]+Tableau_Lancer_la_requête_à_partir_de_Excel_Files1025[[#This Row],[''AURA'']]+Tableau_Lancer_la_requête_à_partir_de_Excel_Files1025[[#This Row],[''BFC'']]+Tableau_Lancer_la_requête_à_partir_de_Excel_Files1025[[#This Row],[''LRMP'']]</calculatedColumnFormula>
    </tableColumn>
    <tableColumn id="48" uniqueName="48" name="'ALPC'" totalsRowFunction="sum" queryTableFieldId="51" dataDxfId="710" totalsRowDxfId="709"/>
    <tableColumn id="49" uniqueName="49" name="'AURA'" totalsRowFunction="sum" queryTableFieldId="52" dataDxfId="708" totalsRowDxfId="707"/>
    <tableColumn id="78" uniqueName="78" name="'BFC'" totalsRowFunction="sum" queryTableFieldId="81" dataDxfId="706" totalsRowDxfId="705"/>
    <tableColumn id="79" uniqueName="79" name="'LRMP'" totalsRowFunction="sum" queryTableFieldId="82" dataDxfId="704" totalsRowDxfId="703"/>
    <tableColumn id="9" uniqueName="9" name="Total Dpts" totalsRowFunction="sum" queryTableFieldId="101" dataDxfId="702" totalsRowDxfId="701">
      <calculatedColumnFormula>Tableau_Lancer_la_requête_à_partir_de_Excel_Files1025[[#This Row],[''03'']]+Tableau_Lancer_la_requête_à_partir_de_Excel_Files1025[[#This Row],[''07'']]+Tableau_Lancer_la_requête_à_partir_de_Excel_Files1025[[#This Row],[''11'']]+Tableau_Lancer_la_requête_à_partir_de_Excel_Files1025[[#This Row],[''12'']]+Tableau_Lancer_la_requête_à_partir_de_Excel_Files1025[[#This Row],[''15'']]+Tableau_Lancer_la_requête_à_partir_de_Excel_Files1025[[#This Row],[''19'']]+Tableau_Lancer_la_requête_à_partir_de_Excel_Files1025[[#This Row],[''21'']]+Tableau_Lancer_la_requête_à_partir_de_Excel_Files1025[[#This Row],[''23'']]+Tableau_Lancer_la_requête_à_partir_de_Excel_Files1025[[#This Row],[''30'']]+Tableau_Lancer_la_requête_à_partir_de_Excel_Files1025[[#This Row],[''34'']]+Tableau_Lancer_la_requête_à_partir_de_Excel_Files1025[[#This Row],[''42'']]+Tableau_Lancer_la_requête_à_partir_de_Excel_Files1025[[#This Row],[''43'']]+Tableau_Lancer_la_requête_à_partir_de_Excel_Files1025[[#This Row],[''46'']]+Tableau_Lancer_la_requête_à_partir_de_Excel_Files1025[[#This Row],[''48'']]+Tableau_Lancer_la_requête_à_partir_de_Excel_Files1025[[#This Row],[''58'']]+Tableau_Lancer_la_requête_à_partir_de_Excel_Files1025[[#This Row],[''63'']]+Tableau_Lancer_la_requête_à_partir_de_Excel_Files1025[[#This Row],[''69'']]+Tableau_Lancer_la_requête_à_partir_de_Excel_Files1025[[#This Row],[''71'']]+Tableau_Lancer_la_requête_à_partir_de_Excel_Files1025[[#This Row],[''81'']]+Tableau_Lancer_la_requête_à_partir_de_Excel_Files1025[[#This Row],[''82'']]+Tableau_Lancer_la_requête_à_partir_de_Excel_Files1025[[#This Row],[''87'']]+Tableau_Lancer_la_requête_à_partir_de_Excel_Files1025[[#This Row],[''89'']]</calculatedColumnFormula>
    </tableColumn>
    <tableColumn id="53" uniqueName="53" name="'03'" totalsRowFunction="sum" queryTableFieldId="56" dataDxfId="700" totalsRowDxfId="699"/>
    <tableColumn id="54" uniqueName="54" name="'07'" totalsRowFunction="sum" queryTableFieldId="57" dataDxfId="698" totalsRowDxfId="697"/>
    <tableColumn id="55" uniqueName="55" name="'11'" totalsRowFunction="sum" queryTableFieldId="58" dataDxfId="696" totalsRowDxfId="695"/>
    <tableColumn id="56" uniqueName="56" name="'12'" totalsRowFunction="sum" queryTableFieldId="59" dataDxfId="694" totalsRowDxfId="693"/>
    <tableColumn id="57" uniqueName="57" name="'15'" totalsRowFunction="sum" queryTableFieldId="60" dataDxfId="692" totalsRowDxfId="691"/>
    <tableColumn id="58" uniqueName="58" name="'19'" totalsRowFunction="sum" queryTableFieldId="61" dataDxfId="690" totalsRowDxfId="689"/>
    <tableColumn id="59" uniqueName="59" name="'21'" totalsRowFunction="sum" queryTableFieldId="62" dataDxfId="688" totalsRowDxfId="687"/>
    <tableColumn id="80" uniqueName="80" name="'23'" totalsRowFunction="sum" queryTableFieldId="85" dataDxfId="686" totalsRowDxfId="685"/>
    <tableColumn id="60" uniqueName="60" name="'30'" totalsRowFunction="sum" queryTableFieldId="63" dataDxfId="684" totalsRowDxfId="683"/>
    <tableColumn id="61" uniqueName="61" name="'34'" totalsRowFunction="sum" queryTableFieldId="64" dataDxfId="682" totalsRowDxfId="681"/>
    <tableColumn id="62" uniqueName="62" name="'42'" totalsRowFunction="sum" queryTableFieldId="65" dataDxfId="680" totalsRowDxfId="679"/>
    <tableColumn id="63" uniqueName="63" name="'43'" totalsRowFunction="sum" queryTableFieldId="66" dataDxfId="678" totalsRowDxfId="677"/>
    <tableColumn id="64" uniqueName="64" name="'46'" totalsRowFunction="sum" queryTableFieldId="67" dataDxfId="676" totalsRowDxfId="675"/>
    <tableColumn id="65" uniqueName="65" name="'48'" totalsRowFunction="sum" queryTableFieldId="68" dataDxfId="674" totalsRowDxfId="673"/>
    <tableColumn id="66" uniqueName="66" name="'58'" totalsRowFunction="sum" queryTableFieldId="69" dataDxfId="672" totalsRowDxfId="671"/>
    <tableColumn id="67" uniqueName="67" name="'63'" totalsRowFunction="sum" queryTableFieldId="70" dataDxfId="670" totalsRowDxfId="669"/>
    <tableColumn id="68" uniqueName="68" name="'69'" totalsRowFunction="sum" queryTableFieldId="71" dataDxfId="668" totalsRowDxfId="667"/>
    <tableColumn id="69" uniqueName="69" name="'71'" totalsRowFunction="sum" queryTableFieldId="72" dataDxfId="666" totalsRowDxfId="665"/>
    <tableColumn id="70" uniqueName="70" name="'81'" totalsRowFunction="sum" queryTableFieldId="73" dataDxfId="664" totalsRowDxfId="663"/>
    <tableColumn id="71" uniqueName="71" name="'82'" totalsRowFunction="sum" queryTableFieldId="74" dataDxfId="662" totalsRowDxfId="661"/>
    <tableColumn id="72" uniqueName="72" name="'87'" totalsRowFunction="sum" queryTableFieldId="75" dataDxfId="660" totalsRowDxfId="659"/>
    <tableColumn id="73" uniqueName="73" name="'89'" totalsRowFunction="sum" queryTableFieldId="76" dataDxfId="658" totalsRowDxfId="657"/>
    <tableColumn id="76" uniqueName="76" name="'Autre Public'" totalsRowFunction="sum" queryTableFieldId="79" dataDxfId="656" totalsRowDxfId="655"/>
    <tableColumn id="4" uniqueName="4" name="Avis Prog" queryTableFieldId="95" dataDxfId="654" totalsRowDxfId="653"/>
  </tableColumns>
  <tableStyleInfo name="TableStyleMedium6" showFirstColumn="0" showLastColumn="0" showRowStripes="1" showColumnStripes="0"/>
</table>
</file>

<file path=xl/tables/table3.xml><?xml version="1.0" encoding="utf-8"?>
<table xmlns="http://schemas.openxmlformats.org/spreadsheetml/2006/main" id="5" name="Tableau_Lancer_la_requête_à_partir_de_Excel_Files10256" displayName="Tableau_Lancer_la_requête_à_partir_de_Excel_Files10256" ref="A6:AP18" tableType="queryTable" totalsRowCount="1" headerRowDxfId="644" dataDxfId="643" totalsRowDxfId="642">
  <autoFilter ref="A6:AP17"/>
  <sortState ref="A7:AP17">
    <sortCondition ref="A6:A18"/>
  </sortState>
  <tableColumns count="42">
    <tableColumn id="1" uniqueName="1" name="ID_Synergie" totalsRowLabel="Total" queryTableFieldId="1" dataDxfId="641" totalsRowDxfId="640"/>
    <tableColumn id="2" uniqueName="2" name="Nom_MO" totalsRowFunction="count" queryTableFieldId="2" dataDxfId="639" totalsRowDxfId="638"/>
    <tableColumn id="3" uniqueName="3" name="Intitule_Operation" queryTableFieldId="3" dataDxfId="637" totalsRowDxfId="636"/>
    <tableColumn id="43" uniqueName="43" name="'Coût total éligible'" totalsRowFunction="sum" queryTableFieldId="46" dataDxfId="635" totalsRowDxfId="634"/>
    <tableColumn id="39" uniqueName="39" name="Aide _x000a_publique" totalsRowFunction="sum" queryTableFieldId="42" dataDxfId="633" totalsRowDxfId="632">
      <calculatedColumnFormula>Tableau_Lancer_la_requête_à_partir_de_Excel_Files10256[[#This Row],[Aide Massif]]+Tableau_Lancer_la_requête_à_partir_de_Excel_Files10256[[#This Row],[''Autre Public'']]</calculatedColumnFormula>
    </tableColumn>
    <tableColumn id="81" uniqueName="81" name="Tx Aide publique" queryTableFieldId="92" dataDxfId="631" totalsRowDxfId="630">
      <calculatedColumnFormula>Tableau_Lancer_la_requête_à_partir_de_Excel_Files10256[[#This Row],[Aide 
publique]]/Tableau_Lancer_la_requête_à_partir_de_Excel_Files10256[[#This Row],[''Coût total éligible'']]</calculatedColumnFormula>
    </tableColumn>
    <tableColumn id="40" uniqueName="40" name="Aide Massif" totalsRowFunction="sum" queryTableFieldId="43" dataDxfId="629" totalsRowDxfId="628">
      <calculatedColumnFormula>Tableau_Lancer_la_requête_à_partir_de_Excel_Files10256[[#This Row],[''FEDER'']]+Tableau_Lancer_la_requête_à_partir_de_Excel_Files10256[[#This Row],[Total Etat]]+Tableau_Lancer_la_requête_à_partir_de_Excel_Files10256[[#This Row],[Total Régions]]+Tableau_Lancer_la_requête_à_partir_de_Excel_Files10256[[#This Row],[Total Dpts]]</calculatedColumnFormula>
    </tableColumn>
    <tableColumn id="82" uniqueName="82" name="Tx_x000a_Aide Massif" queryTableFieldId="93" dataDxfId="627" totalsRowDxfId="626">
      <calculatedColumnFormula>Tableau_Lancer_la_requête_à_partir_de_Excel_Files10256[[#This Row],[Aide Massif]]/Tableau_Lancer_la_requête_à_partir_de_Excel_Files10256[[#This Row],[''Coût total éligible'']]</calculatedColumnFormula>
    </tableColumn>
    <tableColumn id="75" uniqueName="75" name="'FEDER'" totalsRowFunction="sum" queryTableFieldId="78" dataDxfId="625" totalsRowDxfId="624"/>
    <tableColumn id="7" uniqueName="7" name="Total Etat" totalsRowFunction="sum" queryTableFieldId="99" dataDxfId="623" totalsRowDxfId="622">
      <calculatedColumnFormula>Tableau_Lancer_la_requête_à_partir_de_Excel_Files10256[[#This Row],[''FNADT '']]+Tableau_Lancer_la_requête_à_partir_de_Excel_Files10256[[#This Row],[''Agriculture'']]</calculatedColumnFormula>
    </tableColumn>
    <tableColumn id="11" uniqueName="11" name="'FNADT '" queryTableFieldId="104" dataDxfId="621" totalsRowDxfId="620"/>
    <tableColumn id="46" uniqueName="46" name="'Agriculture'" totalsRowFunction="sum" queryTableFieldId="49" dataDxfId="619" totalsRowDxfId="618"/>
    <tableColumn id="8" uniqueName="8" name="Total Régions" totalsRowFunction="sum" queryTableFieldId="100" dataDxfId="617" totalsRowDxfId="616">
      <calculatedColumnFormula>Tableau_Lancer_la_requête_à_partir_de_Excel_Files10256[[#This Row],[''ALPC'']]+Tableau_Lancer_la_requête_à_partir_de_Excel_Files10256[[#This Row],[''AURA'']]+Tableau_Lancer_la_requête_à_partir_de_Excel_Files10256[[#This Row],[''BFC'']]+Tableau_Lancer_la_requête_à_partir_de_Excel_Files10256[[#This Row],[''LRMP'']]</calculatedColumnFormula>
    </tableColumn>
    <tableColumn id="48" uniqueName="48" name="'ALPC'" totalsRowFunction="sum" queryTableFieldId="51" dataDxfId="615" totalsRowDxfId="614"/>
    <tableColumn id="49" uniqueName="49" name="'AURA'" totalsRowFunction="sum" queryTableFieldId="52" dataDxfId="613" totalsRowDxfId="612"/>
    <tableColumn id="78" uniqueName="78" name="'BFC'" totalsRowFunction="sum" queryTableFieldId="81" dataDxfId="611" totalsRowDxfId="610"/>
    <tableColumn id="79" uniqueName="79" name="'LRMP'" totalsRowFunction="sum" queryTableFieldId="82" dataDxfId="609" totalsRowDxfId="608"/>
    <tableColumn id="9" uniqueName="9" name="Total Dpts" totalsRowFunction="sum" queryTableFieldId="101" dataDxfId="607" totalsRowDxfId="606">
      <calculatedColumnFormula>Tableau_Lancer_la_requête_à_partir_de_Excel_Files10256[[#This Row],[''03'']]+Tableau_Lancer_la_requête_à_partir_de_Excel_Files10256[[#This Row],[''07'']]+Tableau_Lancer_la_requête_à_partir_de_Excel_Files10256[[#This Row],[''11'']]+Tableau_Lancer_la_requête_à_partir_de_Excel_Files10256[[#This Row],[''12'']]+Tableau_Lancer_la_requête_à_partir_de_Excel_Files10256[[#This Row],[''15'']]+Tableau_Lancer_la_requête_à_partir_de_Excel_Files10256[[#This Row],[''19'']]+Tableau_Lancer_la_requête_à_partir_de_Excel_Files10256[[#This Row],[''21'']]+Tableau_Lancer_la_requête_à_partir_de_Excel_Files10256[[#This Row],[''23'']]+Tableau_Lancer_la_requête_à_partir_de_Excel_Files10256[[#This Row],[''30'']]+Tableau_Lancer_la_requête_à_partir_de_Excel_Files10256[[#This Row],[''34'']]+Tableau_Lancer_la_requête_à_partir_de_Excel_Files10256[[#This Row],[''42'']]+Tableau_Lancer_la_requête_à_partir_de_Excel_Files10256[[#This Row],[''43'']]+Tableau_Lancer_la_requête_à_partir_de_Excel_Files10256[[#This Row],[''46'']]+Tableau_Lancer_la_requête_à_partir_de_Excel_Files10256[[#This Row],[''48'']]+Tableau_Lancer_la_requête_à_partir_de_Excel_Files10256[[#This Row],[''58'']]+Tableau_Lancer_la_requête_à_partir_de_Excel_Files10256[[#This Row],[''63'']]+Tableau_Lancer_la_requête_à_partir_de_Excel_Files10256[[#This Row],[''69'']]+Tableau_Lancer_la_requête_à_partir_de_Excel_Files10256[[#This Row],[''71'']]+Tableau_Lancer_la_requête_à_partir_de_Excel_Files10256[[#This Row],[''81'']]+Tableau_Lancer_la_requête_à_partir_de_Excel_Files10256[[#This Row],[''82'']]+Tableau_Lancer_la_requête_à_partir_de_Excel_Files10256[[#This Row],[''87'']]+Tableau_Lancer_la_requête_à_partir_de_Excel_Files10256[[#This Row],[''89'']]</calculatedColumnFormula>
    </tableColumn>
    <tableColumn id="53" uniqueName="53" name="'03'" totalsRowFunction="sum" queryTableFieldId="56" dataDxfId="605" totalsRowDxfId="604"/>
    <tableColumn id="54" uniqueName="54" name="'07'" totalsRowFunction="sum" queryTableFieldId="57" dataDxfId="603" totalsRowDxfId="602"/>
    <tableColumn id="55" uniqueName="55" name="'11'" totalsRowFunction="sum" queryTableFieldId="58" dataDxfId="601" totalsRowDxfId="600"/>
    <tableColumn id="56" uniqueName="56" name="'12'" totalsRowFunction="sum" queryTableFieldId="59" dataDxfId="599" totalsRowDxfId="598"/>
    <tableColumn id="57" uniqueName="57" name="'15'" totalsRowFunction="sum" queryTableFieldId="60" dataDxfId="597" totalsRowDxfId="596"/>
    <tableColumn id="58" uniqueName="58" name="'19'" totalsRowFunction="sum" queryTableFieldId="61" dataDxfId="595" totalsRowDxfId="594"/>
    <tableColumn id="59" uniqueName="59" name="'21'" totalsRowFunction="sum" queryTableFieldId="62" dataDxfId="593" totalsRowDxfId="592"/>
    <tableColumn id="80" uniqueName="80" name="'23'" totalsRowFunction="sum" queryTableFieldId="85" dataDxfId="591" totalsRowDxfId="590"/>
    <tableColumn id="60" uniqueName="60" name="'30'" totalsRowFunction="sum" queryTableFieldId="63" dataDxfId="589" totalsRowDxfId="588"/>
    <tableColumn id="61" uniqueName="61" name="'34'" totalsRowFunction="sum" queryTableFieldId="64" dataDxfId="587" totalsRowDxfId="586"/>
    <tableColumn id="62" uniqueName="62" name="'42'" totalsRowFunction="sum" queryTableFieldId="65" dataDxfId="585" totalsRowDxfId="584"/>
    <tableColumn id="63" uniqueName="63" name="'43'" totalsRowFunction="sum" queryTableFieldId="66" dataDxfId="583" totalsRowDxfId="582"/>
    <tableColumn id="64" uniqueName="64" name="'46'" totalsRowFunction="sum" queryTableFieldId="67" dataDxfId="581" totalsRowDxfId="580"/>
    <tableColumn id="65" uniqueName="65" name="'48'" totalsRowFunction="sum" queryTableFieldId="68" dataDxfId="579" totalsRowDxfId="578"/>
    <tableColumn id="66" uniqueName="66" name="'58'" totalsRowFunction="sum" queryTableFieldId="69" dataDxfId="577" totalsRowDxfId="576"/>
    <tableColumn id="67" uniqueName="67" name="'63'" totalsRowFunction="sum" queryTableFieldId="70" dataDxfId="575" totalsRowDxfId="574"/>
    <tableColumn id="68" uniqueName="68" name="'69'" totalsRowFunction="sum" queryTableFieldId="71" dataDxfId="573" totalsRowDxfId="572"/>
    <tableColumn id="69" uniqueName="69" name="'71'" totalsRowFunction="sum" queryTableFieldId="72" dataDxfId="571" totalsRowDxfId="570"/>
    <tableColumn id="70" uniqueName="70" name="'81'" totalsRowFunction="sum" queryTableFieldId="73" dataDxfId="569" totalsRowDxfId="568"/>
    <tableColumn id="71" uniqueName="71" name="'82'" totalsRowFunction="sum" queryTableFieldId="74" dataDxfId="567" totalsRowDxfId="566"/>
    <tableColumn id="72" uniqueName="72" name="'87'" totalsRowFunction="sum" queryTableFieldId="75" dataDxfId="565" totalsRowDxfId="564"/>
    <tableColumn id="73" uniqueName="73" name="'89'" totalsRowFunction="sum" queryTableFieldId="76" dataDxfId="563" totalsRowDxfId="562"/>
    <tableColumn id="76" uniqueName="76" name="'Autre Public'" totalsRowFunction="sum" queryTableFieldId="79" dataDxfId="561" totalsRowDxfId="560"/>
    <tableColumn id="4" uniqueName="4" name="Avis Prog" queryTableFieldId="95" dataDxfId="559" totalsRowDxfId="558"/>
  </tableColumns>
  <tableStyleInfo name="TableStyleMedium6" showFirstColumn="0" showLastColumn="0" showRowStripes="1" showColumnStripes="0"/>
</table>
</file>

<file path=xl/tables/table4.xml><?xml version="1.0" encoding="utf-8"?>
<table xmlns="http://schemas.openxmlformats.org/spreadsheetml/2006/main" id="6" name="Tableau_Lancer_la_requête_à_partir_de_Excel_Files102567" displayName="Tableau_Lancer_la_requête_à_partir_de_Excel_Files102567" ref="A6:AQ22" tableType="queryTable" totalsRowCount="1" headerRowDxfId="549" dataDxfId="548" totalsRowDxfId="547">
  <autoFilter ref="A6:AQ21"/>
  <sortState ref="A7:AR21">
    <sortCondition ref="A7:A21"/>
    <sortCondition ref="B7:B21"/>
  </sortState>
  <tableColumns count="43">
    <tableColumn id="6" uniqueName="6" name="'Thématique '" queryTableFieldId="109" dataDxfId="546" totalsRowDxfId="545"/>
    <tableColumn id="1" uniqueName="1" name="ID_Synergie" totalsRowLabel="Total" queryTableFieldId="1" dataDxfId="544" totalsRowDxfId="543"/>
    <tableColumn id="2" uniqueName="2" name="Nom_MO" totalsRowFunction="count" queryTableFieldId="2" dataDxfId="542" totalsRowDxfId="541"/>
    <tableColumn id="3" uniqueName="3" name="Intitule_Operation" queryTableFieldId="3" dataDxfId="540" totalsRowDxfId="539"/>
    <tableColumn id="43" uniqueName="43" name="'Coût total éligible'" totalsRowFunction="sum" queryTableFieldId="46" dataDxfId="538" totalsRowDxfId="537"/>
    <tableColumn id="39" uniqueName="39" name="Aide _x000a_publique" totalsRowFunction="sum" queryTableFieldId="42" dataDxfId="536" totalsRowDxfId="535">
      <calculatedColumnFormula>Tableau_Lancer_la_requête_à_partir_de_Excel_Files102567[[#This Row],[Aide Massif]]+Tableau_Lancer_la_requête_à_partir_de_Excel_Files102567[[#This Row],[''Autre Public'']]</calculatedColumnFormula>
    </tableColumn>
    <tableColumn id="81" uniqueName="81" name="Tx Aide publique" queryTableFieldId="92" dataDxfId="534" totalsRowDxfId="533">
      <calculatedColumnFormula>Tableau_Lancer_la_requête_à_partir_de_Excel_Files102567[[#This Row],[Aide 
publique]]/Tableau_Lancer_la_requête_à_partir_de_Excel_Files102567[[#This Row],[''Coût total éligible'']]</calculatedColumnFormula>
    </tableColumn>
    <tableColumn id="40" uniqueName="40" name="Aide Massif" totalsRowFunction="sum" queryTableFieldId="43" dataDxfId="532" totalsRowDxfId="531">
      <calculatedColumnFormula>Tableau_Lancer_la_requête_à_partir_de_Excel_Files102567[[#This Row],[''FEDER'']]+Tableau_Lancer_la_requête_à_partir_de_Excel_Files102567[[#This Row],[Total Etat]]+Tableau_Lancer_la_requête_à_partir_de_Excel_Files102567[[#This Row],[Total Régions]]+Tableau_Lancer_la_requête_à_partir_de_Excel_Files102567[[#This Row],[Total Dpts]]</calculatedColumnFormula>
    </tableColumn>
    <tableColumn id="82" uniqueName="82" name="Tx_x000a_Aide Massif" queryTableFieldId="93" dataDxfId="530" totalsRowDxfId="529">
      <calculatedColumnFormula>Tableau_Lancer_la_requête_à_partir_de_Excel_Files102567[[#This Row],[Aide Massif]]/Tableau_Lancer_la_requête_à_partir_de_Excel_Files102567[[#This Row],[''Coût total éligible'']]</calculatedColumnFormula>
    </tableColumn>
    <tableColumn id="75" uniqueName="75" name="'FEDER'" totalsRowFunction="sum" queryTableFieldId="78" dataDxfId="528" totalsRowDxfId="527"/>
    <tableColumn id="7" uniqueName="7" name="Total Etat" totalsRowFunction="sum" queryTableFieldId="99" dataDxfId="526" totalsRowDxfId="525">
      <calculatedColumnFormula>Tableau_Lancer_la_requête_à_partir_de_Excel_Files102567[[#This Row],[''FNADT '']]+Tableau_Lancer_la_requête_à_partir_de_Excel_Files102567[[#This Row],[''Agriculture'']]</calculatedColumnFormula>
    </tableColumn>
    <tableColumn id="11" uniqueName="11" name="'FNADT '" queryTableFieldId="104" dataDxfId="524" totalsRowDxfId="523"/>
    <tableColumn id="46" uniqueName="46" name="'Agriculture'" totalsRowFunction="sum" queryTableFieldId="49" dataDxfId="522" totalsRowDxfId="521"/>
    <tableColumn id="8" uniqueName="8" name="Total Régions" totalsRowFunction="sum" queryTableFieldId="100" dataDxfId="520" totalsRowDxfId="519">
      <calculatedColumnFormula>Tableau_Lancer_la_requête_à_partir_de_Excel_Files102567[[#This Row],[''ALPC'']]+Tableau_Lancer_la_requête_à_partir_de_Excel_Files102567[[#This Row],[''AURA'']]+Tableau_Lancer_la_requête_à_partir_de_Excel_Files102567[[#This Row],[''BFC'']]+Tableau_Lancer_la_requête_à_partir_de_Excel_Files102567[[#This Row],[''LRMP'']]</calculatedColumnFormula>
    </tableColumn>
    <tableColumn id="48" uniqueName="48" name="'ALPC'" totalsRowFunction="sum" queryTableFieldId="51" dataDxfId="518" totalsRowDxfId="517"/>
    <tableColumn id="49" uniqueName="49" name="'AURA'" totalsRowFunction="sum" queryTableFieldId="52" dataDxfId="516" totalsRowDxfId="515"/>
    <tableColumn id="78" uniqueName="78" name="'BFC'" totalsRowFunction="sum" queryTableFieldId="81" dataDxfId="514" totalsRowDxfId="513"/>
    <tableColumn id="79" uniqueName="79" name="'LRMP'" totalsRowFunction="sum" queryTableFieldId="82" dataDxfId="512" totalsRowDxfId="511"/>
    <tableColumn id="9" uniqueName="9" name="Total Dpts" totalsRowFunction="sum" queryTableFieldId="101" dataDxfId="510" totalsRowDxfId="509">
      <calculatedColumnFormula>Tableau_Lancer_la_requête_à_partir_de_Excel_Files102567[[#This Row],[''03'']]+Tableau_Lancer_la_requête_à_partir_de_Excel_Files102567[[#This Row],[''07'']]+Tableau_Lancer_la_requête_à_partir_de_Excel_Files102567[[#This Row],[''11'']]+Tableau_Lancer_la_requête_à_partir_de_Excel_Files102567[[#This Row],[''12'']]+Tableau_Lancer_la_requête_à_partir_de_Excel_Files102567[[#This Row],[''15'']]+Tableau_Lancer_la_requête_à_partir_de_Excel_Files102567[[#This Row],[''19'']]+Tableau_Lancer_la_requête_à_partir_de_Excel_Files102567[[#This Row],[''21'']]+Tableau_Lancer_la_requête_à_partir_de_Excel_Files102567[[#This Row],[''23'']]+Tableau_Lancer_la_requête_à_partir_de_Excel_Files102567[[#This Row],[''30'']]+Tableau_Lancer_la_requête_à_partir_de_Excel_Files102567[[#This Row],[''34'']]+Tableau_Lancer_la_requête_à_partir_de_Excel_Files102567[[#This Row],[''42'']]+Tableau_Lancer_la_requête_à_partir_de_Excel_Files102567[[#This Row],[''43'']]+Tableau_Lancer_la_requête_à_partir_de_Excel_Files102567[[#This Row],[''46'']]+Tableau_Lancer_la_requête_à_partir_de_Excel_Files102567[[#This Row],[''48'']]+Tableau_Lancer_la_requête_à_partir_de_Excel_Files102567[[#This Row],[''58'']]+Tableau_Lancer_la_requête_à_partir_de_Excel_Files102567[[#This Row],[''63'']]+Tableau_Lancer_la_requête_à_partir_de_Excel_Files102567[[#This Row],[''69'']]+Tableau_Lancer_la_requête_à_partir_de_Excel_Files102567[[#This Row],[''71'']]+Tableau_Lancer_la_requête_à_partir_de_Excel_Files102567[[#This Row],[''81'']]+Tableau_Lancer_la_requête_à_partir_de_Excel_Files102567[[#This Row],[''82'']]+Tableau_Lancer_la_requête_à_partir_de_Excel_Files102567[[#This Row],[''87'']]+Tableau_Lancer_la_requête_à_partir_de_Excel_Files102567[[#This Row],[''89'']]</calculatedColumnFormula>
    </tableColumn>
    <tableColumn id="53" uniqueName="53" name="'03'" totalsRowFunction="sum" queryTableFieldId="56" dataDxfId="508" totalsRowDxfId="507"/>
    <tableColumn id="54" uniqueName="54" name="'07'" totalsRowFunction="sum" queryTableFieldId="57" dataDxfId="506" totalsRowDxfId="505"/>
    <tableColumn id="55" uniqueName="55" name="'11'" totalsRowFunction="sum" queryTableFieldId="58" dataDxfId="504" totalsRowDxfId="503"/>
    <tableColumn id="56" uniqueName="56" name="'12'" totalsRowFunction="sum" queryTableFieldId="59" dataDxfId="502" totalsRowDxfId="501"/>
    <tableColumn id="57" uniqueName="57" name="'15'" totalsRowFunction="sum" queryTableFieldId="60" dataDxfId="500" totalsRowDxfId="499"/>
    <tableColumn id="58" uniqueName="58" name="'19'" totalsRowFunction="sum" queryTableFieldId="61" dataDxfId="498" totalsRowDxfId="497"/>
    <tableColumn id="59" uniqueName="59" name="'21'" totalsRowFunction="sum" queryTableFieldId="62" dataDxfId="496" totalsRowDxfId="495"/>
    <tableColumn id="80" uniqueName="80" name="'23'" totalsRowFunction="sum" queryTableFieldId="85" dataDxfId="494" totalsRowDxfId="493"/>
    <tableColumn id="60" uniqueName="60" name="'30'" totalsRowFunction="sum" queryTableFieldId="63" dataDxfId="492" totalsRowDxfId="491"/>
    <tableColumn id="61" uniqueName="61" name="'34'" totalsRowFunction="sum" queryTableFieldId="64" dataDxfId="490" totalsRowDxfId="489"/>
    <tableColumn id="62" uniqueName="62" name="'42'" totalsRowFunction="sum" queryTableFieldId="65" dataDxfId="488" totalsRowDxfId="487"/>
    <tableColumn id="63" uniqueName="63" name="'43'" totalsRowFunction="sum" queryTableFieldId="66" dataDxfId="486" totalsRowDxfId="485"/>
    <tableColumn id="64" uniqueName="64" name="'46'" totalsRowFunction="sum" queryTableFieldId="67" dataDxfId="484" totalsRowDxfId="483"/>
    <tableColumn id="65" uniqueName="65" name="'48'" totalsRowFunction="sum" queryTableFieldId="68" dataDxfId="482" totalsRowDxfId="481"/>
    <tableColumn id="66" uniqueName="66" name="'58'" totalsRowFunction="sum" queryTableFieldId="69" dataDxfId="480" totalsRowDxfId="479"/>
    <tableColumn id="67" uniqueName="67" name="'63'" totalsRowFunction="sum" queryTableFieldId="70" dataDxfId="478" totalsRowDxfId="477"/>
    <tableColumn id="68" uniqueName="68" name="'69'" totalsRowFunction="sum" queryTableFieldId="71" dataDxfId="476" totalsRowDxfId="475"/>
    <tableColumn id="69" uniqueName="69" name="'71'" totalsRowFunction="sum" queryTableFieldId="72" dataDxfId="474" totalsRowDxfId="473"/>
    <tableColumn id="70" uniqueName="70" name="'81'" totalsRowFunction="sum" queryTableFieldId="73" dataDxfId="472" totalsRowDxfId="471"/>
    <tableColumn id="71" uniqueName="71" name="'82'" totalsRowFunction="sum" queryTableFieldId="74" dataDxfId="470" totalsRowDxfId="469"/>
    <tableColumn id="72" uniqueName="72" name="'87'" totalsRowFunction="sum" queryTableFieldId="75" dataDxfId="468" totalsRowDxfId="467"/>
    <tableColumn id="73" uniqueName="73" name="'89'" totalsRowFunction="sum" queryTableFieldId="76" dataDxfId="466" totalsRowDxfId="465"/>
    <tableColumn id="76" uniqueName="76" name="'Autre Public'" totalsRowFunction="sum" queryTableFieldId="79" dataDxfId="464" totalsRowDxfId="463"/>
    <tableColumn id="4" uniqueName="4" name="Avis Prog" queryTableFieldId="95" dataDxfId="462" totalsRowDxfId="461"/>
  </tableColumns>
  <tableStyleInfo name="TableStyleMedium6" showFirstColumn="0" showLastColumn="0" showRowStripes="1" showColumnStripes="0"/>
</table>
</file>

<file path=xl/tables/table5.xml><?xml version="1.0" encoding="utf-8"?>
<table xmlns="http://schemas.openxmlformats.org/spreadsheetml/2006/main" id="7" name="Tableau_Lancer_la_requête_à_partir_de_Excel_Files1025678" displayName="Tableau_Lancer_la_requête_à_partir_de_Excel_Files1025678" ref="A6:AP8" tableType="queryTable" totalsRowCount="1" headerRowDxfId="452" dataDxfId="451" totalsRowDxfId="450">
  <autoFilter ref="A6:AP7"/>
  <sortState ref="A7:AQ7">
    <sortCondition ref="A6:A18"/>
  </sortState>
  <tableColumns count="42">
    <tableColumn id="1" uniqueName="1" name="ID_Synergie" totalsRowLabel="Total" queryTableFieldId="1" dataDxfId="449" totalsRowDxfId="448"/>
    <tableColumn id="2" uniqueName="2" name="Nom_MO" totalsRowFunction="count" queryTableFieldId="2" dataDxfId="447" totalsRowDxfId="446"/>
    <tableColumn id="3" uniqueName="3" name="Intitule_Operation" queryTableFieldId="3" dataDxfId="445" totalsRowDxfId="444"/>
    <tableColumn id="43" uniqueName="43" name="'Coût total éligible'" totalsRowFunction="sum" queryTableFieldId="46" dataDxfId="443" totalsRowDxfId="442"/>
    <tableColumn id="39" uniqueName="39" name="Aide _x000a_publique" totalsRowFunction="sum" queryTableFieldId="42" dataDxfId="441" totalsRowDxfId="440">
      <calculatedColumnFormula>Tableau_Lancer_la_requête_à_partir_de_Excel_Files1025678[[#This Row],[Aide Massif]]+Tableau_Lancer_la_requête_à_partir_de_Excel_Files1025678[[#This Row],[''Autre Public'']]</calculatedColumnFormula>
    </tableColumn>
    <tableColumn id="81" uniqueName="81" name="Tx Aide publique" queryTableFieldId="92" dataDxfId="439" totalsRowDxfId="438">
      <calculatedColumnFormula>Tableau_Lancer_la_requête_à_partir_de_Excel_Files1025678[[#This Row],[Aide 
publique]]/Tableau_Lancer_la_requête_à_partir_de_Excel_Files1025678[[#This Row],[''Coût total éligible'']]</calculatedColumnFormula>
    </tableColumn>
    <tableColumn id="40" uniqueName="40" name="Aide Massif" totalsRowFunction="sum" queryTableFieldId="43" dataDxfId="437" totalsRowDxfId="436">
      <calculatedColumnFormula>Tableau_Lancer_la_requête_à_partir_de_Excel_Files1025678[[#This Row],[''FEDER'']]+Tableau_Lancer_la_requête_à_partir_de_Excel_Files1025678[[#This Row],[Total Etat]]+Tableau_Lancer_la_requête_à_partir_de_Excel_Files1025678[[#This Row],[Total Régions]]+Tableau_Lancer_la_requête_à_partir_de_Excel_Files1025678[[#This Row],[Total Dpts]]</calculatedColumnFormula>
    </tableColumn>
    <tableColumn id="82" uniqueName="82" name="Tx_x000a_Aide Massif" queryTableFieldId="93" dataDxfId="435" totalsRowDxfId="434">
      <calculatedColumnFormula>Tableau_Lancer_la_requête_à_partir_de_Excel_Files1025678[[#This Row],[Aide Massif]]/Tableau_Lancer_la_requête_à_partir_de_Excel_Files1025678[[#This Row],[''Coût total éligible'']]</calculatedColumnFormula>
    </tableColumn>
    <tableColumn id="75" uniqueName="75" name="'FEDER'" totalsRowFunction="sum" queryTableFieldId="78" dataDxfId="433" totalsRowDxfId="432"/>
    <tableColumn id="7" uniqueName="7" name="Total Etat" totalsRowFunction="sum" queryTableFieldId="99" dataDxfId="431" totalsRowDxfId="430">
      <calculatedColumnFormula>Tableau_Lancer_la_requête_à_partir_de_Excel_Files1025678[[#This Row],[''FNADT '']]+Tableau_Lancer_la_requête_à_partir_de_Excel_Files1025678[[#This Row],[''Agriculture'']]</calculatedColumnFormula>
    </tableColumn>
    <tableColumn id="11" uniqueName="11" name="'FNADT '" queryTableFieldId="104" dataDxfId="429" totalsRowDxfId="428"/>
    <tableColumn id="46" uniqueName="46" name="'Agriculture'" totalsRowFunction="sum" queryTableFieldId="49" dataDxfId="427" totalsRowDxfId="426"/>
    <tableColumn id="8" uniqueName="8" name="Total Régions" totalsRowFunction="sum" queryTableFieldId="100" dataDxfId="425" totalsRowDxfId="424">
      <calculatedColumnFormula>Tableau_Lancer_la_requête_à_partir_de_Excel_Files1025678[[#This Row],[''ALPC'']]+Tableau_Lancer_la_requête_à_partir_de_Excel_Files1025678[[#This Row],[''AURA'']]+Tableau_Lancer_la_requête_à_partir_de_Excel_Files1025678[[#This Row],[''BFC'']]+Tableau_Lancer_la_requête_à_partir_de_Excel_Files1025678[[#This Row],[''LRMP'']]</calculatedColumnFormula>
    </tableColumn>
    <tableColumn id="48" uniqueName="48" name="'ALPC'" totalsRowFunction="sum" queryTableFieldId="51" dataDxfId="423" totalsRowDxfId="422"/>
    <tableColumn id="49" uniqueName="49" name="'AURA'" totalsRowFunction="sum" queryTableFieldId="52" dataDxfId="421" totalsRowDxfId="420"/>
    <tableColumn id="78" uniqueName="78" name="'BFC'" totalsRowFunction="sum" queryTableFieldId="81" dataDxfId="419" totalsRowDxfId="418"/>
    <tableColumn id="79" uniqueName="79" name="'LRMP'" totalsRowFunction="sum" queryTableFieldId="82" dataDxfId="417" totalsRowDxfId="416"/>
    <tableColumn id="9" uniqueName="9" name="Total Dpts" totalsRowFunction="sum" queryTableFieldId="101" dataDxfId="415" totalsRowDxfId="414">
      <calculatedColumnFormula>Tableau_Lancer_la_requête_à_partir_de_Excel_Files1025678[[#This Row],[''03'']]+Tableau_Lancer_la_requête_à_partir_de_Excel_Files1025678[[#This Row],[''07'']]+Tableau_Lancer_la_requête_à_partir_de_Excel_Files1025678[[#This Row],[''11'']]+Tableau_Lancer_la_requête_à_partir_de_Excel_Files1025678[[#This Row],[''12'']]+Tableau_Lancer_la_requête_à_partir_de_Excel_Files1025678[[#This Row],[''15'']]+Tableau_Lancer_la_requête_à_partir_de_Excel_Files1025678[[#This Row],[''19'']]+Tableau_Lancer_la_requête_à_partir_de_Excel_Files1025678[[#This Row],[''21'']]+Tableau_Lancer_la_requête_à_partir_de_Excel_Files1025678[[#This Row],[''23'']]+Tableau_Lancer_la_requête_à_partir_de_Excel_Files1025678[[#This Row],[''30'']]+Tableau_Lancer_la_requête_à_partir_de_Excel_Files1025678[[#This Row],[''34'']]+Tableau_Lancer_la_requête_à_partir_de_Excel_Files1025678[[#This Row],[''42'']]+Tableau_Lancer_la_requête_à_partir_de_Excel_Files1025678[[#This Row],[''43'']]+Tableau_Lancer_la_requête_à_partir_de_Excel_Files1025678[[#This Row],[''46'']]+Tableau_Lancer_la_requête_à_partir_de_Excel_Files1025678[[#This Row],[''48'']]+Tableau_Lancer_la_requête_à_partir_de_Excel_Files1025678[[#This Row],[''58'']]+Tableau_Lancer_la_requête_à_partir_de_Excel_Files1025678[[#This Row],[''63'']]+Tableau_Lancer_la_requête_à_partir_de_Excel_Files1025678[[#This Row],[''69'']]+Tableau_Lancer_la_requête_à_partir_de_Excel_Files1025678[[#This Row],[''71'']]+Tableau_Lancer_la_requête_à_partir_de_Excel_Files1025678[[#This Row],[''81'']]+Tableau_Lancer_la_requête_à_partir_de_Excel_Files1025678[[#This Row],[''82'']]+Tableau_Lancer_la_requête_à_partir_de_Excel_Files1025678[[#This Row],[''87'']]+Tableau_Lancer_la_requête_à_partir_de_Excel_Files1025678[[#This Row],[''89'']]</calculatedColumnFormula>
    </tableColumn>
    <tableColumn id="53" uniqueName="53" name="'03'" totalsRowFunction="sum" queryTableFieldId="56" dataDxfId="413" totalsRowDxfId="412"/>
    <tableColumn id="54" uniqueName="54" name="'07'" totalsRowFunction="sum" queryTableFieldId="57" dataDxfId="411" totalsRowDxfId="410"/>
    <tableColumn id="55" uniqueName="55" name="'11'" totalsRowFunction="sum" queryTableFieldId="58" dataDxfId="409" totalsRowDxfId="408"/>
    <tableColumn id="56" uniqueName="56" name="'12'" totalsRowFunction="sum" queryTableFieldId="59" dataDxfId="407" totalsRowDxfId="406"/>
    <tableColumn id="57" uniqueName="57" name="'15'" totalsRowFunction="sum" queryTableFieldId="60" dataDxfId="405" totalsRowDxfId="404"/>
    <tableColumn id="58" uniqueName="58" name="'19'" totalsRowFunction="sum" queryTableFieldId="61" dataDxfId="403" totalsRowDxfId="402"/>
    <tableColumn id="59" uniqueName="59" name="'21'" totalsRowFunction="sum" queryTableFieldId="62" dataDxfId="401" totalsRowDxfId="400"/>
    <tableColumn id="80" uniqueName="80" name="'23'" totalsRowFunction="sum" queryTableFieldId="85" dataDxfId="399" totalsRowDxfId="398"/>
    <tableColumn id="60" uniqueName="60" name="'30'" totalsRowFunction="sum" queryTableFieldId="63" dataDxfId="397" totalsRowDxfId="396"/>
    <tableColumn id="61" uniqueName="61" name="'34'" totalsRowFunction="sum" queryTableFieldId="64" dataDxfId="395" totalsRowDxfId="394"/>
    <tableColumn id="62" uniqueName="62" name="'42'" totalsRowFunction="sum" queryTableFieldId="65" dataDxfId="393" totalsRowDxfId="392"/>
    <tableColumn id="63" uniqueName="63" name="'43'" totalsRowFunction="sum" queryTableFieldId="66" dataDxfId="391" totalsRowDxfId="390"/>
    <tableColumn id="64" uniqueName="64" name="'46'" totalsRowFunction="sum" queryTableFieldId="67" dataDxfId="389" totalsRowDxfId="388"/>
    <tableColumn id="65" uniqueName="65" name="'48'" totalsRowFunction="sum" queryTableFieldId="68" dataDxfId="387" totalsRowDxfId="386"/>
    <tableColumn id="66" uniqueName="66" name="'58'" totalsRowFunction="sum" queryTableFieldId="69" dataDxfId="385" totalsRowDxfId="384"/>
    <tableColumn id="67" uniqueName="67" name="'63'" totalsRowFunction="sum" queryTableFieldId="70" dataDxfId="383" totalsRowDxfId="382"/>
    <tableColumn id="68" uniqueName="68" name="'69'" totalsRowFunction="sum" queryTableFieldId="71" dataDxfId="381" totalsRowDxfId="380"/>
    <tableColumn id="69" uniqueName="69" name="'71'" totalsRowFunction="sum" queryTableFieldId="72" dataDxfId="379" totalsRowDxfId="378"/>
    <tableColumn id="70" uniqueName="70" name="'81'" totalsRowFunction="sum" queryTableFieldId="73" dataDxfId="377" totalsRowDxfId="376"/>
    <tableColumn id="71" uniqueName="71" name="'82'" totalsRowFunction="sum" queryTableFieldId="74" dataDxfId="375" totalsRowDxfId="374"/>
    <tableColumn id="72" uniqueName="72" name="'87'" totalsRowFunction="sum" queryTableFieldId="75" dataDxfId="373" totalsRowDxfId="372"/>
    <tableColumn id="73" uniqueName="73" name="'89'" totalsRowFunction="sum" queryTableFieldId="76" dataDxfId="371" totalsRowDxfId="370"/>
    <tableColumn id="76" uniqueName="76" name="'Autre Public'" totalsRowFunction="sum" queryTableFieldId="79" dataDxfId="369" totalsRowDxfId="368"/>
    <tableColumn id="4" uniqueName="4" name="Avis Prog" queryTableFieldId="95" dataDxfId="367" totalsRowDxfId="366"/>
  </tableColumns>
  <tableStyleInfo name="TableStyleMedium6" showFirstColumn="0" showLastColumn="0" showRowStripes="1" showColumnStripes="0"/>
</table>
</file>

<file path=xl/tables/table6.xml><?xml version="1.0" encoding="utf-8"?>
<table xmlns="http://schemas.openxmlformats.org/spreadsheetml/2006/main" id="8" name="Tableau_Lancer_la_requête_à_partir_de_Excel_Files10256789" displayName="Tableau_Lancer_la_requête_à_partir_de_Excel_Files10256789" ref="A6:AP11" tableType="queryTable" totalsRowCount="1" headerRowDxfId="357" dataDxfId="356" totalsRowDxfId="355">
  <autoFilter ref="A6:AP10"/>
  <sortState ref="A7:AQ10">
    <sortCondition ref="A6:A18"/>
  </sortState>
  <tableColumns count="42">
    <tableColumn id="1" uniqueName="1" name="ID_Synergie" totalsRowLabel="Total" queryTableFieldId="1" dataDxfId="354" totalsRowDxfId="353"/>
    <tableColumn id="2" uniqueName="2" name="Nom_MO" totalsRowFunction="count" queryTableFieldId="2" dataDxfId="352" totalsRowDxfId="351"/>
    <tableColumn id="3" uniqueName="3" name="Intitule_Operation" queryTableFieldId="3" dataDxfId="350" totalsRowDxfId="349"/>
    <tableColumn id="43" uniqueName="43" name="'Coût total éligible'" totalsRowFunction="sum" queryTableFieldId="46" dataDxfId="348" totalsRowDxfId="347"/>
    <tableColumn id="39" uniqueName="39" name="Aide _x000a_publique" totalsRowFunction="sum" queryTableFieldId="42" dataDxfId="346" totalsRowDxfId="345">
      <calculatedColumnFormula>Tableau_Lancer_la_requête_à_partir_de_Excel_Files10256789[[#This Row],[Aide Massif]]+Tableau_Lancer_la_requête_à_partir_de_Excel_Files10256789[[#This Row],[''Autre Public'']]</calculatedColumnFormula>
    </tableColumn>
    <tableColumn id="81" uniqueName="81" name="Tx Aide publique" queryTableFieldId="92" dataDxfId="344" totalsRowDxfId="343">
      <calculatedColumnFormula>Tableau_Lancer_la_requête_à_partir_de_Excel_Files10256789[[#This Row],[Aide 
publique]]/Tableau_Lancer_la_requête_à_partir_de_Excel_Files10256789[[#This Row],[''Coût total éligible'']]</calculatedColumnFormula>
    </tableColumn>
    <tableColumn id="40" uniqueName="40" name="Aide Massif" totalsRowFunction="sum" queryTableFieldId="43" dataDxfId="342" totalsRowDxfId="341">
      <calculatedColumnFormula>Tableau_Lancer_la_requête_à_partir_de_Excel_Files10256789[[#This Row],[''FEDER'']]+Tableau_Lancer_la_requête_à_partir_de_Excel_Files10256789[[#This Row],[Total Etat]]+Tableau_Lancer_la_requête_à_partir_de_Excel_Files10256789[[#This Row],[Total Régions]]+Tableau_Lancer_la_requête_à_partir_de_Excel_Files10256789[[#This Row],[Total Dpts]]</calculatedColumnFormula>
    </tableColumn>
    <tableColumn id="82" uniqueName="82" name="Tx_x000a_Aide Massif" queryTableFieldId="93" dataDxfId="340" totalsRowDxfId="339">
      <calculatedColumnFormula>Tableau_Lancer_la_requête_à_partir_de_Excel_Files10256789[[#This Row],[Aide Massif]]/Tableau_Lancer_la_requête_à_partir_de_Excel_Files10256789[[#This Row],[''Coût total éligible'']]</calculatedColumnFormula>
    </tableColumn>
    <tableColumn id="75" uniqueName="75" name="'FEDER'" totalsRowFunction="sum" queryTableFieldId="78" dataDxfId="338" totalsRowDxfId="337"/>
    <tableColumn id="7" uniqueName="7" name="Total Etat" totalsRowFunction="sum" queryTableFieldId="99" dataDxfId="336" totalsRowDxfId="335">
      <calculatedColumnFormula>Tableau_Lancer_la_requête_à_partir_de_Excel_Files10256789[[#This Row],[''FNADT '']]+Tableau_Lancer_la_requête_à_partir_de_Excel_Files10256789[[#This Row],[''Agriculture'']]</calculatedColumnFormula>
    </tableColumn>
    <tableColumn id="11" uniqueName="11" name="'FNADT '" queryTableFieldId="104" dataDxfId="334" totalsRowDxfId="333"/>
    <tableColumn id="46" uniqueName="46" name="'Agriculture'" totalsRowFunction="sum" queryTableFieldId="49" dataDxfId="332" totalsRowDxfId="331"/>
    <tableColumn id="8" uniqueName="8" name="Total Régions" totalsRowFunction="sum" queryTableFieldId="100" dataDxfId="330" totalsRowDxfId="329">
      <calculatedColumnFormula>Tableau_Lancer_la_requête_à_partir_de_Excel_Files10256789[[#This Row],[''ALPC'']]+Tableau_Lancer_la_requête_à_partir_de_Excel_Files10256789[[#This Row],[''AURA'']]+Tableau_Lancer_la_requête_à_partir_de_Excel_Files10256789[[#This Row],[''BFC'']]+Tableau_Lancer_la_requête_à_partir_de_Excel_Files10256789[[#This Row],[''LRMP'']]</calculatedColumnFormula>
    </tableColumn>
    <tableColumn id="48" uniqueName="48" name="'ALPC'" totalsRowFunction="sum" queryTableFieldId="51" dataDxfId="328" totalsRowDxfId="327"/>
    <tableColumn id="49" uniqueName="49" name="'AURA'" totalsRowFunction="sum" queryTableFieldId="52" dataDxfId="326" totalsRowDxfId="325"/>
    <tableColumn id="78" uniqueName="78" name="'BFC'" totalsRowFunction="sum" queryTableFieldId="81" dataDxfId="324" totalsRowDxfId="323"/>
    <tableColumn id="79" uniqueName="79" name="'LRMP'" totalsRowFunction="sum" queryTableFieldId="82" dataDxfId="322" totalsRowDxfId="321"/>
    <tableColumn id="9" uniqueName="9" name="Total Dpts" totalsRowFunction="sum" queryTableFieldId="101" dataDxfId="320" totalsRowDxfId="319">
      <calculatedColumnFormula>Tableau_Lancer_la_requête_à_partir_de_Excel_Files10256789[[#This Row],[''03'']]+Tableau_Lancer_la_requête_à_partir_de_Excel_Files10256789[[#This Row],[''07'']]+Tableau_Lancer_la_requête_à_partir_de_Excel_Files10256789[[#This Row],[''11'']]+Tableau_Lancer_la_requête_à_partir_de_Excel_Files10256789[[#This Row],[''12'']]+Tableau_Lancer_la_requête_à_partir_de_Excel_Files10256789[[#This Row],[''15'']]+Tableau_Lancer_la_requête_à_partir_de_Excel_Files10256789[[#This Row],[''19'']]+Tableau_Lancer_la_requête_à_partir_de_Excel_Files10256789[[#This Row],[''21'']]+Tableau_Lancer_la_requête_à_partir_de_Excel_Files10256789[[#This Row],[''23'']]+Tableau_Lancer_la_requête_à_partir_de_Excel_Files10256789[[#This Row],[''30'']]+Tableau_Lancer_la_requête_à_partir_de_Excel_Files10256789[[#This Row],[''34'']]+Tableau_Lancer_la_requête_à_partir_de_Excel_Files10256789[[#This Row],[''42'']]+Tableau_Lancer_la_requête_à_partir_de_Excel_Files10256789[[#This Row],[''43'']]+Tableau_Lancer_la_requête_à_partir_de_Excel_Files10256789[[#This Row],[''46'']]+Tableau_Lancer_la_requête_à_partir_de_Excel_Files10256789[[#This Row],[''48'']]+Tableau_Lancer_la_requête_à_partir_de_Excel_Files10256789[[#This Row],[''58'']]+Tableau_Lancer_la_requête_à_partir_de_Excel_Files10256789[[#This Row],[''63'']]+Tableau_Lancer_la_requête_à_partir_de_Excel_Files10256789[[#This Row],[''69'']]+Tableau_Lancer_la_requête_à_partir_de_Excel_Files10256789[[#This Row],[''71'']]+Tableau_Lancer_la_requête_à_partir_de_Excel_Files10256789[[#This Row],[''81'']]+Tableau_Lancer_la_requête_à_partir_de_Excel_Files10256789[[#This Row],[''82'']]+Tableau_Lancer_la_requête_à_partir_de_Excel_Files10256789[[#This Row],[''87'']]+Tableau_Lancer_la_requête_à_partir_de_Excel_Files10256789[[#This Row],[''89'']]</calculatedColumnFormula>
    </tableColumn>
    <tableColumn id="53" uniqueName="53" name="'03'" totalsRowFunction="sum" queryTableFieldId="56" dataDxfId="318" totalsRowDxfId="317"/>
    <tableColumn id="54" uniqueName="54" name="'07'" totalsRowFunction="sum" queryTableFieldId="57" dataDxfId="316" totalsRowDxfId="315"/>
    <tableColumn id="55" uniqueName="55" name="'11'" totalsRowFunction="sum" queryTableFieldId="58" dataDxfId="314" totalsRowDxfId="313"/>
    <tableColumn id="56" uniqueName="56" name="'12'" totalsRowFunction="sum" queryTableFieldId="59" dataDxfId="312" totalsRowDxfId="311"/>
    <tableColumn id="57" uniqueName="57" name="'15'" totalsRowFunction="sum" queryTableFieldId="60" dataDxfId="310" totalsRowDxfId="309"/>
    <tableColumn id="58" uniqueName="58" name="'19'" totalsRowFunction="sum" queryTableFieldId="61" dataDxfId="308" totalsRowDxfId="307"/>
    <tableColumn id="59" uniqueName="59" name="'21'" totalsRowFunction="sum" queryTableFieldId="62" dataDxfId="306" totalsRowDxfId="305"/>
    <tableColumn id="80" uniqueName="80" name="'23'" totalsRowFunction="sum" queryTableFieldId="85" dataDxfId="304" totalsRowDxfId="303"/>
    <tableColumn id="60" uniqueName="60" name="'30'" totalsRowFunction="sum" queryTableFieldId="63" dataDxfId="302" totalsRowDxfId="301"/>
    <tableColumn id="61" uniqueName="61" name="'34'" totalsRowFunction="sum" queryTableFieldId="64" dataDxfId="300" totalsRowDxfId="299"/>
    <tableColumn id="62" uniqueName="62" name="'42'" totalsRowFunction="sum" queryTableFieldId="65" dataDxfId="298" totalsRowDxfId="297"/>
    <tableColumn id="63" uniqueName="63" name="'43'" totalsRowFunction="sum" queryTableFieldId="66" dataDxfId="296" totalsRowDxfId="295"/>
    <tableColumn id="64" uniqueName="64" name="'46'" totalsRowFunction="sum" queryTableFieldId="67" dataDxfId="294" totalsRowDxfId="293"/>
    <tableColumn id="65" uniqueName="65" name="'48'" totalsRowFunction="sum" queryTableFieldId="68" dataDxfId="292" totalsRowDxfId="291"/>
    <tableColumn id="66" uniqueName="66" name="'58'" totalsRowFunction="sum" queryTableFieldId="69" dataDxfId="290" totalsRowDxfId="289"/>
    <tableColumn id="67" uniqueName="67" name="'63'" totalsRowFunction="sum" queryTableFieldId="70" dataDxfId="288" totalsRowDxfId="287"/>
    <tableColumn id="68" uniqueName="68" name="'69'" totalsRowFunction="sum" queryTableFieldId="71" dataDxfId="286" totalsRowDxfId="285"/>
    <tableColumn id="69" uniqueName="69" name="'71'" totalsRowFunction="sum" queryTableFieldId="72" dataDxfId="284" totalsRowDxfId="283"/>
    <tableColumn id="70" uniqueName="70" name="'81'" totalsRowFunction="sum" queryTableFieldId="73" dataDxfId="282" totalsRowDxfId="281"/>
    <tableColumn id="71" uniqueName="71" name="'82'" totalsRowFunction="sum" queryTableFieldId="74" dataDxfId="280" totalsRowDxfId="279"/>
    <tableColumn id="72" uniqueName="72" name="'87'" totalsRowFunction="sum" queryTableFieldId="75" dataDxfId="278" totalsRowDxfId="277"/>
    <tableColumn id="73" uniqueName="73" name="'89'" totalsRowFunction="sum" queryTableFieldId="76" dataDxfId="276" totalsRowDxfId="275"/>
    <tableColumn id="76" uniqueName="76" name="'Autre Public'" totalsRowFunction="sum" queryTableFieldId="79" dataDxfId="274" totalsRowDxfId="273"/>
    <tableColumn id="4" uniqueName="4" name="Avis Prog" queryTableFieldId="95" dataDxfId="272" totalsRowDxfId="271"/>
  </tableColumns>
  <tableStyleInfo name="TableStyleMedium6" showFirstColumn="0" showLastColumn="0" showRowStripes="1" showColumnStripes="0"/>
</table>
</file>

<file path=xl/tables/table7.xml><?xml version="1.0" encoding="utf-8"?>
<table xmlns="http://schemas.openxmlformats.org/spreadsheetml/2006/main" id="9" name="Tableau_Lancer_la_requête_à_partir_de_Excel_Files1025678910" displayName="Tableau_Lancer_la_requête_à_partir_de_Excel_Files1025678910" ref="A6:AP10" tableType="queryTable" totalsRowCount="1" headerRowDxfId="258" dataDxfId="257" totalsRowDxfId="256">
  <autoFilter ref="A6:AP9"/>
  <sortState ref="A7:AQ9">
    <sortCondition ref="A6:A18"/>
  </sortState>
  <tableColumns count="42">
    <tableColumn id="1" uniqueName="1" name="ID_Synergie" totalsRowLabel="Total" queryTableFieldId="1" dataDxfId="255" totalsRowDxfId="254"/>
    <tableColumn id="2" uniqueName="2" name="Nom_MO" totalsRowFunction="count" queryTableFieldId="2" dataDxfId="253" totalsRowDxfId="252"/>
    <tableColumn id="3" uniqueName="3" name="Intitule_Operation" queryTableFieldId="3" dataDxfId="251" totalsRowDxfId="250"/>
    <tableColumn id="43" uniqueName="43" name="'Coût total éligible'" totalsRowFunction="sum" queryTableFieldId="46" dataDxfId="249" totalsRowDxfId="248"/>
    <tableColumn id="39" uniqueName="39" name="Aide _x000a_publique" totalsRowFunction="sum" queryTableFieldId="42" dataDxfId="247" totalsRowDxfId="246">
      <calculatedColumnFormula>Tableau_Lancer_la_requête_à_partir_de_Excel_Files1025678910[[#This Row],[Aide Massif]]+Tableau_Lancer_la_requête_à_partir_de_Excel_Files1025678910[[#This Row],[''Autre Public'']]</calculatedColumnFormula>
    </tableColumn>
    <tableColumn id="81" uniqueName="81" name="Tx Aide publique" queryTableFieldId="92" dataDxfId="245" totalsRowDxfId="244">
      <calculatedColumnFormula>Tableau_Lancer_la_requête_à_partir_de_Excel_Files1025678910[[#This Row],[Aide 
publique]]/Tableau_Lancer_la_requête_à_partir_de_Excel_Files1025678910[[#This Row],[''Coût total éligible'']]</calculatedColumnFormula>
    </tableColumn>
    <tableColumn id="40" uniqueName="40" name="Aide Massif" totalsRowFunction="sum" queryTableFieldId="43" dataDxfId="243" totalsRowDxfId="242">
      <calculatedColumnFormula>Tableau_Lancer_la_requête_à_partir_de_Excel_Files1025678910[[#This Row],[''FEDER'']]+Tableau_Lancer_la_requête_à_partir_de_Excel_Files1025678910[[#This Row],[Total Etat]]+Tableau_Lancer_la_requête_à_partir_de_Excel_Files1025678910[[#This Row],[Total Régions]]+Tableau_Lancer_la_requête_à_partir_de_Excel_Files1025678910[[#This Row],[Total Dpts]]</calculatedColumnFormula>
    </tableColumn>
    <tableColumn id="82" uniqueName="82" name="Tx_x000a_Aide Massif" queryTableFieldId="93" dataDxfId="241" totalsRowDxfId="240">
      <calculatedColumnFormula>Tableau_Lancer_la_requête_à_partir_de_Excel_Files1025678910[[#This Row],[Aide Massif]]/Tableau_Lancer_la_requête_à_partir_de_Excel_Files1025678910[[#This Row],[''Coût total éligible'']]</calculatedColumnFormula>
    </tableColumn>
    <tableColumn id="75" uniqueName="75" name="'FEDER'" totalsRowFunction="sum" queryTableFieldId="78" dataDxfId="239" totalsRowDxfId="238"/>
    <tableColumn id="7" uniqueName="7" name="Total Etat" totalsRowFunction="sum" queryTableFieldId="99" dataDxfId="237" totalsRowDxfId="236">
      <calculatedColumnFormula>Tableau_Lancer_la_requête_à_partir_de_Excel_Files1025678910[[#This Row],[''FNADT '']]+Tableau_Lancer_la_requête_à_partir_de_Excel_Files1025678910[[#This Row],[''Agriculture'']]</calculatedColumnFormula>
    </tableColumn>
    <tableColumn id="11" uniqueName="11" name="'FNADT '" queryTableFieldId="104" dataDxfId="235" totalsRowDxfId="234"/>
    <tableColumn id="46" uniqueName="46" name="'Agriculture'" totalsRowFunction="sum" queryTableFieldId="49" dataDxfId="233" totalsRowDxfId="232"/>
    <tableColumn id="8" uniqueName="8" name="Total Régions" totalsRowFunction="sum" queryTableFieldId="100" dataDxfId="231" totalsRowDxfId="230">
      <calculatedColumnFormula>Tableau_Lancer_la_requête_à_partir_de_Excel_Files1025678910[[#This Row],[''ALPC'']]+Tableau_Lancer_la_requête_à_partir_de_Excel_Files1025678910[[#This Row],[''AURA'']]+Tableau_Lancer_la_requête_à_partir_de_Excel_Files1025678910[[#This Row],[''BFC'']]+Tableau_Lancer_la_requête_à_partir_de_Excel_Files1025678910[[#This Row],[''LRMP'']]</calculatedColumnFormula>
    </tableColumn>
    <tableColumn id="48" uniqueName="48" name="'ALPC'" totalsRowFunction="sum" queryTableFieldId="51" dataDxfId="229" totalsRowDxfId="228"/>
    <tableColumn id="49" uniqueName="49" name="'AURA'" totalsRowFunction="sum" queryTableFieldId="52" dataDxfId="227" totalsRowDxfId="226"/>
    <tableColumn id="78" uniqueName="78" name="'BFC'" totalsRowFunction="sum" queryTableFieldId="81" dataDxfId="225" totalsRowDxfId="224"/>
    <tableColumn id="79" uniqueName="79" name="'LRMP'" totalsRowFunction="sum" queryTableFieldId="82" dataDxfId="223" totalsRowDxfId="222"/>
    <tableColumn id="9" uniqueName="9" name="Total Dpts" totalsRowFunction="sum" queryTableFieldId="101" dataDxfId="221" totalsRowDxfId="220">
      <calculatedColumnFormula>Tableau_Lancer_la_requête_à_partir_de_Excel_Files1025678910[[#This Row],[''03'']]+Tableau_Lancer_la_requête_à_partir_de_Excel_Files1025678910[[#This Row],[''07'']]+Tableau_Lancer_la_requête_à_partir_de_Excel_Files1025678910[[#This Row],[''11'']]+Tableau_Lancer_la_requête_à_partir_de_Excel_Files1025678910[[#This Row],[''12'']]+Tableau_Lancer_la_requête_à_partir_de_Excel_Files1025678910[[#This Row],[''15'']]+Tableau_Lancer_la_requête_à_partir_de_Excel_Files1025678910[[#This Row],[''19'']]+Tableau_Lancer_la_requête_à_partir_de_Excel_Files1025678910[[#This Row],[''21'']]+Tableau_Lancer_la_requête_à_partir_de_Excel_Files1025678910[[#This Row],[''23'']]+Tableau_Lancer_la_requête_à_partir_de_Excel_Files1025678910[[#This Row],[''30'']]+Tableau_Lancer_la_requête_à_partir_de_Excel_Files1025678910[[#This Row],[''34'']]+Tableau_Lancer_la_requête_à_partir_de_Excel_Files1025678910[[#This Row],[''42'']]+Tableau_Lancer_la_requête_à_partir_de_Excel_Files1025678910[[#This Row],[''43'']]+Tableau_Lancer_la_requête_à_partir_de_Excel_Files1025678910[[#This Row],[''46'']]+Tableau_Lancer_la_requête_à_partir_de_Excel_Files1025678910[[#This Row],[''48'']]+Tableau_Lancer_la_requête_à_partir_de_Excel_Files1025678910[[#This Row],[''58'']]+Tableau_Lancer_la_requête_à_partir_de_Excel_Files1025678910[[#This Row],[''63'']]+Tableau_Lancer_la_requête_à_partir_de_Excel_Files1025678910[[#This Row],[''69'']]+Tableau_Lancer_la_requête_à_partir_de_Excel_Files1025678910[[#This Row],[''71'']]+Tableau_Lancer_la_requête_à_partir_de_Excel_Files1025678910[[#This Row],[''81'']]+Tableau_Lancer_la_requête_à_partir_de_Excel_Files1025678910[[#This Row],[''82'']]+Tableau_Lancer_la_requête_à_partir_de_Excel_Files1025678910[[#This Row],[''87'']]+Tableau_Lancer_la_requête_à_partir_de_Excel_Files1025678910[[#This Row],[''89'']]</calculatedColumnFormula>
    </tableColumn>
    <tableColumn id="53" uniqueName="53" name="'03'" totalsRowFunction="sum" queryTableFieldId="56" dataDxfId="219" totalsRowDxfId="218"/>
    <tableColumn id="54" uniqueName="54" name="'07'" totalsRowFunction="sum" queryTableFieldId="57" dataDxfId="217" totalsRowDxfId="216"/>
    <tableColumn id="55" uniqueName="55" name="'11'" totalsRowFunction="sum" queryTableFieldId="58" dataDxfId="215" totalsRowDxfId="214"/>
    <tableColumn id="56" uniqueName="56" name="'12'" totalsRowFunction="sum" queryTableFieldId="59" dataDxfId="213" totalsRowDxfId="212"/>
    <tableColumn id="57" uniqueName="57" name="'15'" totalsRowFunction="sum" queryTableFieldId="60" dataDxfId="211" totalsRowDxfId="210"/>
    <tableColumn id="58" uniqueName="58" name="'19'" totalsRowFunction="sum" queryTableFieldId="61" dataDxfId="209" totalsRowDxfId="208"/>
    <tableColumn id="59" uniqueName="59" name="'21'" totalsRowFunction="sum" queryTableFieldId="62" dataDxfId="207" totalsRowDxfId="206"/>
    <tableColumn id="80" uniqueName="80" name="'23'" totalsRowFunction="sum" queryTableFieldId="85" dataDxfId="205" totalsRowDxfId="204"/>
    <tableColumn id="60" uniqueName="60" name="'30'" totalsRowFunction="sum" queryTableFieldId="63" dataDxfId="203" totalsRowDxfId="202"/>
    <tableColumn id="61" uniqueName="61" name="'34'" totalsRowFunction="sum" queryTableFieldId="64" dataDxfId="201" totalsRowDxfId="200"/>
    <tableColumn id="62" uniqueName="62" name="'42'" totalsRowFunction="sum" queryTableFieldId="65" dataDxfId="199" totalsRowDxfId="198"/>
    <tableColumn id="63" uniqueName="63" name="'43'" totalsRowFunction="sum" queryTableFieldId="66" dataDxfId="197" totalsRowDxfId="196"/>
    <tableColumn id="64" uniqueName="64" name="'46'" totalsRowFunction="sum" queryTableFieldId="67" dataDxfId="195" totalsRowDxfId="194"/>
    <tableColumn id="65" uniqueName="65" name="'48'" totalsRowFunction="sum" queryTableFieldId="68" dataDxfId="193" totalsRowDxfId="192"/>
    <tableColumn id="66" uniqueName="66" name="'58'" totalsRowFunction="sum" queryTableFieldId="69" dataDxfId="191" totalsRowDxfId="190"/>
    <tableColumn id="67" uniqueName="67" name="'63'" totalsRowFunction="sum" queryTableFieldId="70" dataDxfId="189" totalsRowDxfId="188"/>
    <tableColumn id="68" uniqueName="68" name="'69'" totalsRowFunction="sum" queryTableFieldId="71" dataDxfId="187" totalsRowDxfId="186"/>
    <tableColumn id="69" uniqueName="69" name="'71'" totalsRowFunction="sum" queryTableFieldId="72" dataDxfId="185" totalsRowDxfId="184"/>
    <tableColumn id="70" uniqueName="70" name="'81'" totalsRowFunction="sum" queryTableFieldId="73" dataDxfId="183" totalsRowDxfId="182"/>
    <tableColumn id="71" uniqueName="71" name="'82'" totalsRowFunction="sum" queryTableFieldId="74" dataDxfId="181" totalsRowDxfId="180"/>
    <tableColumn id="72" uniqueName="72" name="'87'" totalsRowFunction="sum" queryTableFieldId="75" dataDxfId="179" totalsRowDxfId="178"/>
    <tableColumn id="73" uniqueName="73" name="'89'" totalsRowFunction="sum" queryTableFieldId="76" dataDxfId="177" totalsRowDxfId="176"/>
    <tableColumn id="76" uniqueName="76" name="'Autre Public'" totalsRowFunction="sum" queryTableFieldId="79" dataDxfId="175" totalsRowDxfId="174"/>
    <tableColumn id="4" uniqueName="4" name="Avis Prog" queryTableFieldId="95" dataDxfId="173" totalsRowDxfId="172"/>
  </tableColumns>
  <tableStyleInfo name="TableStyleMedium6" showFirstColumn="0" showLastColumn="0" showRowStripes="1" showColumnStripes="0"/>
</table>
</file>

<file path=xl/tables/table8.xml><?xml version="1.0" encoding="utf-8"?>
<table xmlns="http://schemas.openxmlformats.org/spreadsheetml/2006/main" id="2" name="Tableau_Lancer_la_requête_à_partir_de_Excel_Files3" displayName="Tableau_Lancer_la_requête_à_partir_de_Excel_Files3" ref="A6:AT55" tableType="queryTable" totalsRowCount="1" headerRowDxfId="165" dataDxfId="164" totalsRowDxfId="163">
  <autoFilter ref="A6:AT54"/>
  <sortState ref="A7:AT54">
    <sortCondition ref="C6:C18"/>
  </sortState>
  <tableColumns count="46">
    <tableColumn id="1" uniqueName="1" name="Programme" totalsRowLabel="Total" queryTableFieldId="1" dataDxfId="162" totalsRowDxfId="161"/>
    <tableColumn id="50" uniqueName="50" name="ID_dossier GIP" queryTableFieldId="84" dataDxfId="160" totalsRowDxfId="159"/>
    <tableColumn id="43" uniqueName="43" name="ID_Synergie" totalsRowFunction="count" queryTableFieldId="48" dataDxfId="158" totalsRowDxfId="157"/>
    <tableColumn id="2" uniqueName="2" name="Nom_MO" queryTableFieldId="2" dataDxfId="156" totalsRowDxfId="155"/>
    <tableColumn id="3" uniqueName="3" name="Intitule_Operation" queryTableFieldId="3" dataDxfId="154" totalsRowDxfId="153"/>
    <tableColumn id="4" uniqueName="4" name="Coût total déposé" totalsRowFunction="sum" queryTableFieldId="4" dataDxfId="152" totalsRowDxfId="151"/>
    <tableColumn id="12" uniqueName="12" name="Coût total Eligible FEDER" queryTableFieldId="128" dataDxfId="150" totalsRowDxfId="149"/>
    <tableColumn id="13" uniqueName="13" name="Coût total" totalsRowFunction="sum" queryTableFieldId="131" dataDxfId="148" totalsRowDxfId="147">
      <calculatedColumnFormula>IF(Tableau_Lancer_la_requête_à_partir_de_Excel_Files3[[#This Row],[Coût total Eligible FEDER]]="",Tableau_Lancer_la_requête_à_partir_de_Excel_Files3[[#This Row],[Coût total déposé]],Tableau_Lancer_la_requête_à_partir_de_Excel_Files3[[#This Row],[Coût total Eligible FEDER]])</calculatedColumnFormula>
    </tableColumn>
    <tableColumn id="6" uniqueName="6" name="Aide Publique Obtenue" totalsRowFunction="sum" queryTableFieldId="92" dataDxfId="146" totalsRowDxfId="145">
      <calculatedColumnFormula>Tableau_Lancer_la_requête_à_partir_de_Excel_Files3[[#This Row],[Aide Massif Obtenu]]+Tableau_Lancer_la_requête_à_partir_de_Excel_Files3[[#This Row],[''Autre Public'']]</calculatedColumnFormula>
    </tableColumn>
    <tableColumn id="44" uniqueName="44" name="Taux Aide Publique" queryTableFieldId="44" dataDxfId="144" totalsRowDxfId="143">
      <calculatedColumnFormula>Tableau_Lancer_la_requête_à_partir_de_Excel_Files3[[#This Row],[Aide Publique Obtenue]]/Tableau_Lancer_la_requête_à_partir_de_Excel_Files3[[#This Row],[Coût total]]</calculatedColumnFormula>
    </tableColumn>
    <tableColumn id="40" uniqueName="40" name="Aide Massif Obtenu" totalsRowFunction="sum" queryTableFieldId="40" dataDxfId="142" totalsRowDxfId="141">
      <calculatedColumnFormula>Tableau_Lancer_la_requête_à_partir_de_Excel_Files3[[#This Row],[Etat]]+Tableau_Lancer_la_requête_à_partir_de_Excel_Files3[[#This Row],[Régions]]+Tableau_Lancer_la_requête_à_partir_de_Excel_Files3[[#This Row],[Départements]]+Tableau_Lancer_la_requête_à_partir_de_Excel_Files3[[#This Row],[''FEDER'']]</calculatedColumnFormula>
    </tableColumn>
    <tableColumn id="42" uniqueName="42" name="Taux Aide Massif" queryTableFieldId="42" dataDxfId="140" totalsRowDxfId="139">
      <calculatedColumnFormula>Tableau_Lancer_la_requête_à_partir_de_Excel_Files3[[#This Row],[Aide Massif Obtenu]]/Tableau_Lancer_la_requête_à_partir_de_Excel_Files3[[#This Row],[Coût total]]</calculatedColumnFormula>
    </tableColumn>
    <tableColumn id="52" uniqueName="52" name="Etat" totalsRowFunction="sum" queryTableFieldId="89" dataDxfId="138" totalsRowDxfId="137">
      <calculatedColumnFormula>Tableau_Lancer_la_requête_à_partir_de_Excel_Files3[[#This Row],[''FNADT'']]+Tableau_Lancer_la_requête_à_partir_de_Excel_Files3[[#This Row],[''Agriculture'']]</calculatedColumnFormula>
    </tableColumn>
    <tableColumn id="15" uniqueName="15" name="'FNADT'" queryTableFieldId="133" dataDxfId="136" totalsRowDxfId="135"/>
    <tableColumn id="16" uniqueName="16" name="'Agriculture'" queryTableFieldId="134" dataDxfId="134" totalsRowDxfId="133"/>
    <tableColumn id="54" uniqueName="54" name="Régions" totalsRowFunction="sum" queryTableFieldId="90" dataDxfId="132" totalsRowDxfId="131">
      <calculatedColumnFormula>Tableau_Lancer_la_requête_à_partir_de_Excel_Files3[[#This Row],[''ALPC'']]+Tableau_Lancer_la_requête_à_partir_de_Excel_Files3[[#This Row],[''AURA'']]+Tableau_Lancer_la_requête_à_partir_de_Excel_Files3[[#This Row],[''BFC'']]+Tableau_Lancer_la_requête_à_partir_de_Excel_Files3[[#This Row],[''LRMP'']]</calculatedColumnFormula>
    </tableColumn>
    <tableColumn id="20" uniqueName="20" name="'ALPC'" queryTableFieldId="138" dataDxfId="130" totalsRowDxfId="129"/>
    <tableColumn id="18" uniqueName="18" name="'AURA'" queryTableFieldId="136" dataDxfId="128" totalsRowDxfId="127"/>
    <tableColumn id="19" uniqueName="19" name="'BFC'" queryTableFieldId="137" dataDxfId="126" totalsRowDxfId="125"/>
    <tableColumn id="21" uniqueName="21" name="'LRMP'" queryTableFieldId="139" dataDxfId="124" totalsRowDxfId="123"/>
    <tableColumn id="55" uniqueName="55" name="Départements" totalsRowFunction="sum" queryTableFieldId="91" dataDxfId="122" totalsRowDxfId="121">
      <calculatedColumnFormula>Tableau_Lancer_la_requête_à_partir_de_Excel_Files3[[#This Row],[''03'']]+Tableau_Lancer_la_requête_à_partir_de_Excel_Files3[[#This Row],[''07'']]+Tableau_Lancer_la_requête_à_partir_de_Excel_Files3[[#This Row],[''11'']]+Tableau_Lancer_la_requête_à_partir_de_Excel_Files3[[#This Row],[''12'']]+Tableau_Lancer_la_requête_à_partir_de_Excel_Files3[[#This Row],[''15'']]+Tableau_Lancer_la_requête_à_partir_de_Excel_Files3[[#This Row],[''21'']]+Tableau_Lancer_la_requête_à_partir_de_Excel_Files3[[#This Row],[''19'']]+Tableau_Lancer_la_requête_à_partir_de_Excel_Files3[[#This Row],[''23'']]+Tableau_Lancer_la_requête_à_partir_de_Excel_Files3[[#This Row],[''30'']]+Tableau_Lancer_la_requête_à_partir_de_Excel_Files3[[#This Row],[''34'']]+Tableau_Lancer_la_requête_à_partir_de_Excel_Files3[[#This Row],[''42'']]+Tableau_Lancer_la_requête_à_partir_de_Excel_Files3[[#This Row],[''43'']]+Tableau_Lancer_la_requête_à_partir_de_Excel_Files3[[#This Row],[''46'']]+Tableau_Lancer_la_requête_à_partir_de_Excel_Files3[[#This Row],[''48'']]+Tableau_Lancer_la_requête_à_partir_de_Excel_Files3[[#This Row],[''58'']]+Tableau_Lancer_la_requête_à_partir_de_Excel_Files3[[#This Row],[''63'']]+Tableau_Lancer_la_requête_à_partir_de_Excel_Files3[[#This Row],[''69'']]+Tableau_Lancer_la_requête_à_partir_de_Excel_Files3[[#This Row],[''71'']]+Tableau_Lancer_la_requête_à_partir_de_Excel_Files3[[#This Row],[''81'']]+Tableau_Lancer_la_requête_à_partir_de_Excel_Files3[[#This Row],[''82'']]+Tableau_Lancer_la_requête_à_partir_de_Excel_Files3[[#This Row],[''87'']]+Tableau_Lancer_la_requête_à_partir_de_Excel_Files3[[#This Row],[''89'']]</calculatedColumnFormula>
    </tableColumn>
    <tableColumn id="23" uniqueName="23" name="'03'" queryTableFieldId="141" dataDxfId="120" totalsRowDxfId="119"/>
    <tableColumn id="24" uniqueName="24" name="'07'" queryTableFieldId="142" dataDxfId="118" totalsRowDxfId="117"/>
    <tableColumn id="25" uniqueName="25" name="'11'" queryTableFieldId="143" dataDxfId="116" totalsRowDxfId="115"/>
    <tableColumn id="26" uniqueName="26" name="'12'" queryTableFieldId="144" dataDxfId="114" totalsRowDxfId="113"/>
    <tableColumn id="27" uniqueName="27" name="'15'" queryTableFieldId="145" dataDxfId="112" totalsRowDxfId="111"/>
    <tableColumn id="28" uniqueName="28" name="'19'" queryTableFieldId="146" dataDxfId="110" totalsRowDxfId="109"/>
    <tableColumn id="29" uniqueName="29" name="'21'" queryTableFieldId="147" dataDxfId="108" totalsRowDxfId="107"/>
    <tableColumn id="30" uniqueName="30" name="'23'" queryTableFieldId="148" dataDxfId="106" totalsRowDxfId="105"/>
    <tableColumn id="31" uniqueName="31" name="'30'" queryTableFieldId="149" dataDxfId="104" totalsRowDxfId="103"/>
    <tableColumn id="32" uniqueName="32" name="'34'" queryTableFieldId="150" dataDxfId="102" totalsRowDxfId="101"/>
    <tableColumn id="33" uniqueName="33" name="'42'" queryTableFieldId="151" dataDxfId="100" totalsRowDxfId="99"/>
    <tableColumn id="34" uniqueName="34" name="'43'" queryTableFieldId="152" dataDxfId="98" totalsRowDxfId="97"/>
    <tableColumn id="35" uniqueName="35" name="'46'" queryTableFieldId="153" dataDxfId="96" totalsRowDxfId="95"/>
    <tableColumn id="36" uniqueName="36" name="'48'" queryTableFieldId="154" dataDxfId="94" totalsRowDxfId="93"/>
    <tableColumn id="37" uniqueName="37" name="'58'" queryTableFieldId="155" dataDxfId="92" totalsRowDxfId="91"/>
    <tableColumn id="38" uniqueName="38" name="'63'" queryTableFieldId="156" dataDxfId="90" totalsRowDxfId="89"/>
    <tableColumn id="39" uniqueName="39" name="'69'" queryTableFieldId="157" dataDxfId="88" totalsRowDxfId="87"/>
    <tableColumn id="41" uniqueName="41" name="'71'" queryTableFieldId="158" dataDxfId="86" totalsRowDxfId="85"/>
    <tableColumn id="45" uniqueName="45" name="'81'" queryTableFieldId="159" dataDxfId="84" totalsRowDxfId="83"/>
    <tableColumn id="47" uniqueName="47" name="'82'" queryTableFieldId="160" dataDxfId="82" totalsRowDxfId="81"/>
    <tableColumn id="48" uniqueName="48" name="'87'" queryTableFieldId="161" dataDxfId="80" totalsRowDxfId="79"/>
    <tableColumn id="51" uniqueName="51" name="'89'" queryTableFieldId="162" dataDxfId="78" totalsRowDxfId="77"/>
    <tableColumn id="53" uniqueName="53" name="'FEDER'" totalsRowFunction="sum" queryTableFieldId="163" dataDxfId="76" totalsRowDxfId="75"/>
    <tableColumn id="56" uniqueName="56" name="'Autre Public'" queryTableFieldId="164" dataDxfId="74" totalsRowDxfId="73"/>
    <tableColumn id="5" uniqueName="5" name="Avis Prog" queryTableFieldId="169" dataDxfId="72" totalsRowDxfId="71"/>
  </tableColumns>
  <tableStyleInfo name="TableStyleMedium2" showFirstColumn="0" showLastColumn="0" showRowStripes="1" showColumnStripes="0"/>
</table>
</file>

<file path=xl/tables/table9.xml><?xml version="1.0" encoding="utf-8"?>
<table xmlns="http://schemas.openxmlformats.org/spreadsheetml/2006/main" id="3" name="Tableau3" displayName="Tableau3" ref="AX6:CE24" totalsRowCount="1" headerRowDxfId="70" dataDxfId="69" totalsRowDxfId="68">
  <autoFilter ref="AX6:CE23"/>
  <tableColumns count="34">
    <tableColumn id="1" name="NumSym" totalsRowLabel="Total" dataDxfId="67" totalsRowDxfId="66"/>
    <tableColumn id="2" name="Etat" totalsRowFunction="sum" dataDxfId="65" totalsRowDxfId="64">
      <calculatedColumnFormula>SUM(AZ7:BA7)</calculatedColumnFormula>
    </tableColumn>
    <tableColumn id="3" name="'FNADT'" totalsRowFunction="sum" dataDxfId="63" totalsRowDxfId="62"/>
    <tableColumn id="4" name="'Agriculture'" totalsRowFunction="sum" dataDxfId="61" totalsRowDxfId="60">
      <calculatedColumnFormula>SUM(BB7:BE7)</calculatedColumnFormula>
    </tableColumn>
    <tableColumn id="5" name="Régions" totalsRowFunction="sum" dataDxfId="59" totalsRowDxfId="58">
      <calculatedColumnFormula>SUM(BC7:BF7)</calculatedColumnFormula>
    </tableColumn>
    <tableColumn id="6" name="'ALPC'" totalsRowFunction="sum" dataDxfId="57" totalsRowDxfId="56"/>
    <tableColumn id="7" name="'AURA'" totalsRowFunction="sum" dataDxfId="55" totalsRowDxfId="54"/>
    <tableColumn id="8" name="'BFC'" totalsRowFunction="sum" dataDxfId="53" totalsRowDxfId="52"/>
    <tableColumn id="9" name="'LRMP'" totalsRowFunction="sum" dataDxfId="51" totalsRowDxfId="50">
      <calculatedColumnFormula>SUM(BG7:CB7)</calculatedColumnFormula>
    </tableColumn>
    <tableColumn id="10" name="Départements" totalsRowFunction="sum" dataDxfId="49" totalsRowDxfId="48">
      <calculatedColumnFormula>SUM(BH7:CC7)</calculatedColumnFormula>
    </tableColumn>
    <tableColumn id="11" name="'03'" totalsRowFunction="sum" dataDxfId="47" totalsRowDxfId="46"/>
    <tableColumn id="12" name="'07'" totalsRowFunction="sum" dataDxfId="45" totalsRowDxfId="44"/>
    <tableColumn id="13" name="'11'" totalsRowFunction="sum" dataDxfId="43" totalsRowDxfId="42"/>
    <tableColumn id="14" name="'12'" totalsRowFunction="sum" dataDxfId="41" totalsRowDxfId="40"/>
    <tableColumn id="15" name="'15'" totalsRowFunction="sum" dataDxfId="39" totalsRowDxfId="38"/>
    <tableColumn id="16" name="'19'" totalsRowFunction="sum" dataDxfId="37" totalsRowDxfId="36"/>
    <tableColumn id="17" name="'21'" totalsRowFunction="sum" dataDxfId="35" totalsRowDxfId="34"/>
    <tableColumn id="18" name="'23'" totalsRowFunction="sum" dataDxfId="33" totalsRowDxfId="32"/>
    <tableColumn id="19" name="'30'" totalsRowFunction="sum" dataDxfId="31" totalsRowDxfId="30"/>
    <tableColumn id="20" name="'34'" totalsRowFunction="sum" dataDxfId="29" totalsRowDxfId="28"/>
    <tableColumn id="21" name="'42'" totalsRowFunction="sum" dataDxfId="27" totalsRowDxfId="26"/>
    <tableColumn id="22" name="'43'" totalsRowFunction="sum" dataDxfId="25" totalsRowDxfId="24"/>
    <tableColumn id="23" name="'46'" totalsRowFunction="sum" dataDxfId="23" totalsRowDxfId="22"/>
    <tableColumn id="24" name="'48'" totalsRowFunction="sum" dataDxfId="21" totalsRowDxfId="20"/>
    <tableColumn id="25" name="'58'" totalsRowFunction="sum" dataDxfId="19" totalsRowDxfId="18"/>
    <tableColumn id="26" name="'63'" totalsRowFunction="sum" dataDxfId="17" totalsRowDxfId="16"/>
    <tableColumn id="27" name="'69'" totalsRowFunction="sum" dataDxfId="15" totalsRowDxfId="14"/>
    <tableColumn id="28" name="'71'" totalsRowFunction="sum" dataDxfId="13" totalsRowDxfId="12"/>
    <tableColumn id="29" name="'81'" totalsRowFunction="sum" dataDxfId="11" totalsRowDxfId="10"/>
    <tableColumn id="30" name="'82'" totalsRowFunction="sum" dataDxfId="9" totalsRowDxfId="8"/>
    <tableColumn id="31" name="'87'" totalsRowFunction="sum" dataDxfId="7" totalsRowDxfId="6"/>
    <tableColumn id="32" name="'89'" totalsRowFunction="sum" dataDxfId="5" totalsRowDxfId="4"/>
    <tableColumn id="33" name="'FEDER'" totalsRowFunction="sum" dataDxfId="3" totalsRowDxfId="2"/>
    <tableColumn id="34" name="Avis" totalsRowFunction="count" dataDxfId="1" totalsRowDxfId="0">
      <calculatedColumnFormula>VLOOKUP(Tableau3[[#This Row],[NumSym]],Tableau_Lancer_la_requête_à_partir_de_Excel_Files3[[ID_Synergie]:[Avis Prog]],44)</calculatedColumnFormula>
    </tableColumn>
  </tableColumns>
  <tableStyleInfo name="TableStyleLight1"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table" Target="../tables/table7.xml"/><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table" Target="../tables/table8.xml"/><Relationship Id="rId2" Type="http://schemas.openxmlformats.org/officeDocument/2006/relationships/drawing" Target="../drawings/drawing8.xml"/><Relationship Id="rId1" Type="http://schemas.openxmlformats.org/officeDocument/2006/relationships/printerSettings" Target="../printerSettings/printerSettings8.bin"/><Relationship Id="rId4" Type="http://schemas.openxmlformats.org/officeDocument/2006/relationships/table" Target="../tables/table9.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B59"/>
  <sheetViews>
    <sheetView tabSelected="1" view="pageBreakPreview" topLeftCell="A10" zoomScale="60" zoomScaleNormal="60" workbookViewId="0">
      <selection activeCell="AP27" sqref="AP27"/>
    </sheetView>
  </sheetViews>
  <sheetFormatPr baseColWidth="10" defaultRowHeight="15" outlineLevelCol="1" x14ac:dyDescent="0.25"/>
  <cols>
    <col min="1" max="1" width="13.85546875" style="3" customWidth="1"/>
    <col min="2" max="2" width="35" style="4" customWidth="1"/>
    <col min="3" max="3" width="48" style="5" customWidth="1"/>
    <col min="4" max="4" width="22.7109375" style="3" bestFit="1" customWidth="1"/>
    <col min="5" max="5" width="19.7109375" style="3" bestFit="1" customWidth="1"/>
    <col min="6" max="6" width="12" style="6" customWidth="1"/>
    <col min="7" max="7" width="16" style="3" bestFit="1" customWidth="1"/>
    <col min="8" max="8" width="11.28515625" style="6" customWidth="1"/>
    <col min="9" max="9" width="18.42578125" style="3" customWidth="1"/>
    <col min="10" max="10" width="15" style="3" bestFit="1" customWidth="1"/>
    <col min="11" max="11" width="11.5703125" style="3" hidden="1" customWidth="1" outlineLevel="1"/>
    <col min="12" max="12" width="16.5703125" style="3" hidden="1" customWidth="1" outlineLevel="1"/>
    <col min="13" max="13" width="13.7109375" style="3" bestFit="1" customWidth="1" collapsed="1"/>
    <col min="14" max="14" width="18.28515625" style="3" hidden="1" customWidth="1" outlineLevel="1"/>
    <col min="15" max="15" width="18.42578125" style="3" hidden="1" customWidth="1" outlineLevel="1"/>
    <col min="16" max="16" width="16.5703125" style="3" hidden="1" customWidth="1" outlineLevel="1"/>
    <col min="17" max="17" width="18.7109375" style="3" hidden="1" customWidth="1" outlineLevel="1"/>
    <col min="18" max="18" width="19.42578125" style="3" bestFit="1" customWidth="1" collapsed="1"/>
    <col min="19" max="40" width="8.7109375" style="3" hidden="1" customWidth="1" outlineLevel="1"/>
    <col min="41" max="41" width="11.5703125" style="3" bestFit="1" customWidth="1" collapsed="1"/>
    <col min="42" max="42" width="17.7109375" style="3" customWidth="1"/>
    <col min="43" max="43" width="76.5703125" style="3" customWidth="1"/>
    <col min="44" max="44" width="15.42578125" style="3" bestFit="1" customWidth="1"/>
    <col min="45" max="45" width="91" style="3" customWidth="1"/>
    <col min="46" max="46" width="9.42578125" style="3" customWidth="1"/>
    <col min="47" max="61" width="9.7109375" style="3" customWidth="1"/>
    <col min="62" max="62" width="15.140625" style="3" customWidth="1"/>
    <col min="63" max="63" width="14.5703125" style="3" customWidth="1"/>
    <col min="64" max="64" width="18.5703125" style="3" customWidth="1"/>
    <col min="65" max="65" width="12.5703125" style="3" customWidth="1"/>
    <col min="66" max="66" width="20.42578125" style="3" customWidth="1"/>
    <col min="67" max="67" width="12.7109375" style="3" customWidth="1"/>
    <col min="68" max="68" width="9.28515625" style="3" customWidth="1"/>
    <col min="69" max="69" width="14.28515625" style="3" customWidth="1"/>
    <col min="70" max="70" width="11.42578125" style="3" customWidth="1"/>
    <col min="71" max="71" width="9" style="3" customWidth="1"/>
    <col min="72" max="72" width="9.5703125" style="3" customWidth="1"/>
    <col min="73" max="73" width="11" style="3" customWidth="1"/>
    <col min="74" max="74" width="12.7109375" style="3" customWidth="1"/>
    <col min="75" max="77" width="9.7109375" style="3" customWidth="1"/>
    <col min="78" max="78" width="15.140625" style="3" customWidth="1"/>
    <col min="79" max="79" width="17.28515625" style="3" customWidth="1"/>
    <col min="80" max="80" width="49.28515625" style="4" customWidth="1"/>
    <col min="81" max="81" width="17.28515625" style="3" customWidth="1"/>
    <col min="82" max="16384" width="11.42578125" style="3"/>
  </cols>
  <sheetData>
    <row r="1" spans="1:80" ht="18.75" x14ac:dyDescent="0.3">
      <c r="B1" s="21" t="s">
        <v>250</v>
      </c>
      <c r="C1" s="22">
        <v>42523</v>
      </c>
    </row>
    <row r="5" spans="1:80" ht="15.75" x14ac:dyDescent="0.25">
      <c r="A5" s="1" t="s">
        <v>71</v>
      </c>
      <c r="B5" s="20"/>
    </row>
    <row r="6" spans="1:80" s="7" customFormat="1" ht="30" x14ac:dyDescent="0.25">
      <c r="A6" s="7" t="s">
        <v>10</v>
      </c>
      <c r="B6" s="7" t="s">
        <v>1</v>
      </c>
      <c r="C6" s="7" t="s">
        <v>2</v>
      </c>
      <c r="D6" s="7" t="s">
        <v>72</v>
      </c>
      <c r="E6" s="7" t="s">
        <v>108</v>
      </c>
      <c r="F6" s="7" t="s">
        <v>73</v>
      </c>
      <c r="G6" s="7" t="s">
        <v>70</v>
      </c>
      <c r="H6" s="7" t="s">
        <v>109</v>
      </c>
      <c r="I6" s="7" t="s">
        <v>54</v>
      </c>
      <c r="J6" s="7" t="s">
        <v>129</v>
      </c>
      <c r="K6" s="7" t="s">
        <v>159</v>
      </c>
      <c r="L6" s="7" t="s">
        <v>27</v>
      </c>
      <c r="M6" s="7" t="s">
        <v>130</v>
      </c>
      <c r="N6" s="7" t="s">
        <v>30</v>
      </c>
      <c r="O6" s="7" t="s">
        <v>28</v>
      </c>
      <c r="P6" s="7" t="s">
        <v>29</v>
      </c>
      <c r="Q6" s="7" t="s">
        <v>31</v>
      </c>
      <c r="R6" s="7" t="s">
        <v>131</v>
      </c>
      <c r="S6" s="7" t="s">
        <v>32</v>
      </c>
      <c r="T6" s="7" t="s">
        <v>33</v>
      </c>
      <c r="U6" s="7" t="s">
        <v>34</v>
      </c>
      <c r="V6" s="7" t="s">
        <v>35</v>
      </c>
      <c r="W6" s="7" t="s">
        <v>36</v>
      </c>
      <c r="X6" s="7" t="s">
        <v>37</v>
      </c>
      <c r="Y6" s="7" t="s">
        <v>38</v>
      </c>
      <c r="Z6" s="7" t="s">
        <v>39</v>
      </c>
      <c r="AA6" s="7" t="s">
        <v>40</v>
      </c>
      <c r="AB6" s="7" t="s">
        <v>41</v>
      </c>
      <c r="AC6" s="7" t="s">
        <v>42</v>
      </c>
      <c r="AD6" s="7" t="s">
        <v>43</v>
      </c>
      <c r="AE6" s="7" t="s">
        <v>44</v>
      </c>
      <c r="AF6" s="7" t="s">
        <v>45</v>
      </c>
      <c r="AG6" s="7" t="s">
        <v>46</v>
      </c>
      <c r="AH6" s="7" t="s">
        <v>47</v>
      </c>
      <c r="AI6" s="7" t="s">
        <v>48</v>
      </c>
      <c r="AJ6" s="7" t="s">
        <v>49</v>
      </c>
      <c r="AK6" s="7" t="s">
        <v>50</v>
      </c>
      <c r="AL6" s="7" t="s">
        <v>51</v>
      </c>
      <c r="AM6" s="7" t="s">
        <v>52</v>
      </c>
      <c r="AN6" s="7" t="s">
        <v>53</v>
      </c>
      <c r="AO6" s="7" t="s">
        <v>55</v>
      </c>
      <c r="AP6" s="34" t="s">
        <v>110</v>
      </c>
      <c r="AQ6" s="31" t="s">
        <v>128</v>
      </c>
    </row>
    <row r="7" spans="1:80" s="10" customFormat="1" ht="60" x14ac:dyDescent="0.25">
      <c r="A7" s="13" t="s">
        <v>93</v>
      </c>
      <c r="B7" s="12" t="s">
        <v>94</v>
      </c>
      <c r="C7" s="12" t="s">
        <v>95</v>
      </c>
      <c r="D7" s="15">
        <v>166645.37</v>
      </c>
      <c r="E7" s="15">
        <f>Tableau_Lancer_la_requête_à_partir_de_Excel_Files102[[#This Row],[Aide Massif]]+Tableau_Lancer_la_requête_à_partir_de_Excel_Files102[[#This Row],[''Autre Public'']]</f>
        <v>0</v>
      </c>
      <c r="F7" s="16">
        <f>Tableau_Lancer_la_requête_à_partir_de_Excel_Files102[[#This Row],[Aide 
publique]]/Tableau_Lancer_la_requête_à_partir_de_Excel_Files102[[#This Row],[''Coût total éligible'']]</f>
        <v>0</v>
      </c>
      <c r="G7" s="15">
        <f>Tableau_Lancer_la_requête_à_partir_de_Excel_Files102[[#This Row],[''FEDER'']]+Tableau_Lancer_la_requête_à_partir_de_Excel_Files102[[#This Row],[Total Etat]]+Tableau_Lancer_la_requête_à_partir_de_Excel_Files102[[#This Row],[Total Régions]]+Tableau_Lancer_la_requête_à_partir_de_Excel_Files102[[#This Row],[Total Dpts]]</f>
        <v>0</v>
      </c>
      <c r="H7" s="16">
        <f>Tableau_Lancer_la_requête_à_partir_de_Excel_Files102[[#This Row],[Aide Massif]]/Tableau_Lancer_la_requête_à_partir_de_Excel_Files102[[#This Row],[''Coût total éligible'']]</f>
        <v>0</v>
      </c>
      <c r="I7" s="15">
        <v>0</v>
      </c>
      <c r="J7" s="15">
        <f>Tableau_Lancer_la_requête_à_partir_de_Excel_Files102[[#This Row],[''FNADT '']]+Tableau_Lancer_la_requête_à_partir_de_Excel_Files102[[#This Row],[''Agriculture'']]</f>
        <v>0</v>
      </c>
      <c r="K7" s="11"/>
      <c r="L7" s="15"/>
      <c r="M7" s="15">
        <f>Tableau_Lancer_la_requête_à_partir_de_Excel_Files102[[#This Row],[''ALPC'']]+Tableau_Lancer_la_requête_à_partir_de_Excel_Files102[[#This Row],[''AURA'']]+Tableau_Lancer_la_requête_à_partir_de_Excel_Files102[[#This Row],[''BFC'']]+Tableau_Lancer_la_requête_à_partir_de_Excel_Files102[[#This Row],[''LRMP'']]</f>
        <v>0</v>
      </c>
      <c r="N7" s="15"/>
      <c r="O7" s="15"/>
      <c r="P7" s="15"/>
      <c r="Q7" s="15"/>
      <c r="R7" s="15">
        <f>Tableau_Lancer_la_requête_à_partir_de_Excel_Files102[[#This Row],[''03'']]+Tableau_Lancer_la_requête_à_partir_de_Excel_Files102[[#This Row],[''07'']]+Tableau_Lancer_la_requête_à_partir_de_Excel_Files102[[#This Row],[''11'']]+Tableau_Lancer_la_requête_à_partir_de_Excel_Files102[[#This Row],[''12'']]+Tableau_Lancer_la_requête_à_partir_de_Excel_Files102[[#This Row],[''15'']]+Tableau_Lancer_la_requête_à_partir_de_Excel_Files102[[#This Row],[''19'']]+Tableau_Lancer_la_requête_à_partir_de_Excel_Files102[[#This Row],[''21'']]+Tableau_Lancer_la_requête_à_partir_de_Excel_Files102[[#This Row],[''23'']]+Tableau_Lancer_la_requête_à_partir_de_Excel_Files102[[#This Row],[''30'']]+Tableau_Lancer_la_requête_à_partir_de_Excel_Files102[[#This Row],[''34'']]+Tableau_Lancer_la_requête_à_partir_de_Excel_Files102[[#This Row],[''42'']]+Tableau_Lancer_la_requête_à_partir_de_Excel_Files102[[#This Row],[''43'']]+Tableau_Lancer_la_requête_à_partir_de_Excel_Files102[[#This Row],[''46'']]+Tableau_Lancer_la_requête_à_partir_de_Excel_Files102[[#This Row],[''48'']]+Tableau_Lancer_la_requête_à_partir_de_Excel_Files102[[#This Row],[''58'']]+Tableau_Lancer_la_requête_à_partir_de_Excel_Files102[[#This Row],[''63'']]+Tableau_Lancer_la_requête_à_partir_de_Excel_Files102[[#This Row],[''69'']]+Tableau_Lancer_la_requête_à_partir_de_Excel_Files102[[#This Row],[''71'']]+Tableau_Lancer_la_requête_à_partir_de_Excel_Files102[[#This Row],[''81'']]+Tableau_Lancer_la_requête_à_partir_de_Excel_Files102[[#This Row],[''82'']]+Tableau_Lancer_la_requête_à_partir_de_Excel_Files102[[#This Row],[''87'']]+Tableau_Lancer_la_requête_à_partir_de_Excel_Files102[[#This Row],[''89'']]</f>
        <v>0</v>
      </c>
      <c r="S7" s="15"/>
      <c r="T7" s="15"/>
      <c r="U7" s="15"/>
      <c r="V7" s="15"/>
      <c r="W7" s="15"/>
      <c r="X7" s="15"/>
      <c r="Y7" s="15"/>
      <c r="Z7" s="15"/>
      <c r="AA7" s="15"/>
      <c r="AB7" s="15"/>
      <c r="AC7" s="15"/>
      <c r="AD7" s="15"/>
      <c r="AE7" s="15"/>
      <c r="AF7" s="15"/>
      <c r="AG7" s="15"/>
      <c r="AH7" s="15"/>
      <c r="AI7" s="15"/>
      <c r="AJ7" s="15"/>
      <c r="AK7" s="15"/>
      <c r="AL7" s="15"/>
      <c r="AM7" s="15"/>
      <c r="AN7" s="15"/>
      <c r="AO7" s="15">
        <v>0</v>
      </c>
      <c r="AP7" s="32" t="s">
        <v>262</v>
      </c>
      <c r="AQ7" s="24" t="s">
        <v>254</v>
      </c>
    </row>
    <row r="8" spans="1:80" s="10" customFormat="1" ht="60" x14ac:dyDescent="0.25">
      <c r="A8" s="13" t="s">
        <v>96</v>
      </c>
      <c r="B8" s="12" t="s">
        <v>97</v>
      </c>
      <c r="C8" s="12" t="s">
        <v>98</v>
      </c>
      <c r="D8" s="15">
        <v>68622.25</v>
      </c>
      <c r="E8" s="15">
        <f>Tableau_Lancer_la_requête_à_partir_de_Excel_Files102[[#This Row],[Aide Massif]]+Tableau_Lancer_la_requête_à_partir_de_Excel_Files102[[#This Row],[''Autre Public'']]</f>
        <v>0</v>
      </c>
      <c r="F8" s="16">
        <f>Tableau_Lancer_la_requête_à_partir_de_Excel_Files102[[#This Row],[Aide 
publique]]/Tableau_Lancer_la_requête_à_partir_de_Excel_Files102[[#This Row],[''Coût total éligible'']]</f>
        <v>0</v>
      </c>
      <c r="G8" s="15">
        <f>Tableau_Lancer_la_requête_à_partir_de_Excel_Files102[[#This Row],[''FEDER'']]+Tableau_Lancer_la_requête_à_partir_de_Excel_Files102[[#This Row],[Total Etat]]+Tableau_Lancer_la_requête_à_partir_de_Excel_Files102[[#This Row],[Total Régions]]+Tableau_Lancer_la_requête_à_partir_de_Excel_Files102[[#This Row],[Total Dpts]]</f>
        <v>0</v>
      </c>
      <c r="H8" s="16">
        <f>Tableau_Lancer_la_requête_à_partir_de_Excel_Files102[[#This Row],[Aide Massif]]/Tableau_Lancer_la_requête_à_partir_de_Excel_Files102[[#This Row],[''Coût total éligible'']]</f>
        <v>0</v>
      </c>
      <c r="I8" s="15">
        <v>0</v>
      </c>
      <c r="J8" s="15">
        <f>Tableau_Lancer_la_requête_à_partir_de_Excel_Files102[[#This Row],[''FNADT '']]+Tableau_Lancer_la_requête_à_partir_de_Excel_Files102[[#This Row],[''Agriculture'']]</f>
        <v>0</v>
      </c>
      <c r="K8" s="11"/>
      <c r="L8" s="15"/>
      <c r="M8" s="15">
        <f>Tableau_Lancer_la_requête_à_partir_de_Excel_Files102[[#This Row],[''ALPC'']]+Tableau_Lancer_la_requête_à_partir_de_Excel_Files102[[#This Row],[''AURA'']]+Tableau_Lancer_la_requête_à_partir_de_Excel_Files102[[#This Row],[''BFC'']]+Tableau_Lancer_la_requête_à_partir_de_Excel_Files102[[#This Row],[''LRMP'']]</f>
        <v>0</v>
      </c>
      <c r="N8" s="15"/>
      <c r="O8" s="15"/>
      <c r="P8" s="15"/>
      <c r="Q8" s="15"/>
      <c r="R8" s="15">
        <f>Tableau_Lancer_la_requête_à_partir_de_Excel_Files102[[#This Row],[''03'']]+Tableau_Lancer_la_requête_à_partir_de_Excel_Files102[[#This Row],[''07'']]+Tableau_Lancer_la_requête_à_partir_de_Excel_Files102[[#This Row],[''11'']]+Tableau_Lancer_la_requête_à_partir_de_Excel_Files102[[#This Row],[''12'']]+Tableau_Lancer_la_requête_à_partir_de_Excel_Files102[[#This Row],[''15'']]+Tableau_Lancer_la_requête_à_partir_de_Excel_Files102[[#This Row],[''19'']]+Tableau_Lancer_la_requête_à_partir_de_Excel_Files102[[#This Row],[''21'']]+Tableau_Lancer_la_requête_à_partir_de_Excel_Files102[[#This Row],[''23'']]+Tableau_Lancer_la_requête_à_partir_de_Excel_Files102[[#This Row],[''30'']]+Tableau_Lancer_la_requête_à_partir_de_Excel_Files102[[#This Row],[''34'']]+Tableau_Lancer_la_requête_à_partir_de_Excel_Files102[[#This Row],[''42'']]+Tableau_Lancer_la_requête_à_partir_de_Excel_Files102[[#This Row],[''43'']]+Tableau_Lancer_la_requête_à_partir_de_Excel_Files102[[#This Row],[''46'']]+Tableau_Lancer_la_requête_à_partir_de_Excel_Files102[[#This Row],[''48'']]+Tableau_Lancer_la_requête_à_partir_de_Excel_Files102[[#This Row],[''58'']]+Tableau_Lancer_la_requête_à_partir_de_Excel_Files102[[#This Row],[''63'']]+Tableau_Lancer_la_requête_à_partir_de_Excel_Files102[[#This Row],[''69'']]+Tableau_Lancer_la_requête_à_partir_de_Excel_Files102[[#This Row],[''71'']]+Tableau_Lancer_la_requête_à_partir_de_Excel_Files102[[#This Row],[''81'']]+Tableau_Lancer_la_requête_à_partir_de_Excel_Files102[[#This Row],[''82'']]+Tableau_Lancer_la_requête_à_partir_de_Excel_Files102[[#This Row],[''87'']]+Tableau_Lancer_la_requête_à_partir_de_Excel_Files102[[#This Row],[''89'']]</f>
        <v>0</v>
      </c>
      <c r="S8" s="15"/>
      <c r="T8" s="15"/>
      <c r="U8" s="15"/>
      <c r="V8" s="15"/>
      <c r="W8" s="15"/>
      <c r="X8" s="15"/>
      <c r="Y8" s="15"/>
      <c r="Z8" s="15"/>
      <c r="AA8" s="15"/>
      <c r="AB8" s="15"/>
      <c r="AC8" s="15"/>
      <c r="AD8" s="15"/>
      <c r="AE8" s="15"/>
      <c r="AF8" s="15"/>
      <c r="AG8" s="15"/>
      <c r="AH8" s="15"/>
      <c r="AI8" s="15"/>
      <c r="AJ8" s="15"/>
      <c r="AK8" s="15"/>
      <c r="AL8" s="15"/>
      <c r="AM8" s="15"/>
      <c r="AN8" s="15"/>
      <c r="AO8" s="15">
        <v>0</v>
      </c>
      <c r="AP8" s="33" t="s">
        <v>262</v>
      </c>
      <c r="AQ8" s="26" t="s">
        <v>254</v>
      </c>
    </row>
    <row r="9" spans="1:80" s="10" customFormat="1" ht="60" x14ac:dyDescent="0.25">
      <c r="A9" s="13" t="s">
        <v>99</v>
      </c>
      <c r="B9" s="12" t="s">
        <v>100</v>
      </c>
      <c r="C9" s="12" t="s">
        <v>101</v>
      </c>
      <c r="D9" s="15">
        <v>68884.460000000006</v>
      </c>
      <c r="E9" s="15">
        <f>Tableau_Lancer_la_requête_à_partir_de_Excel_Files102[[#This Row],[Aide Massif]]+Tableau_Lancer_la_requête_à_partir_de_Excel_Files102[[#This Row],[''Autre Public'']]</f>
        <v>0</v>
      </c>
      <c r="F9" s="16">
        <f>Tableau_Lancer_la_requête_à_partir_de_Excel_Files102[[#This Row],[Aide 
publique]]/Tableau_Lancer_la_requête_à_partir_de_Excel_Files102[[#This Row],[''Coût total éligible'']]</f>
        <v>0</v>
      </c>
      <c r="G9" s="15">
        <f>Tableau_Lancer_la_requête_à_partir_de_Excel_Files102[[#This Row],[''FEDER'']]+Tableau_Lancer_la_requête_à_partir_de_Excel_Files102[[#This Row],[Total Etat]]+Tableau_Lancer_la_requête_à_partir_de_Excel_Files102[[#This Row],[Total Régions]]+Tableau_Lancer_la_requête_à_partir_de_Excel_Files102[[#This Row],[Total Dpts]]</f>
        <v>0</v>
      </c>
      <c r="H9" s="16">
        <f>Tableau_Lancer_la_requête_à_partir_de_Excel_Files102[[#This Row],[Aide Massif]]/Tableau_Lancer_la_requête_à_partir_de_Excel_Files102[[#This Row],[''Coût total éligible'']]</f>
        <v>0</v>
      </c>
      <c r="I9" s="15">
        <v>0</v>
      </c>
      <c r="J9" s="15">
        <f>Tableau_Lancer_la_requête_à_partir_de_Excel_Files102[[#This Row],[''FNADT '']]+Tableau_Lancer_la_requête_à_partir_de_Excel_Files102[[#This Row],[''Agriculture'']]</f>
        <v>0</v>
      </c>
      <c r="K9" s="11"/>
      <c r="L9" s="15"/>
      <c r="M9" s="15">
        <f>Tableau_Lancer_la_requête_à_partir_de_Excel_Files102[[#This Row],[''ALPC'']]+Tableau_Lancer_la_requête_à_partir_de_Excel_Files102[[#This Row],[''AURA'']]+Tableau_Lancer_la_requête_à_partir_de_Excel_Files102[[#This Row],[''BFC'']]+Tableau_Lancer_la_requête_à_partir_de_Excel_Files102[[#This Row],[''LRMP'']]</f>
        <v>0</v>
      </c>
      <c r="N9" s="15"/>
      <c r="O9" s="15"/>
      <c r="P9" s="15"/>
      <c r="Q9" s="15"/>
      <c r="R9" s="15">
        <f>Tableau_Lancer_la_requête_à_partir_de_Excel_Files102[[#This Row],[''03'']]+Tableau_Lancer_la_requête_à_partir_de_Excel_Files102[[#This Row],[''07'']]+Tableau_Lancer_la_requête_à_partir_de_Excel_Files102[[#This Row],[''11'']]+Tableau_Lancer_la_requête_à_partir_de_Excel_Files102[[#This Row],[''12'']]+Tableau_Lancer_la_requête_à_partir_de_Excel_Files102[[#This Row],[''15'']]+Tableau_Lancer_la_requête_à_partir_de_Excel_Files102[[#This Row],[''19'']]+Tableau_Lancer_la_requête_à_partir_de_Excel_Files102[[#This Row],[''21'']]+Tableau_Lancer_la_requête_à_partir_de_Excel_Files102[[#This Row],[''23'']]+Tableau_Lancer_la_requête_à_partir_de_Excel_Files102[[#This Row],[''30'']]+Tableau_Lancer_la_requête_à_partir_de_Excel_Files102[[#This Row],[''34'']]+Tableau_Lancer_la_requête_à_partir_de_Excel_Files102[[#This Row],[''42'']]+Tableau_Lancer_la_requête_à_partir_de_Excel_Files102[[#This Row],[''43'']]+Tableau_Lancer_la_requête_à_partir_de_Excel_Files102[[#This Row],[''46'']]+Tableau_Lancer_la_requête_à_partir_de_Excel_Files102[[#This Row],[''48'']]+Tableau_Lancer_la_requête_à_partir_de_Excel_Files102[[#This Row],[''58'']]+Tableau_Lancer_la_requête_à_partir_de_Excel_Files102[[#This Row],[''63'']]+Tableau_Lancer_la_requête_à_partir_de_Excel_Files102[[#This Row],[''69'']]+Tableau_Lancer_la_requête_à_partir_de_Excel_Files102[[#This Row],[''71'']]+Tableau_Lancer_la_requête_à_partir_de_Excel_Files102[[#This Row],[''81'']]+Tableau_Lancer_la_requête_à_partir_de_Excel_Files102[[#This Row],[''82'']]+Tableau_Lancer_la_requête_à_partir_de_Excel_Files102[[#This Row],[''87'']]+Tableau_Lancer_la_requête_à_partir_de_Excel_Files102[[#This Row],[''89'']]</f>
        <v>0</v>
      </c>
      <c r="S9" s="15"/>
      <c r="T9" s="15"/>
      <c r="U9" s="15"/>
      <c r="V9" s="15"/>
      <c r="W9" s="15"/>
      <c r="X9" s="15"/>
      <c r="Y9" s="15"/>
      <c r="Z9" s="15"/>
      <c r="AA9" s="15"/>
      <c r="AB9" s="15"/>
      <c r="AC9" s="15"/>
      <c r="AD9" s="15"/>
      <c r="AE9" s="15"/>
      <c r="AF9" s="15"/>
      <c r="AG9" s="15"/>
      <c r="AH9" s="15"/>
      <c r="AI9" s="15"/>
      <c r="AJ9" s="15"/>
      <c r="AK9" s="15"/>
      <c r="AL9" s="15"/>
      <c r="AM9" s="15"/>
      <c r="AN9" s="15"/>
      <c r="AO9" s="15">
        <v>0</v>
      </c>
      <c r="AP9" s="32" t="s">
        <v>262</v>
      </c>
      <c r="AQ9" s="24" t="s">
        <v>254</v>
      </c>
    </row>
    <row r="10" spans="1:80" s="10" customFormat="1" ht="45" x14ac:dyDescent="0.25">
      <c r="A10" s="13" t="s">
        <v>85</v>
      </c>
      <c r="B10" s="12" t="s">
        <v>86</v>
      </c>
      <c r="C10" s="12" t="s">
        <v>87</v>
      </c>
      <c r="D10" s="15">
        <v>841232.5</v>
      </c>
      <c r="E10" s="15">
        <f>Tableau_Lancer_la_requête_à_partir_de_Excel_Files102[[#This Row],[Aide Massif]]+Tableau_Lancer_la_requête_à_partir_de_Excel_Files102[[#This Row],[''Autre Public'']]</f>
        <v>469633.6</v>
      </c>
      <c r="F10" s="16">
        <f>Tableau_Lancer_la_requête_à_partir_de_Excel_Files102[[#This Row],[Aide 
publique]]/Tableau_Lancer_la_requête_à_partir_de_Excel_Files102[[#This Row],[''Coût total éligible'']]</f>
        <v>0.55826849295527692</v>
      </c>
      <c r="G10" s="15">
        <f>Tableau_Lancer_la_requête_à_partir_de_Excel_Files102[[#This Row],[''FEDER'']]+Tableau_Lancer_la_requête_à_partir_de_Excel_Files102[[#This Row],[Total Etat]]+Tableau_Lancer_la_requête_à_partir_de_Excel_Files102[[#This Row],[Total Régions]]+Tableau_Lancer_la_requête_à_partir_de_Excel_Files102[[#This Row],[Total Dpts]]</f>
        <v>469633.6</v>
      </c>
      <c r="H10" s="16">
        <f>Tableau_Lancer_la_requête_à_partir_de_Excel_Files102[[#This Row],[Aide Massif]]/Tableau_Lancer_la_requête_à_partir_de_Excel_Files102[[#This Row],[''Coût total éligible'']]</f>
        <v>0.55826849295527692</v>
      </c>
      <c r="I10" s="15">
        <v>254057.98</v>
      </c>
      <c r="J10" s="15">
        <f>Tableau_Lancer_la_requête_à_partir_de_Excel_Files102[[#This Row],[''FNADT '']]+Tableau_Lancer_la_requête_à_partir_de_Excel_Files102[[#This Row],[''Agriculture'']]</f>
        <v>140375.62</v>
      </c>
      <c r="K10" s="11">
        <v>140375.62</v>
      </c>
      <c r="L10" s="15"/>
      <c r="M10" s="15">
        <f>Tableau_Lancer_la_requête_à_partir_de_Excel_Files102[[#This Row],[''ALPC'']]+Tableau_Lancer_la_requête_à_partir_de_Excel_Files102[[#This Row],[''AURA'']]+Tableau_Lancer_la_requête_à_partir_de_Excel_Files102[[#This Row],[''BFC'']]+Tableau_Lancer_la_requête_à_partir_de_Excel_Files102[[#This Row],[''LRMP'']]</f>
        <v>75200</v>
      </c>
      <c r="N10" s="15">
        <v>30000</v>
      </c>
      <c r="O10" s="15">
        <v>30000</v>
      </c>
      <c r="P10" s="15">
        <v>15200</v>
      </c>
      <c r="Q10" s="15"/>
      <c r="R10" s="15">
        <f>Tableau_Lancer_la_requête_à_partir_de_Excel_Files102[[#This Row],[''03'']]+Tableau_Lancer_la_requête_à_partir_de_Excel_Files102[[#This Row],[''07'']]+Tableau_Lancer_la_requête_à_partir_de_Excel_Files102[[#This Row],[''11'']]+Tableau_Lancer_la_requête_à_partir_de_Excel_Files102[[#This Row],[''12'']]+Tableau_Lancer_la_requête_à_partir_de_Excel_Files102[[#This Row],[''15'']]+Tableau_Lancer_la_requête_à_partir_de_Excel_Files102[[#This Row],[''19'']]+Tableau_Lancer_la_requête_à_partir_de_Excel_Files102[[#This Row],[''21'']]+Tableau_Lancer_la_requête_à_partir_de_Excel_Files102[[#This Row],[''23'']]+Tableau_Lancer_la_requête_à_partir_de_Excel_Files102[[#This Row],[''30'']]+Tableau_Lancer_la_requête_à_partir_de_Excel_Files102[[#This Row],[''34'']]+Tableau_Lancer_la_requête_à_partir_de_Excel_Files102[[#This Row],[''42'']]+Tableau_Lancer_la_requête_à_partir_de_Excel_Files102[[#This Row],[''43'']]+Tableau_Lancer_la_requête_à_partir_de_Excel_Files102[[#This Row],[''46'']]+Tableau_Lancer_la_requête_à_partir_de_Excel_Files102[[#This Row],[''48'']]+Tableau_Lancer_la_requête_à_partir_de_Excel_Files102[[#This Row],[''58'']]+Tableau_Lancer_la_requête_à_partir_de_Excel_Files102[[#This Row],[''63'']]+Tableau_Lancer_la_requête_à_partir_de_Excel_Files102[[#This Row],[''69'']]+Tableau_Lancer_la_requête_à_partir_de_Excel_Files102[[#This Row],[''71'']]+Tableau_Lancer_la_requête_à_partir_de_Excel_Files102[[#This Row],[''81'']]+Tableau_Lancer_la_requête_à_partir_de_Excel_Files102[[#This Row],[''82'']]+Tableau_Lancer_la_requête_à_partir_de_Excel_Files102[[#This Row],[''87'']]+Tableau_Lancer_la_requête_à_partir_de_Excel_Files102[[#This Row],[''89'']]</f>
        <v>0</v>
      </c>
      <c r="S10" s="15"/>
      <c r="T10" s="15"/>
      <c r="U10" s="15"/>
      <c r="V10" s="15"/>
      <c r="W10" s="15"/>
      <c r="X10" s="15"/>
      <c r="Y10" s="15"/>
      <c r="Z10" s="15"/>
      <c r="AA10" s="15"/>
      <c r="AB10" s="15"/>
      <c r="AC10" s="15"/>
      <c r="AD10" s="15"/>
      <c r="AE10" s="15"/>
      <c r="AF10" s="15"/>
      <c r="AG10" s="15"/>
      <c r="AH10" s="15"/>
      <c r="AI10" s="15"/>
      <c r="AJ10" s="15"/>
      <c r="AK10" s="15"/>
      <c r="AL10" s="15"/>
      <c r="AM10" s="15"/>
      <c r="AN10" s="15"/>
      <c r="AO10" s="15">
        <v>0</v>
      </c>
      <c r="AP10" s="33" t="s">
        <v>77</v>
      </c>
      <c r="AQ10" s="26"/>
    </row>
    <row r="11" spans="1:80" s="10" customFormat="1" ht="60" x14ac:dyDescent="0.25">
      <c r="A11" s="13" t="s">
        <v>91</v>
      </c>
      <c r="B11" s="12" t="s">
        <v>75</v>
      </c>
      <c r="C11" s="12" t="s">
        <v>92</v>
      </c>
      <c r="D11" s="15">
        <v>472580</v>
      </c>
      <c r="E11" s="15">
        <f>Tableau_Lancer_la_requête_à_partir_de_Excel_Files102[[#This Row],[Aide Massif]]+Tableau_Lancer_la_requête_à_partir_de_Excel_Files102[[#This Row],[''Autre Public'']]</f>
        <v>230000</v>
      </c>
      <c r="F11" s="16">
        <f>Tableau_Lancer_la_requête_à_partir_de_Excel_Files102[[#This Row],[Aide 
publique]]/Tableau_Lancer_la_requête_à_partir_de_Excel_Files102[[#This Row],[''Coût total éligible'']]</f>
        <v>0.48669008421854498</v>
      </c>
      <c r="G11" s="15">
        <f>Tableau_Lancer_la_requête_à_partir_de_Excel_Files102[[#This Row],[''FEDER'']]+Tableau_Lancer_la_requête_à_partir_de_Excel_Files102[[#This Row],[Total Etat]]+Tableau_Lancer_la_requête_à_partir_de_Excel_Files102[[#This Row],[Total Régions]]+Tableau_Lancer_la_requête_à_partir_de_Excel_Files102[[#This Row],[Total Dpts]]</f>
        <v>230000</v>
      </c>
      <c r="H11" s="16">
        <f>Tableau_Lancer_la_requête_à_partir_de_Excel_Files102[[#This Row],[Aide Massif]]/Tableau_Lancer_la_requête_à_partir_de_Excel_Files102[[#This Row],[''Coût total éligible'']]</f>
        <v>0.48669008421854498</v>
      </c>
      <c r="I11" s="15">
        <v>230000</v>
      </c>
      <c r="J11" s="15">
        <f>Tableau_Lancer_la_requête_à_partir_de_Excel_Files102[[#This Row],[''FNADT '']]+Tableau_Lancer_la_requête_à_partir_de_Excel_Files102[[#This Row],[''Agriculture'']]</f>
        <v>0</v>
      </c>
      <c r="K11" s="11"/>
      <c r="L11" s="15"/>
      <c r="M11" s="15">
        <f>Tableau_Lancer_la_requête_à_partir_de_Excel_Files102[[#This Row],[''ALPC'']]+Tableau_Lancer_la_requête_à_partir_de_Excel_Files102[[#This Row],[''AURA'']]+Tableau_Lancer_la_requête_à_partir_de_Excel_Files102[[#This Row],[''BFC'']]+Tableau_Lancer_la_requête_à_partir_de_Excel_Files102[[#This Row],[''LRMP'']]</f>
        <v>0</v>
      </c>
      <c r="N11" s="15"/>
      <c r="O11" s="15"/>
      <c r="P11" s="15"/>
      <c r="Q11" s="15"/>
      <c r="R11" s="15">
        <f>Tableau_Lancer_la_requête_à_partir_de_Excel_Files102[[#This Row],[''03'']]+Tableau_Lancer_la_requête_à_partir_de_Excel_Files102[[#This Row],[''07'']]+Tableau_Lancer_la_requête_à_partir_de_Excel_Files102[[#This Row],[''11'']]+Tableau_Lancer_la_requête_à_partir_de_Excel_Files102[[#This Row],[''12'']]+Tableau_Lancer_la_requête_à_partir_de_Excel_Files102[[#This Row],[''15'']]+Tableau_Lancer_la_requête_à_partir_de_Excel_Files102[[#This Row],[''19'']]+Tableau_Lancer_la_requête_à_partir_de_Excel_Files102[[#This Row],[''21'']]+Tableau_Lancer_la_requête_à_partir_de_Excel_Files102[[#This Row],[''23'']]+Tableau_Lancer_la_requête_à_partir_de_Excel_Files102[[#This Row],[''30'']]+Tableau_Lancer_la_requête_à_partir_de_Excel_Files102[[#This Row],[''34'']]+Tableau_Lancer_la_requête_à_partir_de_Excel_Files102[[#This Row],[''42'']]+Tableau_Lancer_la_requête_à_partir_de_Excel_Files102[[#This Row],[''43'']]+Tableau_Lancer_la_requête_à_partir_de_Excel_Files102[[#This Row],[''46'']]+Tableau_Lancer_la_requête_à_partir_de_Excel_Files102[[#This Row],[''48'']]+Tableau_Lancer_la_requête_à_partir_de_Excel_Files102[[#This Row],[''58'']]+Tableau_Lancer_la_requête_à_partir_de_Excel_Files102[[#This Row],[''63'']]+Tableau_Lancer_la_requête_à_partir_de_Excel_Files102[[#This Row],[''69'']]+Tableau_Lancer_la_requête_à_partir_de_Excel_Files102[[#This Row],[''71'']]+Tableau_Lancer_la_requête_à_partir_de_Excel_Files102[[#This Row],[''81'']]+Tableau_Lancer_la_requête_à_partir_de_Excel_Files102[[#This Row],[''82'']]+Tableau_Lancer_la_requête_à_partir_de_Excel_Files102[[#This Row],[''87'']]+Tableau_Lancer_la_requête_à_partir_de_Excel_Files102[[#This Row],[''89'']]</f>
        <v>0</v>
      </c>
      <c r="S11" s="15"/>
      <c r="T11" s="15"/>
      <c r="U11" s="15"/>
      <c r="V11" s="15"/>
      <c r="W11" s="15"/>
      <c r="X11" s="15"/>
      <c r="Y11" s="15"/>
      <c r="Z11" s="15"/>
      <c r="AA11" s="15"/>
      <c r="AB11" s="15"/>
      <c r="AC11" s="15"/>
      <c r="AD11" s="15"/>
      <c r="AE11" s="15"/>
      <c r="AF11" s="15"/>
      <c r="AG11" s="15"/>
      <c r="AH11" s="15"/>
      <c r="AI11" s="15"/>
      <c r="AJ11" s="15"/>
      <c r="AK11" s="15"/>
      <c r="AL11" s="15"/>
      <c r="AM11" s="15"/>
      <c r="AN11" s="15"/>
      <c r="AO11" s="15">
        <v>0</v>
      </c>
      <c r="AP11" s="32" t="s">
        <v>77</v>
      </c>
      <c r="AQ11" s="24"/>
    </row>
    <row r="12" spans="1:80" ht="60" x14ac:dyDescent="0.25">
      <c r="A12" s="13" t="s">
        <v>102</v>
      </c>
      <c r="B12" s="12" t="s">
        <v>103</v>
      </c>
      <c r="C12" s="12" t="s">
        <v>104</v>
      </c>
      <c r="D12" s="15">
        <v>354864.511</v>
      </c>
      <c r="E12" s="15">
        <f>Tableau_Lancer_la_requête_à_partir_de_Excel_Files102[[#This Row],[Aide Massif]]+Tableau_Lancer_la_requête_à_partir_de_Excel_Files102[[#This Row],[''Autre Public'']]</f>
        <v>186432.26</v>
      </c>
      <c r="F12" s="16">
        <f>Tableau_Lancer_la_requête_à_partir_de_Excel_Files102[[#This Row],[Aide 
publique]]/Tableau_Lancer_la_requête_à_partir_de_Excel_Files102[[#This Row],[''Coût total éligible'']]</f>
        <v>0.5253618049171449</v>
      </c>
      <c r="G12" s="15">
        <f>Tableau_Lancer_la_requête_à_partir_de_Excel_Files102[[#This Row],[''FEDER'']]+Tableau_Lancer_la_requête_à_partir_de_Excel_Files102[[#This Row],[Total Etat]]+Tableau_Lancer_la_requête_à_partir_de_Excel_Files102[[#This Row],[Total Régions]]+Tableau_Lancer_la_requête_à_partir_de_Excel_Files102[[#This Row],[Total Dpts]]</f>
        <v>186432.26</v>
      </c>
      <c r="H12" s="16">
        <f>Tableau_Lancer_la_requête_à_partir_de_Excel_Files102[[#This Row],[Aide Massif]]/Tableau_Lancer_la_requête_à_partir_de_Excel_Files102[[#This Row],[''Coût total éligible'']]</f>
        <v>0.5253618049171449</v>
      </c>
      <c r="I12" s="15">
        <v>177432.26</v>
      </c>
      <c r="J12" s="15">
        <f>Tableau_Lancer_la_requête_à_partir_de_Excel_Files102[[#This Row],[''FNADT '']]+Tableau_Lancer_la_requête_à_partir_de_Excel_Files102[[#This Row],[''Agriculture'']]</f>
        <v>0</v>
      </c>
      <c r="K12" s="11"/>
      <c r="L12" s="15"/>
      <c r="M12" s="15">
        <f>Tableau_Lancer_la_requête_à_partir_de_Excel_Files102[[#This Row],[''ALPC'']]+Tableau_Lancer_la_requête_à_partir_de_Excel_Files102[[#This Row],[''AURA'']]+Tableau_Lancer_la_requête_à_partir_de_Excel_Files102[[#This Row],[''BFC'']]+Tableau_Lancer_la_requête_à_partir_de_Excel_Files102[[#This Row],[''LRMP'']]</f>
        <v>9000</v>
      </c>
      <c r="N12" s="15">
        <v>9000</v>
      </c>
      <c r="O12" s="15"/>
      <c r="P12" s="15"/>
      <c r="Q12" s="15"/>
      <c r="R12" s="15">
        <f>Tableau_Lancer_la_requête_à_partir_de_Excel_Files102[[#This Row],[''03'']]+Tableau_Lancer_la_requête_à_partir_de_Excel_Files102[[#This Row],[''07'']]+Tableau_Lancer_la_requête_à_partir_de_Excel_Files102[[#This Row],[''11'']]+Tableau_Lancer_la_requête_à_partir_de_Excel_Files102[[#This Row],[''12'']]+Tableau_Lancer_la_requête_à_partir_de_Excel_Files102[[#This Row],[''15'']]+Tableau_Lancer_la_requête_à_partir_de_Excel_Files102[[#This Row],[''19'']]+Tableau_Lancer_la_requête_à_partir_de_Excel_Files102[[#This Row],[''21'']]+Tableau_Lancer_la_requête_à_partir_de_Excel_Files102[[#This Row],[''23'']]+Tableau_Lancer_la_requête_à_partir_de_Excel_Files102[[#This Row],[''30'']]+Tableau_Lancer_la_requête_à_partir_de_Excel_Files102[[#This Row],[''34'']]+Tableau_Lancer_la_requête_à_partir_de_Excel_Files102[[#This Row],[''42'']]+Tableau_Lancer_la_requête_à_partir_de_Excel_Files102[[#This Row],[''43'']]+Tableau_Lancer_la_requête_à_partir_de_Excel_Files102[[#This Row],[''46'']]+Tableau_Lancer_la_requête_à_partir_de_Excel_Files102[[#This Row],[''48'']]+Tableau_Lancer_la_requête_à_partir_de_Excel_Files102[[#This Row],[''58'']]+Tableau_Lancer_la_requête_à_partir_de_Excel_Files102[[#This Row],[''63'']]+Tableau_Lancer_la_requête_à_partir_de_Excel_Files102[[#This Row],[''69'']]+Tableau_Lancer_la_requête_à_partir_de_Excel_Files102[[#This Row],[''71'']]+Tableau_Lancer_la_requête_à_partir_de_Excel_Files102[[#This Row],[''81'']]+Tableau_Lancer_la_requête_à_partir_de_Excel_Files102[[#This Row],[''82'']]+Tableau_Lancer_la_requête_à_partir_de_Excel_Files102[[#This Row],[''87'']]+Tableau_Lancer_la_requête_à_partir_de_Excel_Files102[[#This Row],[''89'']]</f>
        <v>0</v>
      </c>
      <c r="S12" s="15"/>
      <c r="T12" s="15"/>
      <c r="U12" s="15"/>
      <c r="V12" s="15"/>
      <c r="W12" s="15"/>
      <c r="X12" s="15"/>
      <c r="Y12" s="15"/>
      <c r="Z12" s="15"/>
      <c r="AA12" s="15"/>
      <c r="AB12" s="15"/>
      <c r="AC12" s="15"/>
      <c r="AD12" s="15"/>
      <c r="AE12" s="15"/>
      <c r="AF12" s="15"/>
      <c r="AG12" s="15"/>
      <c r="AH12" s="15"/>
      <c r="AI12" s="15"/>
      <c r="AJ12" s="15"/>
      <c r="AK12" s="15"/>
      <c r="AL12" s="15"/>
      <c r="AM12" s="15"/>
      <c r="AN12" s="15"/>
      <c r="AO12" s="15">
        <v>0</v>
      </c>
      <c r="AP12" s="33" t="s">
        <v>262</v>
      </c>
      <c r="AQ12" s="26" t="s">
        <v>457</v>
      </c>
      <c r="AR12" s="10"/>
      <c r="BX12" s="4"/>
      <c r="CB12" s="3"/>
    </row>
    <row r="13" spans="1:80" ht="30" x14ac:dyDescent="0.25">
      <c r="A13" s="13" t="s">
        <v>88</v>
      </c>
      <c r="B13" s="12" t="s">
        <v>89</v>
      </c>
      <c r="C13" s="12" t="s">
        <v>90</v>
      </c>
      <c r="D13" s="15">
        <v>203880</v>
      </c>
      <c r="E13" s="15">
        <f>Tableau_Lancer_la_requête_à_partir_de_Excel_Files102[[#This Row],[Aide Massif]]+Tableau_Lancer_la_requête_à_partir_de_Excel_Files102[[#This Row],[''Autre Public'']]</f>
        <v>139430</v>
      </c>
      <c r="F13" s="16">
        <f>Tableau_Lancer_la_requête_à_partir_de_Excel_Files102[[#This Row],[Aide 
publique]]/Tableau_Lancer_la_requête_à_partir_de_Excel_Files102[[#This Row],[''Coût total éligible'']]</f>
        <v>0.68388267608397091</v>
      </c>
      <c r="G13" s="15">
        <f>Tableau_Lancer_la_requête_à_partir_de_Excel_Files102[[#This Row],[''FEDER'']]+Tableau_Lancer_la_requête_à_partir_de_Excel_Files102[[#This Row],[Total Etat]]+Tableau_Lancer_la_requête_à_partir_de_Excel_Files102[[#This Row],[Total Régions]]+Tableau_Lancer_la_requête_à_partir_de_Excel_Files102[[#This Row],[Total Dpts]]</f>
        <v>139430</v>
      </c>
      <c r="H13" s="16">
        <f>Tableau_Lancer_la_requête_à_partir_de_Excel_Files102[[#This Row],[Aide Massif]]/Tableau_Lancer_la_requête_à_partir_de_Excel_Files102[[#This Row],[''Coût total éligible'']]</f>
        <v>0.68388267608397091</v>
      </c>
      <c r="I13" s="15">
        <v>98654</v>
      </c>
      <c r="J13" s="15">
        <f>Tableau_Lancer_la_requête_à_partir_de_Excel_Files102[[#This Row],[''FNADT '']]+Tableau_Lancer_la_requête_à_partir_de_Excel_Files102[[#This Row],[''Agriculture'']]</f>
        <v>16776</v>
      </c>
      <c r="K13" s="11">
        <v>16776</v>
      </c>
      <c r="L13" s="15"/>
      <c r="M13" s="15">
        <f>Tableau_Lancer_la_requête_à_partir_de_Excel_Files102[[#This Row],[''ALPC'']]+Tableau_Lancer_la_requête_à_partir_de_Excel_Files102[[#This Row],[''AURA'']]+Tableau_Lancer_la_requête_à_partir_de_Excel_Files102[[#This Row],[''BFC'']]+Tableau_Lancer_la_requête_à_partir_de_Excel_Files102[[#This Row],[''LRMP'']]</f>
        <v>24000</v>
      </c>
      <c r="N13" s="15"/>
      <c r="O13" s="15">
        <v>24000</v>
      </c>
      <c r="P13" s="15"/>
      <c r="Q13" s="15"/>
      <c r="R13" s="15">
        <f>Tableau_Lancer_la_requête_à_partir_de_Excel_Files102[[#This Row],[''03'']]+Tableau_Lancer_la_requête_à_partir_de_Excel_Files102[[#This Row],[''07'']]+Tableau_Lancer_la_requête_à_partir_de_Excel_Files102[[#This Row],[''11'']]+Tableau_Lancer_la_requête_à_partir_de_Excel_Files102[[#This Row],[''12'']]+Tableau_Lancer_la_requête_à_partir_de_Excel_Files102[[#This Row],[''15'']]+Tableau_Lancer_la_requête_à_partir_de_Excel_Files102[[#This Row],[''19'']]+Tableau_Lancer_la_requête_à_partir_de_Excel_Files102[[#This Row],[''21'']]+Tableau_Lancer_la_requête_à_partir_de_Excel_Files102[[#This Row],[''23'']]+Tableau_Lancer_la_requête_à_partir_de_Excel_Files102[[#This Row],[''30'']]+Tableau_Lancer_la_requête_à_partir_de_Excel_Files102[[#This Row],[''34'']]+Tableau_Lancer_la_requête_à_partir_de_Excel_Files102[[#This Row],[''42'']]+Tableau_Lancer_la_requête_à_partir_de_Excel_Files102[[#This Row],[''43'']]+Tableau_Lancer_la_requête_à_partir_de_Excel_Files102[[#This Row],[''46'']]+Tableau_Lancer_la_requête_à_partir_de_Excel_Files102[[#This Row],[''48'']]+Tableau_Lancer_la_requête_à_partir_de_Excel_Files102[[#This Row],[''58'']]+Tableau_Lancer_la_requête_à_partir_de_Excel_Files102[[#This Row],[''63'']]+Tableau_Lancer_la_requête_à_partir_de_Excel_Files102[[#This Row],[''69'']]+Tableau_Lancer_la_requête_à_partir_de_Excel_Files102[[#This Row],[''71'']]+Tableau_Lancer_la_requête_à_partir_de_Excel_Files102[[#This Row],[''81'']]+Tableau_Lancer_la_requête_à_partir_de_Excel_Files102[[#This Row],[''82'']]+Tableau_Lancer_la_requête_à_partir_de_Excel_Files102[[#This Row],[''87'']]+Tableau_Lancer_la_requête_à_partir_de_Excel_Files102[[#This Row],[''89'']]</f>
        <v>0</v>
      </c>
      <c r="S13" s="15"/>
      <c r="T13" s="15"/>
      <c r="U13" s="15"/>
      <c r="V13" s="15"/>
      <c r="W13" s="15"/>
      <c r="X13" s="15"/>
      <c r="Y13" s="15"/>
      <c r="Z13" s="15"/>
      <c r="AA13" s="15"/>
      <c r="AB13" s="15"/>
      <c r="AC13" s="15"/>
      <c r="AD13" s="15"/>
      <c r="AE13" s="15"/>
      <c r="AF13" s="15"/>
      <c r="AG13" s="15"/>
      <c r="AH13" s="15"/>
      <c r="AI13" s="15"/>
      <c r="AJ13" s="15"/>
      <c r="AK13" s="15"/>
      <c r="AL13" s="15"/>
      <c r="AM13" s="15"/>
      <c r="AN13" s="15"/>
      <c r="AO13" s="15">
        <v>0</v>
      </c>
      <c r="AP13" s="32" t="s">
        <v>77</v>
      </c>
      <c r="AQ13" s="24"/>
      <c r="AR13" s="10"/>
      <c r="BX13" s="4"/>
      <c r="CB13" s="3"/>
    </row>
    <row r="14" spans="1:80" ht="30" x14ac:dyDescent="0.25">
      <c r="A14" s="6" t="s">
        <v>74</v>
      </c>
      <c r="B14" s="5" t="s">
        <v>75</v>
      </c>
      <c r="C14" s="5" t="s">
        <v>76</v>
      </c>
      <c r="D14" s="8">
        <v>71390</v>
      </c>
      <c r="E14" s="8">
        <f>Tableau_Lancer_la_requête_à_partir_de_Excel_Files102[[#This Row],[Aide Massif]]+Tableau_Lancer_la_requête_à_partir_de_Excel_Files102[[#This Row],[''Autre Public'']]</f>
        <v>42834</v>
      </c>
      <c r="F14" s="9">
        <f>Tableau_Lancer_la_requête_à_partir_de_Excel_Files102[[#This Row],[Aide 
publique]]/Tableau_Lancer_la_requête_à_partir_de_Excel_Files102[[#This Row],[''Coût total éligible'']]</f>
        <v>0.6</v>
      </c>
      <c r="G14" s="15">
        <f>Tableau_Lancer_la_requête_à_partir_de_Excel_Files102[[#This Row],[''FEDER'']]+Tableau_Lancer_la_requête_à_partir_de_Excel_Files102[[#This Row],[Total Etat]]+Tableau_Lancer_la_requête_à_partir_de_Excel_Files102[[#This Row],[Total Régions]]+Tableau_Lancer_la_requête_à_partir_de_Excel_Files102[[#This Row],[Total Dpts]]</f>
        <v>42834</v>
      </c>
      <c r="H14" s="9">
        <f>Tableau_Lancer_la_requête_à_partir_de_Excel_Files102[[#This Row],[Aide Massif]]/Tableau_Lancer_la_requête_à_partir_de_Excel_Files102[[#This Row],[''Coût total éligible'']]</f>
        <v>0.6</v>
      </c>
      <c r="I14" s="8">
        <v>29983.8</v>
      </c>
      <c r="J14" s="8">
        <f>Tableau_Lancer_la_requête_à_partir_de_Excel_Files102[[#This Row],[''FNADT '']]+Tableau_Lancer_la_requête_à_partir_de_Excel_Files102[[#This Row],[''Agriculture'']]</f>
        <v>12850.2</v>
      </c>
      <c r="K14" s="10">
        <v>12850.2</v>
      </c>
      <c r="L14" s="8"/>
      <c r="M14" s="8">
        <f>Tableau_Lancer_la_requête_à_partir_de_Excel_Files102[[#This Row],[''ALPC'']]+Tableau_Lancer_la_requête_à_partir_de_Excel_Files102[[#This Row],[''AURA'']]+Tableau_Lancer_la_requête_à_partir_de_Excel_Files102[[#This Row],[''BFC'']]+Tableau_Lancer_la_requête_à_partir_de_Excel_Files102[[#This Row],[''LRMP'']]</f>
        <v>0</v>
      </c>
      <c r="N14" s="8"/>
      <c r="O14" s="8"/>
      <c r="P14" s="8"/>
      <c r="Q14" s="8"/>
      <c r="R14" s="8">
        <f>Tableau_Lancer_la_requête_à_partir_de_Excel_Files102[[#This Row],[''03'']]+Tableau_Lancer_la_requête_à_partir_de_Excel_Files102[[#This Row],[''07'']]+Tableau_Lancer_la_requête_à_partir_de_Excel_Files102[[#This Row],[''11'']]+Tableau_Lancer_la_requête_à_partir_de_Excel_Files102[[#This Row],[''12'']]+Tableau_Lancer_la_requête_à_partir_de_Excel_Files102[[#This Row],[''15'']]+Tableau_Lancer_la_requête_à_partir_de_Excel_Files102[[#This Row],[''19'']]+Tableau_Lancer_la_requête_à_partir_de_Excel_Files102[[#This Row],[''21'']]+Tableau_Lancer_la_requête_à_partir_de_Excel_Files102[[#This Row],[''23'']]+Tableau_Lancer_la_requête_à_partir_de_Excel_Files102[[#This Row],[''30'']]+Tableau_Lancer_la_requête_à_partir_de_Excel_Files102[[#This Row],[''34'']]+Tableau_Lancer_la_requête_à_partir_de_Excel_Files102[[#This Row],[''42'']]+Tableau_Lancer_la_requête_à_partir_de_Excel_Files102[[#This Row],[''43'']]+Tableau_Lancer_la_requête_à_partir_de_Excel_Files102[[#This Row],[''46'']]+Tableau_Lancer_la_requête_à_partir_de_Excel_Files102[[#This Row],[''48'']]+Tableau_Lancer_la_requête_à_partir_de_Excel_Files102[[#This Row],[''58'']]+Tableau_Lancer_la_requête_à_partir_de_Excel_Files102[[#This Row],[''63'']]+Tableau_Lancer_la_requête_à_partir_de_Excel_Files102[[#This Row],[''69'']]+Tableau_Lancer_la_requête_à_partir_de_Excel_Files102[[#This Row],[''71'']]+Tableau_Lancer_la_requête_à_partir_de_Excel_Files102[[#This Row],[''81'']]+Tableau_Lancer_la_requête_à_partir_de_Excel_Files102[[#This Row],[''82'']]+Tableau_Lancer_la_requête_à_partir_de_Excel_Files102[[#This Row],[''87'']]+Tableau_Lancer_la_requête_à_partir_de_Excel_Files102[[#This Row],[''89'']]</f>
        <v>0</v>
      </c>
      <c r="S14" s="8"/>
      <c r="T14" s="8"/>
      <c r="U14" s="8"/>
      <c r="V14" s="8"/>
      <c r="W14" s="8"/>
      <c r="X14" s="8"/>
      <c r="Y14" s="8"/>
      <c r="Z14" s="8"/>
      <c r="AA14" s="8"/>
      <c r="AB14" s="8"/>
      <c r="AC14" s="8"/>
      <c r="AD14" s="8"/>
      <c r="AE14" s="8"/>
      <c r="AF14" s="8"/>
      <c r="AG14" s="8"/>
      <c r="AH14" s="8"/>
      <c r="AI14" s="8"/>
      <c r="AJ14" s="8"/>
      <c r="AK14" s="8"/>
      <c r="AL14" s="8"/>
      <c r="AM14" s="8"/>
      <c r="AN14" s="8"/>
      <c r="AO14" s="8">
        <v>0</v>
      </c>
      <c r="AP14" s="33" t="s">
        <v>77</v>
      </c>
      <c r="AQ14" s="25"/>
      <c r="AR14" s="10"/>
      <c r="BX14" s="4"/>
      <c r="CB14" s="3"/>
    </row>
    <row r="15" spans="1:80" ht="45" x14ac:dyDescent="0.25">
      <c r="A15" s="13" t="s">
        <v>81</v>
      </c>
      <c r="B15" s="12" t="s">
        <v>82</v>
      </c>
      <c r="C15" s="12" t="s">
        <v>83</v>
      </c>
      <c r="D15" s="15">
        <v>287875.06</v>
      </c>
      <c r="E15" s="15">
        <f>Tableau_Lancer_la_requête_à_partir_de_Excel_Files102[[#This Row],[Aide Massif]]+Tableau_Lancer_la_requête_à_partir_de_Excel_Files102[[#This Row],[''Autre Public'']]</f>
        <v>201512.53999999998</v>
      </c>
      <c r="F15" s="16">
        <f>Tableau_Lancer_la_requête_à_partir_de_Excel_Files102[[#This Row],[Aide 
publique]]/Tableau_Lancer_la_requête_à_partir_de_Excel_Files102[[#This Row],[''Coût total éligible'']]</f>
        <v>0.69999999305254157</v>
      </c>
      <c r="G15" s="15">
        <f>Tableau_Lancer_la_requête_à_partir_de_Excel_Files102[[#This Row],[''FEDER'']]+Tableau_Lancer_la_requête_à_partir_de_Excel_Files102[[#This Row],[Total Etat]]+Tableau_Lancer_la_requête_à_partir_de_Excel_Files102[[#This Row],[Total Régions]]+Tableau_Lancer_la_requête_à_partir_de_Excel_Files102[[#This Row],[Total Dpts]]</f>
        <v>201512.53999999998</v>
      </c>
      <c r="H15" s="16">
        <f>Tableau_Lancer_la_requête_à_partir_de_Excel_Files102[[#This Row],[Aide Massif]]/Tableau_Lancer_la_requête_à_partir_de_Excel_Files102[[#This Row],[''Coût total éligible'']]</f>
        <v>0.69999999305254157</v>
      </c>
      <c r="I15" s="15">
        <v>122397.54</v>
      </c>
      <c r="J15" s="15">
        <f>Tableau_Lancer_la_requête_à_partir_de_Excel_Files102[[#This Row],[''FNADT '']]+Tableau_Lancer_la_requête_à_partir_de_Excel_Files102[[#This Row],[''Agriculture'']]</f>
        <v>63381</v>
      </c>
      <c r="K15" s="11">
        <v>63381</v>
      </c>
      <c r="L15" s="15"/>
      <c r="M15" s="15">
        <f>Tableau_Lancer_la_requête_à_partir_de_Excel_Files102[[#This Row],[''ALPC'']]+Tableau_Lancer_la_requête_à_partir_de_Excel_Files102[[#This Row],[''AURA'']]+Tableau_Lancer_la_requête_à_partir_de_Excel_Files102[[#This Row],[''BFC'']]+Tableau_Lancer_la_requête_à_partir_de_Excel_Files102[[#This Row],[''LRMP'']]</f>
        <v>15734</v>
      </c>
      <c r="N15" s="15"/>
      <c r="O15" s="15">
        <v>15734</v>
      </c>
      <c r="P15" s="15"/>
      <c r="Q15" s="15"/>
      <c r="R15" s="15">
        <f>Tableau_Lancer_la_requête_à_partir_de_Excel_Files102[[#This Row],[''03'']]+Tableau_Lancer_la_requête_à_partir_de_Excel_Files102[[#This Row],[''07'']]+Tableau_Lancer_la_requête_à_partir_de_Excel_Files102[[#This Row],[''11'']]+Tableau_Lancer_la_requête_à_partir_de_Excel_Files102[[#This Row],[''12'']]+Tableau_Lancer_la_requête_à_partir_de_Excel_Files102[[#This Row],[''15'']]+Tableau_Lancer_la_requête_à_partir_de_Excel_Files102[[#This Row],[''19'']]+Tableau_Lancer_la_requête_à_partir_de_Excel_Files102[[#This Row],[''21'']]+Tableau_Lancer_la_requête_à_partir_de_Excel_Files102[[#This Row],[''23'']]+Tableau_Lancer_la_requête_à_partir_de_Excel_Files102[[#This Row],[''30'']]+Tableau_Lancer_la_requête_à_partir_de_Excel_Files102[[#This Row],[''34'']]+Tableau_Lancer_la_requête_à_partir_de_Excel_Files102[[#This Row],[''42'']]+Tableau_Lancer_la_requête_à_partir_de_Excel_Files102[[#This Row],[''43'']]+Tableau_Lancer_la_requête_à_partir_de_Excel_Files102[[#This Row],[''46'']]+Tableau_Lancer_la_requête_à_partir_de_Excel_Files102[[#This Row],[''48'']]+Tableau_Lancer_la_requête_à_partir_de_Excel_Files102[[#This Row],[''58'']]+Tableau_Lancer_la_requête_à_partir_de_Excel_Files102[[#This Row],[''63'']]+Tableau_Lancer_la_requête_à_partir_de_Excel_Files102[[#This Row],[''69'']]+Tableau_Lancer_la_requête_à_partir_de_Excel_Files102[[#This Row],[''71'']]+Tableau_Lancer_la_requête_à_partir_de_Excel_Files102[[#This Row],[''81'']]+Tableau_Lancer_la_requête_à_partir_de_Excel_Files102[[#This Row],[''82'']]+Tableau_Lancer_la_requête_à_partir_de_Excel_Files102[[#This Row],[''87'']]+Tableau_Lancer_la_requête_à_partir_de_Excel_Files102[[#This Row],[''89'']]</f>
        <v>0</v>
      </c>
      <c r="S15" s="15"/>
      <c r="T15" s="15"/>
      <c r="U15" s="15"/>
      <c r="V15" s="15"/>
      <c r="W15" s="15"/>
      <c r="X15" s="15"/>
      <c r="Y15" s="15"/>
      <c r="Z15" s="15"/>
      <c r="AA15" s="15"/>
      <c r="AB15" s="15"/>
      <c r="AC15" s="15"/>
      <c r="AD15" s="15"/>
      <c r="AE15" s="15"/>
      <c r="AF15" s="15"/>
      <c r="AG15" s="15"/>
      <c r="AH15" s="15"/>
      <c r="AI15" s="15"/>
      <c r="AJ15" s="15"/>
      <c r="AK15" s="15"/>
      <c r="AL15" s="15"/>
      <c r="AM15" s="15"/>
      <c r="AN15" s="15"/>
      <c r="AO15" s="15">
        <v>0</v>
      </c>
      <c r="AP15" s="32" t="s">
        <v>77</v>
      </c>
      <c r="AQ15" s="24"/>
      <c r="BX15" s="4"/>
      <c r="CB15" s="3"/>
    </row>
    <row r="16" spans="1:80" ht="45" x14ac:dyDescent="0.25">
      <c r="A16" s="13" t="s">
        <v>84</v>
      </c>
      <c r="B16" s="12" t="s">
        <v>75</v>
      </c>
      <c r="C16" s="12" t="s">
        <v>83</v>
      </c>
      <c r="D16" s="15">
        <v>137824</v>
      </c>
      <c r="E16" s="15">
        <f>Tableau_Lancer_la_requête_à_partir_de_Excel_Files102[[#This Row],[Aide Massif]]+Tableau_Lancer_la_requête_à_partir_de_Excel_Files102[[#This Row],[''Autre Public'']]</f>
        <v>82694.399999999994</v>
      </c>
      <c r="F16" s="16">
        <f>Tableau_Lancer_la_requête_à_partir_de_Excel_Files102[[#This Row],[Aide 
publique]]/Tableau_Lancer_la_requête_à_partir_de_Excel_Files102[[#This Row],[''Coût total éligible'']]</f>
        <v>0.6</v>
      </c>
      <c r="G16" s="15">
        <f>Tableau_Lancer_la_requête_à_partir_de_Excel_Files102[[#This Row],[''FEDER'']]+Tableau_Lancer_la_requête_à_partir_de_Excel_Files102[[#This Row],[Total Etat]]+Tableau_Lancer_la_requête_à_partir_de_Excel_Files102[[#This Row],[Total Régions]]+Tableau_Lancer_la_requête_à_partir_de_Excel_Files102[[#This Row],[Total Dpts]]</f>
        <v>82694.399999999994</v>
      </c>
      <c r="H16" s="16">
        <f>Tableau_Lancer_la_requête_à_partir_de_Excel_Files102[[#This Row],[Aide Massif]]/Tableau_Lancer_la_requête_à_partir_de_Excel_Files102[[#This Row],[''Coût total éligible'']]</f>
        <v>0.6</v>
      </c>
      <c r="I16" s="15">
        <v>54782.400000000001</v>
      </c>
      <c r="J16" s="15">
        <f>Tableau_Lancer_la_requête_à_partir_de_Excel_Files102[[#This Row],[''FNADT '']]+Tableau_Lancer_la_requête_à_partir_de_Excel_Files102[[#This Row],[''Agriculture'']]</f>
        <v>27912</v>
      </c>
      <c r="K16" s="11">
        <v>27912</v>
      </c>
      <c r="L16" s="15"/>
      <c r="M16" s="15">
        <f>Tableau_Lancer_la_requête_à_partir_de_Excel_Files102[[#This Row],[''ALPC'']]+Tableau_Lancer_la_requête_à_partir_de_Excel_Files102[[#This Row],[''AURA'']]+Tableau_Lancer_la_requête_à_partir_de_Excel_Files102[[#This Row],[''BFC'']]+Tableau_Lancer_la_requête_à_partir_de_Excel_Files102[[#This Row],[''LRMP'']]</f>
        <v>0</v>
      </c>
      <c r="N16" s="15"/>
      <c r="O16" s="15"/>
      <c r="P16" s="15"/>
      <c r="Q16" s="15"/>
      <c r="R16" s="15">
        <f>Tableau_Lancer_la_requête_à_partir_de_Excel_Files102[[#This Row],[''03'']]+Tableau_Lancer_la_requête_à_partir_de_Excel_Files102[[#This Row],[''07'']]+Tableau_Lancer_la_requête_à_partir_de_Excel_Files102[[#This Row],[''11'']]+Tableau_Lancer_la_requête_à_partir_de_Excel_Files102[[#This Row],[''12'']]+Tableau_Lancer_la_requête_à_partir_de_Excel_Files102[[#This Row],[''15'']]+Tableau_Lancer_la_requête_à_partir_de_Excel_Files102[[#This Row],[''19'']]+Tableau_Lancer_la_requête_à_partir_de_Excel_Files102[[#This Row],[''21'']]+Tableau_Lancer_la_requête_à_partir_de_Excel_Files102[[#This Row],[''23'']]+Tableau_Lancer_la_requête_à_partir_de_Excel_Files102[[#This Row],[''30'']]+Tableau_Lancer_la_requête_à_partir_de_Excel_Files102[[#This Row],[''34'']]+Tableau_Lancer_la_requête_à_partir_de_Excel_Files102[[#This Row],[''42'']]+Tableau_Lancer_la_requête_à_partir_de_Excel_Files102[[#This Row],[''43'']]+Tableau_Lancer_la_requête_à_partir_de_Excel_Files102[[#This Row],[''46'']]+Tableau_Lancer_la_requête_à_partir_de_Excel_Files102[[#This Row],[''48'']]+Tableau_Lancer_la_requête_à_partir_de_Excel_Files102[[#This Row],[''58'']]+Tableau_Lancer_la_requête_à_partir_de_Excel_Files102[[#This Row],[''63'']]+Tableau_Lancer_la_requête_à_partir_de_Excel_Files102[[#This Row],[''69'']]+Tableau_Lancer_la_requête_à_partir_de_Excel_Files102[[#This Row],[''71'']]+Tableau_Lancer_la_requête_à_partir_de_Excel_Files102[[#This Row],[''81'']]+Tableau_Lancer_la_requête_à_partir_de_Excel_Files102[[#This Row],[''82'']]+Tableau_Lancer_la_requête_à_partir_de_Excel_Files102[[#This Row],[''87'']]+Tableau_Lancer_la_requête_à_partir_de_Excel_Files102[[#This Row],[''89'']]</f>
        <v>0</v>
      </c>
      <c r="S16" s="15"/>
      <c r="T16" s="15"/>
      <c r="U16" s="15"/>
      <c r="V16" s="15"/>
      <c r="W16" s="15"/>
      <c r="X16" s="15"/>
      <c r="Y16" s="15"/>
      <c r="Z16" s="15"/>
      <c r="AA16" s="15"/>
      <c r="AB16" s="15"/>
      <c r="AC16" s="15"/>
      <c r="AD16" s="15"/>
      <c r="AE16" s="15"/>
      <c r="AF16" s="15"/>
      <c r="AG16" s="15"/>
      <c r="AH16" s="15"/>
      <c r="AI16" s="15"/>
      <c r="AJ16" s="15"/>
      <c r="AK16" s="15"/>
      <c r="AL16" s="15"/>
      <c r="AM16" s="15"/>
      <c r="AN16" s="15"/>
      <c r="AO16" s="15">
        <v>0</v>
      </c>
      <c r="AP16" s="33" t="s">
        <v>77</v>
      </c>
      <c r="AQ16" s="26"/>
      <c r="BX16" s="4"/>
      <c r="CB16" s="3"/>
    </row>
    <row r="17" spans="1:80" s="7" customFormat="1" ht="45" x14ac:dyDescent="0.25">
      <c r="A17" s="13" t="s">
        <v>105</v>
      </c>
      <c r="B17" s="12" t="s">
        <v>106</v>
      </c>
      <c r="C17" s="12" t="s">
        <v>83</v>
      </c>
      <c r="D17" s="15">
        <v>339643.07</v>
      </c>
      <c r="E17" s="15">
        <f>Tableau_Lancer_la_requête_à_partir_de_Excel_Files102[[#This Row],[Aide Massif]]+Tableau_Lancer_la_requête_à_partir_de_Excel_Files102[[#This Row],[''Autre Public'']]</f>
        <v>0</v>
      </c>
      <c r="F17" s="16">
        <f>Tableau_Lancer_la_requête_à_partir_de_Excel_Files102[[#This Row],[Aide 
publique]]/Tableau_Lancer_la_requête_à_partir_de_Excel_Files102[[#This Row],[''Coût total éligible'']]</f>
        <v>0</v>
      </c>
      <c r="G17" s="15">
        <f>Tableau_Lancer_la_requête_à_partir_de_Excel_Files102[[#This Row],[''FEDER'']]+Tableau_Lancer_la_requête_à_partir_de_Excel_Files102[[#This Row],[Total Etat]]+Tableau_Lancer_la_requête_à_partir_de_Excel_Files102[[#This Row],[Total Régions]]+Tableau_Lancer_la_requête_à_partir_de_Excel_Files102[[#This Row],[Total Dpts]]</f>
        <v>0</v>
      </c>
      <c r="H17" s="16">
        <f>Tableau_Lancer_la_requête_à_partir_de_Excel_Files102[[#This Row],[Aide Massif]]/Tableau_Lancer_la_requête_à_partir_de_Excel_Files102[[#This Row],[''Coût total éligible'']]</f>
        <v>0</v>
      </c>
      <c r="I17" s="15">
        <v>0</v>
      </c>
      <c r="J17" s="15">
        <f>Tableau_Lancer_la_requête_à_partir_de_Excel_Files102[[#This Row],[''FNADT '']]+Tableau_Lancer_la_requête_à_partir_de_Excel_Files102[[#This Row],[''Agriculture'']]</f>
        <v>0</v>
      </c>
      <c r="K17" s="11"/>
      <c r="L17" s="15"/>
      <c r="M17" s="15">
        <f>Tableau_Lancer_la_requête_à_partir_de_Excel_Files102[[#This Row],[''ALPC'']]+Tableau_Lancer_la_requête_à_partir_de_Excel_Files102[[#This Row],[''AURA'']]+Tableau_Lancer_la_requête_à_partir_de_Excel_Files102[[#This Row],[''BFC'']]+Tableau_Lancer_la_requête_à_partir_de_Excel_Files102[[#This Row],[''LRMP'']]</f>
        <v>0</v>
      </c>
      <c r="N17" s="15"/>
      <c r="O17" s="15"/>
      <c r="P17" s="15"/>
      <c r="Q17" s="15"/>
      <c r="R17" s="15">
        <f>Tableau_Lancer_la_requête_à_partir_de_Excel_Files102[[#This Row],[''03'']]+Tableau_Lancer_la_requête_à_partir_de_Excel_Files102[[#This Row],[''07'']]+Tableau_Lancer_la_requête_à_partir_de_Excel_Files102[[#This Row],[''11'']]+Tableau_Lancer_la_requête_à_partir_de_Excel_Files102[[#This Row],[''12'']]+Tableau_Lancer_la_requête_à_partir_de_Excel_Files102[[#This Row],[''15'']]+Tableau_Lancer_la_requête_à_partir_de_Excel_Files102[[#This Row],[''19'']]+Tableau_Lancer_la_requête_à_partir_de_Excel_Files102[[#This Row],[''21'']]+Tableau_Lancer_la_requête_à_partir_de_Excel_Files102[[#This Row],[''23'']]+Tableau_Lancer_la_requête_à_partir_de_Excel_Files102[[#This Row],[''30'']]+Tableau_Lancer_la_requête_à_partir_de_Excel_Files102[[#This Row],[''34'']]+Tableau_Lancer_la_requête_à_partir_de_Excel_Files102[[#This Row],[''42'']]+Tableau_Lancer_la_requête_à_partir_de_Excel_Files102[[#This Row],[''43'']]+Tableau_Lancer_la_requête_à_partir_de_Excel_Files102[[#This Row],[''46'']]+Tableau_Lancer_la_requête_à_partir_de_Excel_Files102[[#This Row],[''48'']]+Tableau_Lancer_la_requête_à_partir_de_Excel_Files102[[#This Row],[''58'']]+Tableau_Lancer_la_requête_à_partir_de_Excel_Files102[[#This Row],[''63'']]+Tableau_Lancer_la_requête_à_partir_de_Excel_Files102[[#This Row],[''69'']]+Tableau_Lancer_la_requête_à_partir_de_Excel_Files102[[#This Row],[''71'']]+Tableau_Lancer_la_requête_à_partir_de_Excel_Files102[[#This Row],[''81'']]+Tableau_Lancer_la_requête_à_partir_de_Excel_Files102[[#This Row],[''82'']]+Tableau_Lancer_la_requête_à_partir_de_Excel_Files102[[#This Row],[''87'']]+Tableau_Lancer_la_requête_à_partir_de_Excel_Files102[[#This Row],[''89'']]</f>
        <v>0</v>
      </c>
      <c r="S17" s="15"/>
      <c r="T17" s="15"/>
      <c r="U17" s="15"/>
      <c r="V17" s="15"/>
      <c r="W17" s="15"/>
      <c r="X17" s="15"/>
      <c r="Y17" s="15"/>
      <c r="Z17" s="15"/>
      <c r="AA17" s="15"/>
      <c r="AB17" s="15"/>
      <c r="AC17" s="15"/>
      <c r="AD17" s="15"/>
      <c r="AE17" s="15"/>
      <c r="AF17" s="15"/>
      <c r="AG17" s="15"/>
      <c r="AH17" s="15"/>
      <c r="AI17" s="15"/>
      <c r="AJ17" s="15"/>
      <c r="AK17" s="15"/>
      <c r="AL17" s="15"/>
      <c r="AM17" s="15"/>
      <c r="AN17" s="15"/>
      <c r="AO17" s="15">
        <v>0</v>
      </c>
      <c r="AP17" s="32" t="s">
        <v>107</v>
      </c>
      <c r="AQ17" s="24" t="s">
        <v>255</v>
      </c>
    </row>
    <row r="18" spans="1:80" s="10" customFormat="1" ht="30.75" thickBot="1" x14ac:dyDescent="0.3">
      <c r="A18" s="13" t="s">
        <v>78</v>
      </c>
      <c r="B18" s="12" t="s">
        <v>79</v>
      </c>
      <c r="C18" s="12" t="s">
        <v>80</v>
      </c>
      <c r="D18" s="15">
        <v>190135</v>
      </c>
      <c r="E18" s="15">
        <f>Tableau_Lancer_la_requête_à_partir_de_Excel_Files102[[#This Row],[Aide Massif]]+Tableau_Lancer_la_requête_à_partir_de_Excel_Files102[[#This Row],[''Autre Public'']]</f>
        <v>132597.20000000001</v>
      </c>
      <c r="F18" s="16">
        <f>Tableau_Lancer_la_requête_à_partir_de_Excel_Files102[[#This Row],[Aide 
publique]]/Tableau_Lancer_la_requête_à_partir_de_Excel_Files102[[#This Row],[''Coût total éligible'']]</f>
        <v>0.69738448996765467</v>
      </c>
      <c r="G18" s="15">
        <f>Tableau_Lancer_la_requête_à_partir_de_Excel_Files102[[#This Row],[''FEDER'']]+Tableau_Lancer_la_requête_à_partir_de_Excel_Files102[[#This Row],[Total Etat]]+Tableau_Lancer_la_requête_à_partir_de_Excel_Files102[[#This Row],[Total Régions]]+Tableau_Lancer_la_requête_à_partir_de_Excel_Files102[[#This Row],[Total Dpts]]</f>
        <v>132597.20000000001</v>
      </c>
      <c r="H18" s="16">
        <f>Tableau_Lancer_la_requête_à_partir_de_Excel_Files102[[#This Row],[Aide Massif]]/Tableau_Lancer_la_requête_à_partir_de_Excel_Files102[[#This Row],[''Coût total éligible'']]</f>
        <v>0.69738448996765467</v>
      </c>
      <c r="I18" s="15">
        <v>92818.04</v>
      </c>
      <c r="J18" s="15">
        <f>Tableau_Lancer_la_requête_à_partir_de_Excel_Files102[[#This Row],[''FNADT '']]+Tableau_Lancer_la_requête_à_partir_de_Excel_Files102[[#This Row],[''Agriculture'']]</f>
        <v>39779.160000000003</v>
      </c>
      <c r="K18" s="11">
        <v>39779.160000000003</v>
      </c>
      <c r="L18" s="15"/>
      <c r="M18" s="15">
        <f>Tableau_Lancer_la_requête_à_partir_de_Excel_Files102[[#This Row],[''ALPC'']]+Tableau_Lancer_la_requête_à_partir_de_Excel_Files102[[#This Row],[''AURA'']]+Tableau_Lancer_la_requête_à_partir_de_Excel_Files102[[#This Row],[''BFC'']]+Tableau_Lancer_la_requête_à_partir_de_Excel_Files102[[#This Row],[''LRMP'']]</f>
        <v>0</v>
      </c>
      <c r="N18" s="15"/>
      <c r="O18" s="15"/>
      <c r="P18" s="15"/>
      <c r="Q18" s="15"/>
      <c r="R18" s="15">
        <f>Tableau_Lancer_la_requête_à_partir_de_Excel_Files102[[#This Row],[''03'']]+Tableau_Lancer_la_requête_à_partir_de_Excel_Files102[[#This Row],[''07'']]+Tableau_Lancer_la_requête_à_partir_de_Excel_Files102[[#This Row],[''11'']]+Tableau_Lancer_la_requête_à_partir_de_Excel_Files102[[#This Row],[''12'']]+Tableau_Lancer_la_requête_à_partir_de_Excel_Files102[[#This Row],[''15'']]+Tableau_Lancer_la_requête_à_partir_de_Excel_Files102[[#This Row],[''19'']]+Tableau_Lancer_la_requête_à_partir_de_Excel_Files102[[#This Row],[''21'']]+Tableau_Lancer_la_requête_à_partir_de_Excel_Files102[[#This Row],[''23'']]+Tableau_Lancer_la_requête_à_partir_de_Excel_Files102[[#This Row],[''30'']]+Tableau_Lancer_la_requête_à_partir_de_Excel_Files102[[#This Row],[''34'']]+Tableau_Lancer_la_requête_à_partir_de_Excel_Files102[[#This Row],[''42'']]+Tableau_Lancer_la_requête_à_partir_de_Excel_Files102[[#This Row],[''43'']]+Tableau_Lancer_la_requête_à_partir_de_Excel_Files102[[#This Row],[''46'']]+Tableau_Lancer_la_requête_à_partir_de_Excel_Files102[[#This Row],[''48'']]+Tableau_Lancer_la_requête_à_partir_de_Excel_Files102[[#This Row],[''58'']]+Tableau_Lancer_la_requête_à_partir_de_Excel_Files102[[#This Row],[''63'']]+Tableau_Lancer_la_requête_à_partir_de_Excel_Files102[[#This Row],[''69'']]+Tableau_Lancer_la_requête_à_partir_de_Excel_Files102[[#This Row],[''71'']]+Tableau_Lancer_la_requête_à_partir_de_Excel_Files102[[#This Row],[''81'']]+Tableau_Lancer_la_requête_à_partir_de_Excel_Files102[[#This Row],[''82'']]+Tableau_Lancer_la_requête_à_partir_de_Excel_Files102[[#This Row],[''87'']]+Tableau_Lancer_la_requête_à_partir_de_Excel_Files102[[#This Row],[''89'']]</f>
        <v>0</v>
      </c>
      <c r="S18" s="15"/>
      <c r="T18" s="15"/>
      <c r="U18" s="15"/>
      <c r="V18" s="15"/>
      <c r="W18" s="15"/>
      <c r="X18" s="15"/>
      <c r="Y18" s="15"/>
      <c r="Z18" s="15"/>
      <c r="AA18" s="15"/>
      <c r="AB18" s="15"/>
      <c r="AC18" s="15"/>
      <c r="AD18" s="15"/>
      <c r="AE18" s="15"/>
      <c r="AF18" s="15"/>
      <c r="AG18" s="15"/>
      <c r="AH18" s="15"/>
      <c r="AI18" s="15"/>
      <c r="AJ18" s="15"/>
      <c r="AK18" s="15"/>
      <c r="AL18" s="15"/>
      <c r="AM18" s="15"/>
      <c r="AN18" s="15"/>
      <c r="AO18" s="15">
        <v>0</v>
      </c>
      <c r="AP18" s="35" t="s">
        <v>77</v>
      </c>
      <c r="AQ18" s="26"/>
    </row>
    <row r="19" spans="1:80" ht="15.75" thickTop="1" x14ac:dyDescent="0.25">
      <c r="A19" s="70" t="s">
        <v>11</v>
      </c>
      <c r="B19" s="71">
        <f>SUBTOTAL(103,Tableau_Lancer_la_requête_à_partir_de_Excel_Files102[Nom_MO])</f>
        <v>12</v>
      </c>
      <c r="C19" s="71"/>
      <c r="D19" s="72">
        <f>SUBTOTAL(109,Tableau_Lancer_la_requête_à_partir_de_Excel_Files102[''Coût total éligible''])</f>
        <v>3203576.2209999999</v>
      </c>
      <c r="E19" s="72">
        <f>SUBTOTAL(109,Tableau_Lancer_la_requête_à_partir_de_Excel_Files102[Aide 
publique])</f>
        <v>1485133.9999999998</v>
      </c>
      <c r="F19" s="73"/>
      <c r="G19" s="72">
        <f>SUBTOTAL(109,Tableau_Lancer_la_requête_à_partir_de_Excel_Files102[Aide Massif])</f>
        <v>1485133.9999999998</v>
      </c>
      <c r="H19" s="73"/>
      <c r="I19" s="72">
        <f>SUBTOTAL(109,Tableau_Lancer_la_requête_à_partir_de_Excel_Files102[''FEDER''])</f>
        <v>1060126.02</v>
      </c>
      <c r="J19" s="72">
        <f>SUBTOTAL(109,Tableau_Lancer_la_requête_à_partir_de_Excel_Files102[Total Etat])</f>
        <v>301073.98</v>
      </c>
      <c r="K19" s="70"/>
      <c r="L19" s="72">
        <f>SUBTOTAL(109,Tableau_Lancer_la_requête_à_partir_de_Excel_Files102[''Agriculture''])</f>
        <v>0</v>
      </c>
      <c r="M19" s="72">
        <f>SUBTOTAL(109,Tableau_Lancer_la_requête_à_partir_de_Excel_Files102[Total Régions])</f>
        <v>123934</v>
      </c>
      <c r="N19" s="72">
        <f>SUBTOTAL(109,Tableau_Lancer_la_requête_à_partir_de_Excel_Files102[''ALPC''])</f>
        <v>39000</v>
      </c>
      <c r="O19" s="72">
        <f>SUBTOTAL(109,Tableau_Lancer_la_requête_à_partir_de_Excel_Files102[''AURA''])</f>
        <v>69734</v>
      </c>
      <c r="P19" s="72">
        <f>SUBTOTAL(109,Tableau_Lancer_la_requête_à_partir_de_Excel_Files102[''BFC''])</f>
        <v>15200</v>
      </c>
      <c r="Q19" s="72">
        <f>SUBTOTAL(109,Tableau_Lancer_la_requête_à_partir_de_Excel_Files102[''LRMP''])</f>
        <v>0</v>
      </c>
      <c r="R19" s="72">
        <f>SUBTOTAL(109,Tableau_Lancer_la_requête_à_partir_de_Excel_Files102[Total Dpts])</f>
        <v>0</v>
      </c>
      <c r="S19" s="72">
        <f>SUBTOTAL(109,Tableau_Lancer_la_requête_à_partir_de_Excel_Files102[''03''])</f>
        <v>0</v>
      </c>
      <c r="T19" s="72">
        <f>SUBTOTAL(109,Tableau_Lancer_la_requête_à_partir_de_Excel_Files102[''07''])</f>
        <v>0</v>
      </c>
      <c r="U19" s="72">
        <f>SUBTOTAL(109,Tableau_Lancer_la_requête_à_partir_de_Excel_Files102[''11''])</f>
        <v>0</v>
      </c>
      <c r="V19" s="72">
        <f>SUBTOTAL(109,Tableau_Lancer_la_requête_à_partir_de_Excel_Files102[''12''])</f>
        <v>0</v>
      </c>
      <c r="W19" s="72">
        <f>SUBTOTAL(109,Tableau_Lancer_la_requête_à_partir_de_Excel_Files102[''15''])</f>
        <v>0</v>
      </c>
      <c r="X19" s="72">
        <f>SUBTOTAL(109,Tableau_Lancer_la_requête_à_partir_de_Excel_Files102[''19''])</f>
        <v>0</v>
      </c>
      <c r="Y19" s="72">
        <f>SUBTOTAL(109,Tableau_Lancer_la_requête_à_partir_de_Excel_Files102[''21''])</f>
        <v>0</v>
      </c>
      <c r="Z19" s="72">
        <f>SUBTOTAL(109,Tableau_Lancer_la_requête_à_partir_de_Excel_Files102[''23''])</f>
        <v>0</v>
      </c>
      <c r="AA19" s="72">
        <f>SUBTOTAL(109,Tableau_Lancer_la_requête_à_partir_de_Excel_Files102[''30''])</f>
        <v>0</v>
      </c>
      <c r="AB19" s="72">
        <f>SUBTOTAL(109,Tableau_Lancer_la_requête_à_partir_de_Excel_Files102[''34''])</f>
        <v>0</v>
      </c>
      <c r="AC19" s="72">
        <f>SUBTOTAL(109,Tableau_Lancer_la_requête_à_partir_de_Excel_Files102[''42''])</f>
        <v>0</v>
      </c>
      <c r="AD19" s="72">
        <f>SUBTOTAL(109,Tableau_Lancer_la_requête_à_partir_de_Excel_Files102[''43''])</f>
        <v>0</v>
      </c>
      <c r="AE19" s="72">
        <f>SUBTOTAL(109,Tableau_Lancer_la_requête_à_partir_de_Excel_Files102[''46''])</f>
        <v>0</v>
      </c>
      <c r="AF19" s="72">
        <f>SUBTOTAL(109,Tableau_Lancer_la_requête_à_partir_de_Excel_Files102[''48''])</f>
        <v>0</v>
      </c>
      <c r="AG19" s="72">
        <f>SUBTOTAL(109,Tableau_Lancer_la_requête_à_partir_de_Excel_Files102[''58''])</f>
        <v>0</v>
      </c>
      <c r="AH19" s="72">
        <f>SUBTOTAL(109,Tableau_Lancer_la_requête_à_partir_de_Excel_Files102[''63''])</f>
        <v>0</v>
      </c>
      <c r="AI19" s="72">
        <f>SUBTOTAL(109,Tableau_Lancer_la_requête_à_partir_de_Excel_Files102[''69''])</f>
        <v>0</v>
      </c>
      <c r="AJ19" s="72">
        <f>SUBTOTAL(109,Tableau_Lancer_la_requête_à_partir_de_Excel_Files102[''71''])</f>
        <v>0</v>
      </c>
      <c r="AK19" s="72">
        <f>SUBTOTAL(109,Tableau_Lancer_la_requête_à_partir_de_Excel_Files102[''81''])</f>
        <v>0</v>
      </c>
      <c r="AL19" s="72">
        <f>SUBTOTAL(109,Tableau_Lancer_la_requête_à_partir_de_Excel_Files102[''82''])</f>
        <v>0</v>
      </c>
      <c r="AM19" s="72">
        <f>SUBTOTAL(109,Tableau_Lancer_la_requête_à_partir_de_Excel_Files102[''87''])</f>
        <v>0</v>
      </c>
      <c r="AN19" s="72">
        <f>SUBTOTAL(109,Tableau_Lancer_la_requête_à_partir_de_Excel_Files102[''89''])</f>
        <v>0</v>
      </c>
      <c r="AO19" s="72">
        <f>SUBTOTAL(109,Tableau_Lancer_la_requête_à_partir_de_Excel_Files102[''Autre Public''])</f>
        <v>0</v>
      </c>
      <c r="AP19" s="75"/>
      <c r="AQ19" s="30"/>
      <c r="BW19" s="4"/>
      <c r="CB19" s="3"/>
    </row>
    <row r="29" spans="1:80" hidden="1" x14ac:dyDescent="0.25">
      <c r="E29" s="3" t="s">
        <v>352</v>
      </c>
      <c r="F29" s="6" t="s">
        <v>351</v>
      </c>
    </row>
    <row r="30" spans="1:80" hidden="1" x14ac:dyDescent="0.25">
      <c r="D30" t="s">
        <v>112</v>
      </c>
      <c r="E30" s="3">
        <f>SUMIF(Tableau_Lancer_la_requête_à_partir_de_Excel_Files102[Avis Prog],"1-Favorable",Tableau_Lancer_la_requête_à_partir_de_Excel_Files102[''FEDER''])</f>
        <v>882693.76000000013</v>
      </c>
      <c r="F30" s="3" t="e">
        <f>SUMIF(#REF!,"1-Favorable",Tableau_Lancer_la_requête_à_partir_de_Excel_Files102[''FEDER''])</f>
        <v>#REF!</v>
      </c>
    </row>
    <row r="31" spans="1:80" hidden="1" x14ac:dyDescent="0.25">
      <c r="D31" t="s">
        <v>56</v>
      </c>
      <c r="E31" s="3">
        <f>SUMIF(Tableau_Lancer_la_requête_à_partir_de_Excel_Files102[Avis Prog],"1-Favorable",Tableau_Lancer_la_requête_à_partir_de_Excel_Files102[Total Etat])</f>
        <v>301073.98</v>
      </c>
      <c r="F31" s="3" t="e">
        <f>SUMIF(#REF!,"1-Favorable",Tableau_Lancer_la_requête_à_partir_de_Excel_Files102[Total Etat])</f>
        <v>#REF!</v>
      </c>
    </row>
    <row r="32" spans="1:80" hidden="1" x14ac:dyDescent="0.25">
      <c r="D32" t="s">
        <v>57</v>
      </c>
      <c r="E32" s="3">
        <f>SUMIF(Tableau_Lancer_la_requête_à_partir_de_Excel_Files102[Avis Prog],"1-Favorable",Tableau_Lancer_la_requête_à_partir_de_Excel_Files102[Total Régions])</f>
        <v>114934</v>
      </c>
      <c r="F32" s="3" t="e">
        <f>SUMIF(#REF!,"1-Favorable",Tableau_Lancer_la_requête_à_partir_de_Excel_Files102[Total Régions])</f>
        <v>#REF!</v>
      </c>
    </row>
    <row r="33" spans="4:6" hidden="1" x14ac:dyDescent="0.25">
      <c r="D33" s="3" t="s">
        <v>113</v>
      </c>
      <c r="E33" s="3">
        <f>SUMIF(Tableau_Lancer_la_requête_à_partir_de_Excel_Files102[Avis Prog],"1-Favorable",Tableau_Lancer_la_requête_à_partir_de_Excel_Files102[''ALPC''])</f>
        <v>30000</v>
      </c>
      <c r="F33" s="3" t="e">
        <f>SUMIF(#REF!,"1-Favorable",Tableau_Lancer_la_requête_à_partir_de_Excel_Files102[''ALPC''])</f>
        <v>#REF!</v>
      </c>
    </row>
    <row r="34" spans="4:6" hidden="1" x14ac:dyDescent="0.25">
      <c r="D34" s="3" t="s">
        <v>114</v>
      </c>
      <c r="E34" s="3">
        <f>SUMIF(Tableau_Lancer_la_requête_à_partir_de_Excel_Files102[Avis Prog],"1-Favorable",Tableau_Lancer_la_requête_à_partir_de_Excel_Files102[''AURA''])</f>
        <v>69734</v>
      </c>
      <c r="F34" s="3" t="e">
        <f>SUMIF(#REF!,"1-Favorable",Tableau_Lancer_la_requête_à_partir_de_Excel_Files102[''AURA''])</f>
        <v>#REF!</v>
      </c>
    </row>
    <row r="35" spans="4:6" hidden="1" x14ac:dyDescent="0.25">
      <c r="D35" s="3" t="s">
        <v>115</v>
      </c>
      <c r="E35" s="3">
        <f>SUMIF(Tableau_Lancer_la_requête_à_partir_de_Excel_Files102[Avis Prog],"1-Favorable",Tableau_Lancer_la_requête_à_partir_de_Excel_Files102[''BFC''])</f>
        <v>15200</v>
      </c>
      <c r="F35" s="3" t="e">
        <f>SUMIF(#REF!,"1-Favorable",Tableau_Lancer_la_requête_à_partir_de_Excel_Files102[''BFC''])</f>
        <v>#REF!</v>
      </c>
    </row>
    <row r="36" spans="4:6" hidden="1" x14ac:dyDescent="0.25">
      <c r="D36" s="3" t="s">
        <v>116</v>
      </c>
      <c r="E36" s="3">
        <f>SUMIF(Tableau_Lancer_la_requête_à_partir_de_Excel_Files102[Avis Prog],"1-Favorable",Tableau_Lancer_la_requête_à_partir_de_Excel_Files102[''LRMP''])</f>
        <v>0</v>
      </c>
      <c r="F36" s="3" t="e">
        <f>SUMIF(#REF!,"1-Favorable",Tableau_Lancer_la_requête_à_partir_de_Excel_Files102[''LRMP''])</f>
        <v>#REF!</v>
      </c>
    </row>
    <row r="37" spans="4:6" hidden="1" x14ac:dyDescent="0.25">
      <c r="D37" t="s">
        <v>58</v>
      </c>
      <c r="E37" s="3">
        <f>SUMIF(Tableau_Lancer_la_requête_à_partir_de_Excel_Files102[Avis Prog],"1-Favorable",Tableau_Lancer_la_requête_à_partir_de_Excel_Files102[Total Dpts])</f>
        <v>0</v>
      </c>
      <c r="F37" s="3" t="e">
        <f>SUMIF(#REF!,"1-Favorable",Tableau_Lancer_la_requête_à_partir_de_Excel_Files102[Total Dpts])</f>
        <v>#REF!</v>
      </c>
    </row>
    <row r="38" spans="4:6" hidden="1" x14ac:dyDescent="0.25">
      <c r="D38" t="s">
        <v>32</v>
      </c>
      <c r="E38" s="3">
        <f>SUMIF(Tableau_Lancer_la_requête_à_partir_de_Excel_Files102[Avis Prog],"1-Favorable",Tableau_Lancer_la_requête_à_partir_de_Excel_Files102[''03''])</f>
        <v>0</v>
      </c>
      <c r="F38" s="3" t="e">
        <f>SUMIF(#REF!,"1-Favorable",Tableau_Lancer_la_requête_à_partir_de_Excel_Files102[''03''])</f>
        <v>#REF!</v>
      </c>
    </row>
    <row r="39" spans="4:6" hidden="1" x14ac:dyDescent="0.25">
      <c r="D39" t="s">
        <v>33</v>
      </c>
      <c r="E39" s="3">
        <f>SUMIF(Tableau_Lancer_la_requête_à_partir_de_Excel_Files102[Avis Prog],"1-Favorable",Tableau_Lancer_la_requête_à_partir_de_Excel_Files102[''07''])</f>
        <v>0</v>
      </c>
      <c r="F39" s="3" t="e">
        <f>SUMIF(#REF!,"1-Favorable",Tableau_Lancer_la_requête_à_partir_de_Excel_Files102[''07''])</f>
        <v>#REF!</v>
      </c>
    </row>
    <row r="40" spans="4:6" hidden="1" x14ac:dyDescent="0.25">
      <c r="D40" t="s">
        <v>34</v>
      </c>
      <c r="E40" s="3">
        <f>SUMIF(Tableau_Lancer_la_requête_à_partir_de_Excel_Files102[Avis Prog],"1-Favorable",Tableau_Lancer_la_requête_à_partir_de_Excel_Files102[''11''])</f>
        <v>0</v>
      </c>
      <c r="F40" s="3" t="e">
        <f>SUMIF(#REF!,"1-Favorable",Tableau_Lancer_la_requête_à_partir_de_Excel_Files102[''11''])</f>
        <v>#REF!</v>
      </c>
    </row>
    <row r="41" spans="4:6" hidden="1" x14ac:dyDescent="0.25">
      <c r="D41" t="s">
        <v>35</v>
      </c>
      <c r="E41" s="3">
        <f>SUMIF(Tableau_Lancer_la_requête_à_partir_de_Excel_Files102[Avis Prog],"1-Favorable",Tableau_Lancer_la_requête_à_partir_de_Excel_Files102[''12''])</f>
        <v>0</v>
      </c>
      <c r="F41" s="3" t="e">
        <f>SUMIF(#REF!,"1-Favorable",Tableau_Lancer_la_requête_à_partir_de_Excel_Files102[''12''])</f>
        <v>#REF!</v>
      </c>
    </row>
    <row r="42" spans="4:6" hidden="1" x14ac:dyDescent="0.25">
      <c r="D42" t="s">
        <v>36</v>
      </c>
      <c r="E42" s="3">
        <f>SUMIF(Tableau_Lancer_la_requête_à_partir_de_Excel_Files102[Avis Prog],"1-Favorable",Tableau_Lancer_la_requête_à_partir_de_Excel_Files102[''15''])</f>
        <v>0</v>
      </c>
      <c r="F42" s="3" t="e">
        <f>SUMIF(#REF!,"1-Favorable",Tableau_Lancer_la_requête_à_partir_de_Excel_Files102[''15''])</f>
        <v>#REF!</v>
      </c>
    </row>
    <row r="43" spans="4:6" hidden="1" x14ac:dyDescent="0.25">
      <c r="D43" t="s">
        <v>37</v>
      </c>
      <c r="E43" s="3">
        <f>SUMIF(Tableau_Lancer_la_requête_à_partir_de_Excel_Files102[Avis Prog],"1-Favorable",Tableau_Lancer_la_requête_à_partir_de_Excel_Files102[''19''])</f>
        <v>0</v>
      </c>
      <c r="F43" s="3" t="e">
        <f>SUMIF(#REF!,"1-Favorable",Tableau_Lancer_la_requête_à_partir_de_Excel_Files102[''19''])</f>
        <v>#REF!</v>
      </c>
    </row>
    <row r="44" spans="4:6" hidden="1" x14ac:dyDescent="0.25">
      <c r="D44" t="s">
        <v>38</v>
      </c>
      <c r="E44" s="3">
        <f>SUMIF(Tableau_Lancer_la_requête_à_partir_de_Excel_Files102[Avis Prog],"1-Favorable",Tableau_Lancer_la_requête_à_partir_de_Excel_Files102[''21''])</f>
        <v>0</v>
      </c>
      <c r="F44" s="3" t="e">
        <f>SUMIF(#REF!,"1-Favorable",Tableau_Lancer_la_requête_à_partir_de_Excel_Files102[''21''])</f>
        <v>#REF!</v>
      </c>
    </row>
    <row r="45" spans="4:6" hidden="1" x14ac:dyDescent="0.25">
      <c r="D45" t="s">
        <v>39</v>
      </c>
      <c r="E45" s="3">
        <f>SUMIF(Tableau_Lancer_la_requête_à_partir_de_Excel_Files102[Avis Prog],"1-Favorable",Tableau_Lancer_la_requête_à_partir_de_Excel_Files102[''23''])</f>
        <v>0</v>
      </c>
      <c r="F45" s="3" t="e">
        <f>SUMIF(#REF!,"1-Favorable",Tableau_Lancer_la_requête_à_partir_de_Excel_Files102[''23''])</f>
        <v>#REF!</v>
      </c>
    </row>
    <row r="46" spans="4:6" hidden="1" x14ac:dyDescent="0.25">
      <c r="D46" t="s">
        <v>40</v>
      </c>
      <c r="E46" s="3">
        <f>SUMIF(Tableau_Lancer_la_requête_à_partir_de_Excel_Files102[Avis Prog],"1-Favorable",Tableau_Lancer_la_requête_à_partir_de_Excel_Files102[''30''])</f>
        <v>0</v>
      </c>
      <c r="F46" s="3" t="e">
        <f>SUMIF(#REF!,"1-Favorable",Tableau_Lancer_la_requête_à_partir_de_Excel_Files102[''30''])</f>
        <v>#REF!</v>
      </c>
    </row>
    <row r="47" spans="4:6" hidden="1" x14ac:dyDescent="0.25">
      <c r="D47" t="s">
        <v>41</v>
      </c>
      <c r="E47" s="3">
        <f>SUMIF(Tableau_Lancer_la_requête_à_partir_de_Excel_Files102[Avis Prog],"1-Favorable",Tableau_Lancer_la_requête_à_partir_de_Excel_Files102[''34''])</f>
        <v>0</v>
      </c>
      <c r="F47" s="3" t="e">
        <f>SUMIF(#REF!,"1-Favorable",Tableau_Lancer_la_requête_à_partir_de_Excel_Files102[''34''])</f>
        <v>#REF!</v>
      </c>
    </row>
    <row r="48" spans="4:6" hidden="1" x14ac:dyDescent="0.25">
      <c r="D48" t="s">
        <v>42</v>
      </c>
      <c r="E48" s="3">
        <f>SUMIF(Tableau_Lancer_la_requête_à_partir_de_Excel_Files102[Avis Prog],"1-Favorable",Tableau_Lancer_la_requête_à_partir_de_Excel_Files102[''42''])</f>
        <v>0</v>
      </c>
      <c r="F48" s="3" t="e">
        <f>SUMIF(#REF!,"1-Favorable",Tableau_Lancer_la_requête_à_partir_de_Excel_Files102[''42''])</f>
        <v>#REF!</v>
      </c>
    </row>
    <row r="49" spans="4:6" hidden="1" x14ac:dyDescent="0.25">
      <c r="D49" t="s">
        <v>43</v>
      </c>
      <c r="E49" s="3">
        <f>SUMIF(Tableau_Lancer_la_requête_à_partir_de_Excel_Files102[Avis Prog],"1-Favorable",Tableau_Lancer_la_requête_à_partir_de_Excel_Files102[''43''])</f>
        <v>0</v>
      </c>
      <c r="F49" s="3" t="e">
        <f>SUMIF(#REF!,"1-Favorable",Tableau_Lancer_la_requête_à_partir_de_Excel_Files102[''43''])</f>
        <v>#REF!</v>
      </c>
    </row>
    <row r="50" spans="4:6" hidden="1" x14ac:dyDescent="0.25">
      <c r="D50" t="s">
        <v>44</v>
      </c>
      <c r="E50" s="3">
        <f>SUMIF(Tableau_Lancer_la_requête_à_partir_de_Excel_Files102[Avis Prog],"1-Favorable",Tableau_Lancer_la_requête_à_partir_de_Excel_Files102[''46''])</f>
        <v>0</v>
      </c>
      <c r="F50" s="3" t="e">
        <f>SUMIF(#REF!,"1-Favorable",Tableau_Lancer_la_requête_à_partir_de_Excel_Files102[''46''])</f>
        <v>#REF!</v>
      </c>
    </row>
    <row r="51" spans="4:6" hidden="1" x14ac:dyDescent="0.25">
      <c r="D51" t="s">
        <v>45</v>
      </c>
      <c r="E51" s="3">
        <f>SUMIF(Tableau_Lancer_la_requête_à_partir_de_Excel_Files102[Avis Prog],"1-Favorable",Tableau_Lancer_la_requête_à_partir_de_Excel_Files102[''48''])</f>
        <v>0</v>
      </c>
      <c r="F51" s="3" t="e">
        <f>SUMIF(#REF!,"1-Favorable",Tableau_Lancer_la_requête_à_partir_de_Excel_Files102[''48''])</f>
        <v>#REF!</v>
      </c>
    </row>
    <row r="52" spans="4:6" hidden="1" x14ac:dyDescent="0.25">
      <c r="D52" t="s">
        <v>46</v>
      </c>
      <c r="E52" s="3">
        <f>SUMIF(Tableau_Lancer_la_requête_à_partir_de_Excel_Files102[Avis Prog],"1-Favorable",Tableau_Lancer_la_requête_à_partir_de_Excel_Files102[''58''])</f>
        <v>0</v>
      </c>
      <c r="F52" s="3" t="e">
        <f>SUMIF(#REF!,"1-Favorable",Tableau_Lancer_la_requête_à_partir_de_Excel_Files102[''58''])</f>
        <v>#REF!</v>
      </c>
    </row>
    <row r="53" spans="4:6" hidden="1" x14ac:dyDescent="0.25">
      <c r="D53" t="s">
        <v>47</v>
      </c>
      <c r="E53" s="3">
        <f>SUMIF(Tableau_Lancer_la_requête_à_partir_de_Excel_Files102[Avis Prog],"1-Favorable",Tableau_Lancer_la_requête_à_partir_de_Excel_Files102[''63''])</f>
        <v>0</v>
      </c>
      <c r="F53" s="3" t="e">
        <f>SUMIF(#REF!,"1-Favorable",Tableau_Lancer_la_requête_à_partir_de_Excel_Files102[''63''])</f>
        <v>#REF!</v>
      </c>
    </row>
    <row r="54" spans="4:6" hidden="1" x14ac:dyDescent="0.25">
      <c r="D54" t="s">
        <v>48</v>
      </c>
      <c r="E54" s="3">
        <f>SUMIF(Tableau_Lancer_la_requête_à_partir_de_Excel_Files102[Avis Prog],"1-Favorable",Tableau_Lancer_la_requête_à_partir_de_Excel_Files102[''69''])</f>
        <v>0</v>
      </c>
      <c r="F54" s="3" t="e">
        <f>SUMIF(#REF!,"1-Favorable",Tableau_Lancer_la_requête_à_partir_de_Excel_Files102[''69''])</f>
        <v>#REF!</v>
      </c>
    </row>
    <row r="55" spans="4:6" hidden="1" x14ac:dyDescent="0.25">
      <c r="D55" t="s">
        <v>49</v>
      </c>
      <c r="E55" s="3">
        <f>SUMIF(Tableau_Lancer_la_requête_à_partir_de_Excel_Files102[Avis Prog],"1-Favorable",Tableau_Lancer_la_requête_à_partir_de_Excel_Files102[''71''])</f>
        <v>0</v>
      </c>
      <c r="F55" s="3" t="e">
        <f>SUMIF(#REF!,"1-Favorable",Tableau_Lancer_la_requête_à_partir_de_Excel_Files102[''71''])</f>
        <v>#REF!</v>
      </c>
    </row>
    <row r="56" spans="4:6" hidden="1" x14ac:dyDescent="0.25">
      <c r="D56" t="s">
        <v>50</v>
      </c>
      <c r="E56" s="3">
        <f>SUMIF(Tableau_Lancer_la_requête_à_partir_de_Excel_Files102[Avis Prog],"1-Favorable",Tableau_Lancer_la_requête_à_partir_de_Excel_Files102[''81''])</f>
        <v>0</v>
      </c>
      <c r="F56" s="3" t="e">
        <f>SUMIF(#REF!,"1-Favorable",Tableau_Lancer_la_requête_à_partir_de_Excel_Files102[''81''])</f>
        <v>#REF!</v>
      </c>
    </row>
    <row r="57" spans="4:6" hidden="1" x14ac:dyDescent="0.25">
      <c r="D57" t="s">
        <v>51</v>
      </c>
      <c r="E57" s="3">
        <f>SUMIF(Tableau_Lancer_la_requête_à_partir_de_Excel_Files102[Avis Prog],"1-Favorable",Tableau_Lancer_la_requête_à_partir_de_Excel_Files102[''82''])</f>
        <v>0</v>
      </c>
      <c r="F57" s="3" t="e">
        <f>SUMIF(#REF!,"1-Favorable",Tableau_Lancer_la_requête_à_partir_de_Excel_Files102[''82''])</f>
        <v>#REF!</v>
      </c>
    </row>
    <row r="58" spans="4:6" hidden="1" x14ac:dyDescent="0.25">
      <c r="D58" t="s">
        <v>52</v>
      </c>
      <c r="E58" s="3">
        <f>SUMIF(Tableau_Lancer_la_requête_à_partir_de_Excel_Files102[Avis Prog],"1-Favorable",Tableau_Lancer_la_requête_à_partir_de_Excel_Files102[''87''])</f>
        <v>0</v>
      </c>
      <c r="F58" s="3" t="e">
        <f>SUMIF(#REF!,"1-Favorable",Tableau_Lancer_la_requête_à_partir_de_Excel_Files102[''87''])</f>
        <v>#REF!</v>
      </c>
    </row>
    <row r="59" spans="4:6" hidden="1" x14ac:dyDescent="0.25">
      <c r="D59" t="s">
        <v>53</v>
      </c>
      <c r="E59" s="3">
        <f>SUMIF(Tableau_Lancer_la_requête_à_partir_de_Excel_Files102[Avis Prog],"1-Favorable",Tableau_Lancer_la_requête_à_partir_de_Excel_Files102[''89''])</f>
        <v>0</v>
      </c>
      <c r="F59" s="3" t="e">
        <f>SUMIF(#REF!,"1-Favorable",Tableau_Lancer_la_requête_à_partir_de_Excel_Files102[''89''])</f>
        <v>#REF!</v>
      </c>
    </row>
  </sheetData>
  <conditionalFormatting sqref="K7:K18">
    <cfRule type="cellIs" dxfId="850" priority="9" operator="equal">
      <formula>"6-Retiré/Abandon"</formula>
    </cfRule>
    <cfRule type="cellIs" dxfId="849" priority="10" operator="equal">
      <formula>"5-Défavorable"</formula>
    </cfRule>
    <cfRule type="cellIs" dxfId="848" priority="11" operator="equal">
      <formula>"4-Ajournement"</formula>
    </cfRule>
    <cfRule type="cellIs" dxfId="847" priority="12" operator="equal">
      <formula>"1-Favorable"</formula>
    </cfRule>
  </conditionalFormatting>
  <conditionalFormatting sqref="AP7:AP18">
    <cfRule type="cellIs" dxfId="846" priority="5" operator="equal">
      <formula>"6-Retiré/Abandon"</formula>
    </cfRule>
    <cfRule type="cellIs" dxfId="845" priority="6" operator="equal">
      <formula>"5-Défavorable"</formula>
    </cfRule>
    <cfRule type="cellIs" dxfId="844" priority="7" operator="equal">
      <formula>"4-Ajournement"</formula>
    </cfRule>
    <cfRule type="cellIs" dxfId="843" priority="8" operator="equal">
      <formula>"1-Favorable"</formula>
    </cfRule>
  </conditionalFormatting>
  <conditionalFormatting sqref="AQ16:AQ17 AQ10:AQ13">
    <cfRule type="cellIs" dxfId="842" priority="1" operator="equal">
      <formula>"6-Retiré/Abandon"</formula>
    </cfRule>
    <cfRule type="cellIs" dxfId="841" priority="2" operator="equal">
      <formula>"5-Défavorable"</formula>
    </cfRule>
    <cfRule type="cellIs" dxfId="840" priority="3" operator="equal">
      <formula>"4-Ajournement"</formula>
    </cfRule>
    <cfRule type="cellIs" dxfId="839" priority="4" operator="equal">
      <formula>"1-Favorable"</formula>
    </cfRule>
  </conditionalFormatting>
  <dataValidations count="1">
    <dataValidation type="list" allowBlank="1" showInputMessage="1" showErrorMessage="1" sqref="AP7:AP18">
      <formula1>"1-Favorable,4-Ajournement,5-Défavorable,6-Retiré/Abandon"</formula1>
    </dataValidation>
  </dataValidations>
  <printOptions horizontalCentered="1" verticalCentered="1"/>
  <pageMargins left="0.25" right="0.25" top="0.75" bottom="0.75" header="0.3" footer="0.3"/>
  <pageSetup paperSize="8" scale="58" fitToHeight="0" orientation="landscape" r:id="rId1"/>
  <drawing r:id="rId2"/>
  <tableParts count="1">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
  <sheetViews>
    <sheetView workbookViewId="0">
      <selection activeCell="B12" sqref="B12"/>
    </sheetView>
  </sheetViews>
  <sheetFormatPr baseColWidth="10" defaultRowHeight="15" x14ac:dyDescent="0.25"/>
  <cols>
    <col min="1" max="1" width="4.140625" style="3" bestFit="1" customWidth="1"/>
    <col min="2" max="2" width="9.28515625" style="3" bestFit="1" customWidth="1"/>
    <col min="3" max="3" width="16" style="3" bestFit="1" customWidth="1"/>
    <col min="4" max="4" width="35.28515625" style="3" customWidth="1"/>
    <col min="5" max="5" width="27.7109375" style="3" customWidth="1"/>
    <col min="6" max="6" width="20.140625" style="3" bestFit="1" customWidth="1"/>
    <col min="7" max="7" width="8.7109375" style="3" bestFit="1" customWidth="1"/>
    <col min="8" max="8" width="10" style="3" bestFit="1" customWidth="1"/>
    <col min="9" max="9" width="17.42578125" style="3" bestFit="1" customWidth="1"/>
    <col min="10" max="10" width="18" style="3" bestFit="1" customWidth="1"/>
    <col min="11" max="11" width="11.5703125" style="3" bestFit="1" customWidth="1"/>
    <col min="12" max="12" width="18" style="3" bestFit="1" customWidth="1"/>
    <col min="13" max="13" width="17.42578125" style="3" bestFit="1" customWidth="1"/>
    <col min="14" max="14" width="10.7109375" style="3" bestFit="1" customWidth="1"/>
    <col min="15" max="15" width="10" style="3" bestFit="1" customWidth="1"/>
    <col min="16" max="16" width="9" style="3" bestFit="1" customWidth="1"/>
    <col min="17" max="17" width="6.28515625" style="3" bestFit="1" customWidth="1"/>
    <col min="18" max="18" width="6.42578125" style="3" bestFit="1" customWidth="1"/>
    <col min="19" max="19" width="7" style="3" bestFit="1" customWidth="1"/>
    <col min="20" max="20" width="10" style="3" bestFit="1" customWidth="1"/>
    <col min="21" max="21" width="6.85546875" style="3" bestFit="1" customWidth="1"/>
    <col min="22" max="22" width="62.42578125" style="3" customWidth="1"/>
    <col min="23" max="16384" width="11.42578125" style="3"/>
  </cols>
  <sheetData>
    <row r="1" spans="1:22" ht="15.75" thickBot="1" x14ac:dyDescent="0.3">
      <c r="A1" s="109" t="s">
        <v>417</v>
      </c>
      <c r="B1" s="110"/>
      <c r="C1" s="110"/>
      <c r="D1" s="111"/>
      <c r="E1" s="88"/>
      <c r="F1" s="89"/>
      <c r="G1" s="89"/>
      <c r="H1" s="89"/>
      <c r="I1" s="89"/>
      <c r="J1" s="89"/>
      <c r="K1" s="89"/>
      <c r="L1" s="89"/>
      <c r="M1" s="89"/>
      <c r="N1" s="89"/>
      <c r="O1" s="89"/>
      <c r="P1" s="89"/>
      <c r="Q1" s="89"/>
      <c r="R1" s="89"/>
      <c r="S1" s="89"/>
      <c r="T1" s="89"/>
      <c r="U1" s="89"/>
      <c r="V1" s="88"/>
    </row>
    <row r="2" spans="1:22" ht="15.75" thickBot="1" x14ac:dyDescent="0.3">
      <c r="A2" s="112" t="s">
        <v>418</v>
      </c>
      <c r="B2" s="112" t="s">
        <v>419</v>
      </c>
      <c r="C2" s="112" t="s">
        <v>420</v>
      </c>
      <c r="D2" s="112" t="s">
        <v>421</v>
      </c>
      <c r="E2" s="112" t="s">
        <v>422</v>
      </c>
      <c r="F2" s="112" t="s">
        <v>423</v>
      </c>
      <c r="G2" s="112" t="s">
        <v>70</v>
      </c>
      <c r="H2" s="112" t="s">
        <v>112</v>
      </c>
      <c r="I2" s="112" t="s">
        <v>424</v>
      </c>
      <c r="J2" s="112" t="s">
        <v>425</v>
      </c>
      <c r="K2" s="112" t="s">
        <v>426</v>
      </c>
      <c r="L2" s="112" t="s">
        <v>427</v>
      </c>
      <c r="M2" s="112" t="s">
        <v>428</v>
      </c>
      <c r="N2" s="112" t="s">
        <v>130</v>
      </c>
      <c r="O2" s="119" t="s">
        <v>429</v>
      </c>
      <c r="P2" s="120"/>
      <c r="Q2" s="120"/>
      <c r="R2" s="120"/>
      <c r="S2" s="120"/>
      <c r="T2" s="121"/>
      <c r="U2" s="122" t="s">
        <v>119</v>
      </c>
      <c r="V2" s="112" t="s">
        <v>128</v>
      </c>
    </row>
    <row r="3" spans="1:22" ht="15.75" thickBot="1" x14ac:dyDescent="0.3">
      <c r="A3" s="113"/>
      <c r="B3" s="113"/>
      <c r="C3" s="113"/>
      <c r="D3" s="113"/>
      <c r="E3" s="113"/>
      <c r="F3" s="113"/>
      <c r="G3" s="113"/>
      <c r="H3" s="113"/>
      <c r="I3" s="113"/>
      <c r="J3" s="113"/>
      <c r="K3" s="113"/>
      <c r="L3" s="113"/>
      <c r="M3" s="113"/>
      <c r="N3" s="113"/>
      <c r="O3" s="90" t="s">
        <v>430</v>
      </c>
      <c r="P3" s="90" t="s">
        <v>431</v>
      </c>
      <c r="Q3" s="90" t="s">
        <v>432</v>
      </c>
      <c r="R3" s="90" t="s">
        <v>433</v>
      </c>
      <c r="S3" s="90" t="s">
        <v>434</v>
      </c>
      <c r="T3" s="90" t="s">
        <v>435</v>
      </c>
      <c r="U3" s="123"/>
      <c r="V3" s="113"/>
    </row>
    <row r="4" spans="1:22" ht="15.75" thickBot="1" x14ac:dyDescent="0.3">
      <c r="A4" s="91"/>
      <c r="B4" s="91"/>
      <c r="C4" s="92"/>
      <c r="D4" s="91"/>
      <c r="E4" s="93"/>
      <c r="F4" s="94"/>
      <c r="G4" s="91"/>
      <c r="H4" s="91"/>
      <c r="I4" s="91"/>
      <c r="J4" s="91"/>
      <c r="K4" s="91"/>
      <c r="L4" s="91"/>
      <c r="M4" s="91"/>
      <c r="N4" s="91"/>
      <c r="O4" s="95"/>
      <c r="P4" s="95"/>
      <c r="Q4" s="95"/>
      <c r="R4" s="95"/>
      <c r="S4" s="95"/>
      <c r="T4" s="95"/>
      <c r="U4" s="96"/>
      <c r="V4" s="96"/>
    </row>
    <row r="5" spans="1:22" ht="15.75" thickBot="1" x14ac:dyDescent="0.3">
      <c r="A5" s="114" t="s">
        <v>436</v>
      </c>
      <c r="B5" s="115"/>
      <c r="C5" s="115"/>
      <c r="D5" s="115"/>
      <c r="E5" s="115"/>
      <c r="F5" s="115"/>
      <c r="G5" s="115"/>
      <c r="H5" s="115"/>
      <c r="I5" s="115"/>
      <c r="J5" s="115"/>
      <c r="K5" s="115"/>
      <c r="L5" s="115"/>
      <c r="M5" s="115"/>
      <c r="N5" s="115"/>
      <c r="O5" s="115"/>
      <c r="P5" s="115"/>
      <c r="Q5" s="115"/>
      <c r="R5" s="115"/>
      <c r="S5" s="115"/>
      <c r="T5" s="115"/>
      <c r="U5" s="115"/>
      <c r="V5" s="116"/>
    </row>
    <row r="6" spans="1:22" ht="30.75" customHeight="1" thickBot="1" x14ac:dyDescent="0.3">
      <c r="A6" s="97"/>
      <c r="B6" s="117" t="s">
        <v>437</v>
      </c>
      <c r="C6" s="118"/>
      <c r="D6" s="98"/>
      <c r="E6" s="98"/>
      <c r="F6" s="98"/>
      <c r="G6" s="98"/>
      <c r="H6" s="98"/>
      <c r="I6" s="98"/>
      <c r="J6" s="98"/>
      <c r="K6" s="98"/>
      <c r="L6" s="98"/>
      <c r="M6" s="98"/>
      <c r="N6" s="98"/>
      <c r="O6" s="98"/>
      <c r="P6" s="98"/>
      <c r="Q6" s="98"/>
      <c r="R6" s="98"/>
      <c r="S6" s="98"/>
      <c r="T6" s="98"/>
      <c r="U6" s="98"/>
      <c r="V6" s="98"/>
    </row>
    <row r="7" spans="1:22" ht="150.75" thickBot="1" x14ac:dyDescent="0.3">
      <c r="A7" s="99"/>
      <c r="B7" s="100" t="s">
        <v>4</v>
      </c>
      <c r="C7" s="99">
        <v>35854</v>
      </c>
      <c r="D7" s="100" t="s">
        <v>438</v>
      </c>
      <c r="E7" s="101" t="s">
        <v>439</v>
      </c>
      <c r="F7" s="99" t="s">
        <v>440</v>
      </c>
      <c r="G7" s="102"/>
      <c r="H7" s="100"/>
      <c r="I7" s="100"/>
      <c r="J7" s="100"/>
      <c r="K7" s="100" t="s">
        <v>441</v>
      </c>
      <c r="L7" s="100"/>
      <c r="M7" s="100"/>
      <c r="N7" s="102"/>
      <c r="O7" s="100"/>
      <c r="P7" s="100"/>
      <c r="Q7" s="100"/>
      <c r="R7" s="100"/>
      <c r="S7" s="100"/>
      <c r="T7" s="100" t="s">
        <v>442</v>
      </c>
      <c r="U7" s="100"/>
      <c r="V7" s="103" t="s">
        <v>443</v>
      </c>
    </row>
    <row r="8" spans="1:22" ht="90.75" thickBot="1" x14ac:dyDescent="0.3">
      <c r="A8" s="104"/>
      <c r="B8" s="100" t="s">
        <v>4</v>
      </c>
      <c r="C8" s="99">
        <v>37403</v>
      </c>
      <c r="D8" s="100" t="s">
        <v>444</v>
      </c>
      <c r="E8" s="100" t="s">
        <v>445</v>
      </c>
      <c r="F8" s="99" t="s">
        <v>446</v>
      </c>
      <c r="G8" s="102"/>
      <c r="H8" s="100"/>
      <c r="I8" s="100"/>
      <c r="J8" s="100"/>
      <c r="K8" s="100" t="s">
        <v>447</v>
      </c>
      <c r="L8" s="105"/>
      <c r="M8" s="105"/>
      <c r="N8" s="102"/>
      <c r="O8" s="100" t="s">
        <v>448</v>
      </c>
      <c r="P8" s="105"/>
      <c r="Q8" s="105"/>
      <c r="R8" s="105"/>
      <c r="S8" s="105"/>
      <c r="T8" s="105"/>
      <c r="U8" s="105"/>
      <c r="V8" s="103" t="s">
        <v>449</v>
      </c>
    </row>
    <row r="9" spans="1:22" ht="90.75" thickBot="1" x14ac:dyDescent="0.3">
      <c r="A9" s="99"/>
      <c r="B9" s="100" t="s">
        <v>4</v>
      </c>
      <c r="C9" s="99">
        <v>36645</v>
      </c>
      <c r="D9" s="100" t="s">
        <v>450</v>
      </c>
      <c r="E9" s="101" t="s">
        <v>451</v>
      </c>
      <c r="F9" s="99" t="s">
        <v>452</v>
      </c>
      <c r="G9" s="102"/>
      <c r="H9" s="100" t="s">
        <v>453</v>
      </c>
      <c r="I9" s="100"/>
      <c r="J9" s="100"/>
      <c r="K9" s="100" t="s">
        <v>454</v>
      </c>
      <c r="L9" s="100"/>
      <c r="M9" s="100"/>
      <c r="N9" s="102"/>
      <c r="O9" s="100"/>
      <c r="P9" s="100"/>
      <c r="Q9" s="100"/>
      <c r="R9" s="100"/>
      <c r="S9" s="100"/>
      <c r="T9" s="100" t="s">
        <v>455</v>
      </c>
      <c r="U9" s="100"/>
      <c r="V9" s="103" t="s">
        <v>456</v>
      </c>
    </row>
  </sheetData>
  <mergeCells count="20">
    <mergeCell ref="A5:V5"/>
    <mergeCell ref="B6:C6"/>
    <mergeCell ref="L2:L3"/>
    <mergeCell ref="M2:M3"/>
    <mergeCell ref="N2:N3"/>
    <mergeCell ref="O2:T2"/>
    <mergeCell ref="U2:U3"/>
    <mergeCell ref="V2:V3"/>
    <mergeCell ref="F2:F3"/>
    <mergeCell ref="G2:G3"/>
    <mergeCell ref="H2:H3"/>
    <mergeCell ref="I2:I3"/>
    <mergeCell ref="J2:J3"/>
    <mergeCell ref="K2:K3"/>
    <mergeCell ref="E2:E3"/>
    <mergeCell ref="A1:D1"/>
    <mergeCell ref="A2:A3"/>
    <mergeCell ref="B2:B3"/>
    <mergeCell ref="C2:C3"/>
    <mergeCell ref="D2:D3"/>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C58"/>
  <sheetViews>
    <sheetView view="pageBreakPreview" topLeftCell="A10" zoomScale="80" zoomScaleNormal="60" zoomScaleSheetLayoutView="80" workbookViewId="0">
      <selection activeCell="C13" sqref="C13"/>
    </sheetView>
  </sheetViews>
  <sheetFormatPr baseColWidth="10" defaultRowHeight="15" outlineLevelCol="1" x14ac:dyDescent="0.25"/>
  <cols>
    <col min="1" max="1" width="13.85546875" style="3" customWidth="1"/>
    <col min="2" max="2" width="35" style="4" customWidth="1"/>
    <col min="3" max="3" width="48" style="5" customWidth="1"/>
    <col min="4" max="4" width="20.28515625" style="3" customWidth="1"/>
    <col min="5" max="5" width="19.7109375" style="3" bestFit="1" customWidth="1"/>
    <col min="6" max="6" width="12" style="6" customWidth="1"/>
    <col min="7" max="7" width="16" style="3" bestFit="1" customWidth="1"/>
    <col min="8" max="8" width="11.28515625" style="6" customWidth="1"/>
    <col min="9" max="9" width="13.85546875" style="3" bestFit="1" customWidth="1"/>
    <col min="10" max="10" width="15" style="3" bestFit="1" customWidth="1"/>
    <col min="11" max="11" width="11.5703125" style="3" hidden="1" customWidth="1" outlineLevel="1"/>
    <col min="12" max="12" width="16.5703125" style="3" hidden="1" customWidth="1" outlineLevel="1"/>
    <col min="13" max="13" width="13.7109375" style="3" bestFit="1" customWidth="1" collapsed="1"/>
    <col min="14" max="14" width="11.140625" style="3" hidden="1" customWidth="1" outlineLevel="1"/>
    <col min="15" max="15" width="11.85546875" style="3" hidden="1" customWidth="1" outlineLevel="1"/>
    <col min="16" max="16" width="10" style="3" hidden="1" customWidth="1" outlineLevel="1"/>
    <col min="17" max="17" width="11.7109375" style="3" hidden="1" customWidth="1" outlineLevel="1"/>
    <col min="18" max="18" width="16.140625" style="3" bestFit="1" customWidth="1" collapsed="1"/>
    <col min="19" max="40" width="8.7109375" style="3" hidden="1" customWidth="1" outlineLevel="1"/>
    <col min="41" max="41" width="11.5703125" style="3" bestFit="1" customWidth="1" collapsed="1"/>
    <col min="42" max="42" width="15.42578125" style="3" bestFit="1" customWidth="1"/>
    <col min="43" max="43" width="15.42578125" style="3" hidden="1" customWidth="1"/>
    <col min="44" max="44" width="54.42578125" style="3" customWidth="1"/>
    <col min="45" max="45" width="15.42578125" style="3" bestFit="1" customWidth="1"/>
    <col min="46" max="46" width="17.28515625" style="3" bestFit="1" customWidth="1"/>
    <col min="47" max="47" width="9.42578125" style="3" customWidth="1"/>
    <col min="48" max="62" width="9.7109375" style="3" customWidth="1"/>
    <col min="63" max="63" width="15.140625" style="3" customWidth="1"/>
    <col min="64" max="64" width="14.5703125" style="3" customWidth="1"/>
    <col min="65" max="65" width="18.5703125" style="3" customWidth="1"/>
    <col min="66" max="66" width="12.5703125" style="3" customWidth="1"/>
    <col min="67" max="67" width="20.42578125" style="3" customWidth="1"/>
    <col min="68" max="68" width="12.7109375" style="3" customWidth="1"/>
    <col min="69" max="69" width="9.28515625" style="3" customWidth="1"/>
    <col min="70" max="70" width="14.28515625" style="3" customWidth="1"/>
    <col min="71" max="71" width="11.42578125" style="3" customWidth="1"/>
    <col min="72" max="72" width="9" style="3" customWidth="1"/>
    <col min="73" max="73" width="9.5703125" style="3" customWidth="1"/>
    <col min="74" max="74" width="11" style="3" customWidth="1"/>
    <col min="75" max="75" width="12.7109375" style="3" customWidth="1"/>
    <col min="76" max="78" width="9.7109375" style="3" customWidth="1"/>
    <col min="79" max="79" width="15.140625" style="3" customWidth="1"/>
    <col min="80" max="80" width="17.28515625" style="3" customWidth="1"/>
    <col min="81" max="81" width="49.28515625" style="4" customWidth="1"/>
    <col min="82" max="82" width="17.28515625" style="3" customWidth="1"/>
    <col min="83" max="16384" width="11.42578125" style="3"/>
  </cols>
  <sheetData>
    <row r="1" spans="1:81" ht="18.75" x14ac:dyDescent="0.3">
      <c r="B1" s="21" t="s">
        <v>250</v>
      </c>
      <c r="C1" s="22">
        <v>42523</v>
      </c>
    </row>
    <row r="5" spans="1:81" x14ac:dyDescent="0.25">
      <c r="A5" s="1" t="s">
        <v>132</v>
      </c>
      <c r="B5" s="2"/>
    </row>
    <row r="6" spans="1:81" s="7" customFormat="1" ht="30" x14ac:dyDescent="0.25">
      <c r="A6" s="7" t="s">
        <v>10</v>
      </c>
      <c r="B6" s="7" t="s">
        <v>1</v>
      </c>
      <c r="C6" s="7" t="s">
        <v>2</v>
      </c>
      <c r="D6" s="7" t="s">
        <v>72</v>
      </c>
      <c r="E6" s="7" t="s">
        <v>108</v>
      </c>
      <c r="F6" s="7" t="s">
        <v>73</v>
      </c>
      <c r="G6" s="7" t="s">
        <v>70</v>
      </c>
      <c r="H6" s="7" t="s">
        <v>109</v>
      </c>
      <c r="I6" s="7" t="s">
        <v>54</v>
      </c>
      <c r="J6" s="7" t="s">
        <v>129</v>
      </c>
      <c r="K6" s="7" t="s">
        <v>159</v>
      </c>
      <c r="L6" s="7" t="s">
        <v>27</v>
      </c>
      <c r="M6" s="7" t="s">
        <v>130</v>
      </c>
      <c r="N6" s="7" t="s">
        <v>30</v>
      </c>
      <c r="O6" s="7" t="s">
        <v>28</v>
      </c>
      <c r="P6" s="7" t="s">
        <v>29</v>
      </c>
      <c r="Q6" s="7" t="s">
        <v>31</v>
      </c>
      <c r="R6" s="7" t="s">
        <v>131</v>
      </c>
      <c r="S6" s="7" t="s">
        <v>32</v>
      </c>
      <c r="T6" s="7" t="s">
        <v>33</v>
      </c>
      <c r="U6" s="7" t="s">
        <v>34</v>
      </c>
      <c r="V6" s="7" t="s">
        <v>35</v>
      </c>
      <c r="W6" s="7" t="s">
        <v>36</v>
      </c>
      <c r="X6" s="7" t="s">
        <v>37</v>
      </c>
      <c r="Y6" s="7" t="s">
        <v>38</v>
      </c>
      <c r="Z6" s="7" t="s">
        <v>39</v>
      </c>
      <c r="AA6" s="7" t="s">
        <v>40</v>
      </c>
      <c r="AB6" s="7" t="s">
        <v>41</v>
      </c>
      <c r="AC6" s="7" t="s">
        <v>42</v>
      </c>
      <c r="AD6" s="7" t="s">
        <v>43</v>
      </c>
      <c r="AE6" s="7" t="s">
        <v>44</v>
      </c>
      <c r="AF6" s="7" t="s">
        <v>45</v>
      </c>
      <c r="AG6" s="7" t="s">
        <v>46</v>
      </c>
      <c r="AH6" s="7" t="s">
        <v>47</v>
      </c>
      <c r="AI6" s="7" t="s">
        <v>48</v>
      </c>
      <c r="AJ6" s="7" t="s">
        <v>49</v>
      </c>
      <c r="AK6" s="7" t="s">
        <v>50</v>
      </c>
      <c r="AL6" s="7" t="s">
        <v>51</v>
      </c>
      <c r="AM6" s="7" t="s">
        <v>52</v>
      </c>
      <c r="AN6" s="7" t="s">
        <v>53</v>
      </c>
      <c r="AO6" s="7" t="s">
        <v>55</v>
      </c>
      <c r="AP6" s="17" t="s">
        <v>110</v>
      </c>
      <c r="AR6" s="31" t="s">
        <v>128</v>
      </c>
    </row>
    <row r="7" spans="1:81" s="10" customFormat="1" ht="45" x14ac:dyDescent="0.25">
      <c r="A7" s="13" t="s">
        <v>133</v>
      </c>
      <c r="B7" s="12" t="s">
        <v>134</v>
      </c>
      <c r="C7" s="12" t="s">
        <v>135</v>
      </c>
      <c r="D7" s="15">
        <v>150287.91</v>
      </c>
      <c r="E7" s="15">
        <f>Tableau_Lancer_la_requête_à_partir_de_Excel_Files1025[[#This Row],[Aide Massif]]+Tableau_Lancer_la_requête_à_partir_de_Excel_Files1025[[#This Row],[''Autre Public'']]</f>
        <v>97273.09</v>
      </c>
      <c r="F7" s="16">
        <f>Tableau_Lancer_la_requête_à_partir_de_Excel_Files1025[[#This Row],[Aide 
publique]]/Tableau_Lancer_la_requête_à_partir_de_Excel_Files1025[[#This Row],[''Coût total éligible'']]</f>
        <v>0.64724494471977145</v>
      </c>
      <c r="G7" s="15">
        <f>Tableau_Lancer_la_requête_à_partir_de_Excel_Files1025[[#This Row],[''FEDER'']]+Tableau_Lancer_la_requête_à_partir_de_Excel_Files1025[[#This Row],[Total Etat]]+Tableau_Lancer_la_requête_à_partir_de_Excel_Files1025[[#This Row],[Total Régions]]+Tableau_Lancer_la_requête_à_partir_de_Excel_Files1025[[#This Row],[Total Dpts]]</f>
        <v>97273.09</v>
      </c>
      <c r="H7" s="16">
        <f>Tableau_Lancer_la_requête_à_partir_de_Excel_Files1025[[#This Row],[Aide Massif]]/Tableau_Lancer_la_requête_à_partir_de_Excel_Files1025[[#This Row],[''Coût total éligible'']]</f>
        <v>0.64724494471977145</v>
      </c>
      <c r="I7" s="15">
        <v>0</v>
      </c>
      <c r="J7" s="15">
        <f>Tableau_Lancer_la_requête_à_partir_de_Excel_Files1025[[#This Row],[''FNADT '']]+Tableau_Lancer_la_requête_à_partir_de_Excel_Files1025[[#This Row],[''Agriculture'']]</f>
        <v>97273.09</v>
      </c>
      <c r="K7" s="11">
        <v>97273.09</v>
      </c>
      <c r="L7" s="15"/>
      <c r="M7" s="15">
        <f>Tableau_Lancer_la_requête_à_partir_de_Excel_Files1025[[#This Row],[''ALPC'']]+Tableau_Lancer_la_requête_à_partir_de_Excel_Files1025[[#This Row],[''AURA'']]+Tableau_Lancer_la_requête_à_partir_de_Excel_Files1025[[#This Row],[''BFC'']]+Tableau_Lancer_la_requête_à_partir_de_Excel_Files1025[[#This Row],[''LRMP'']]</f>
        <v>0</v>
      </c>
      <c r="N7" s="15"/>
      <c r="O7" s="15"/>
      <c r="P7" s="15"/>
      <c r="Q7" s="15"/>
      <c r="R7" s="15">
        <f>Tableau_Lancer_la_requête_à_partir_de_Excel_Files1025[[#This Row],[''03'']]+Tableau_Lancer_la_requête_à_partir_de_Excel_Files1025[[#This Row],[''07'']]+Tableau_Lancer_la_requête_à_partir_de_Excel_Files1025[[#This Row],[''11'']]+Tableau_Lancer_la_requête_à_partir_de_Excel_Files1025[[#This Row],[''12'']]+Tableau_Lancer_la_requête_à_partir_de_Excel_Files1025[[#This Row],[''15'']]+Tableau_Lancer_la_requête_à_partir_de_Excel_Files1025[[#This Row],[''19'']]+Tableau_Lancer_la_requête_à_partir_de_Excel_Files1025[[#This Row],[''21'']]+Tableau_Lancer_la_requête_à_partir_de_Excel_Files1025[[#This Row],[''23'']]+Tableau_Lancer_la_requête_à_partir_de_Excel_Files1025[[#This Row],[''30'']]+Tableau_Lancer_la_requête_à_partir_de_Excel_Files1025[[#This Row],[''34'']]+Tableau_Lancer_la_requête_à_partir_de_Excel_Files1025[[#This Row],[''42'']]+Tableau_Lancer_la_requête_à_partir_de_Excel_Files1025[[#This Row],[''43'']]+Tableau_Lancer_la_requête_à_partir_de_Excel_Files1025[[#This Row],[''46'']]+Tableau_Lancer_la_requête_à_partir_de_Excel_Files1025[[#This Row],[''48'']]+Tableau_Lancer_la_requête_à_partir_de_Excel_Files1025[[#This Row],[''58'']]+Tableau_Lancer_la_requête_à_partir_de_Excel_Files1025[[#This Row],[''63'']]+Tableau_Lancer_la_requête_à_partir_de_Excel_Files1025[[#This Row],[''69'']]+Tableau_Lancer_la_requête_à_partir_de_Excel_Files1025[[#This Row],[''71'']]+Tableau_Lancer_la_requête_à_partir_de_Excel_Files1025[[#This Row],[''81'']]+Tableau_Lancer_la_requête_à_partir_de_Excel_Files1025[[#This Row],[''82'']]+Tableau_Lancer_la_requête_à_partir_de_Excel_Files1025[[#This Row],[''87'']]+Tableau_Lancer_la_requête_à_partir_de_Excel_Files1025[[#This Row],[''89'']]</f>
        <v>0</v>
      </c>
      <c r="S7" s="15"/>
      <c r="T7" s="15"/>
      <c r="U7" s="15"/>
      <c r="V7" s="15"/>
      <c r="W7" s="15"/>
      <c r="X7" s="15"/>
      <c r="Y7" s="15"/>
      <c r="Z7" s="15"/>
      <c r="AA7" s="15"/>
      <c r="AB7" s="15"/>
      <c r="AC7" s="15"/>
      <c r="AD7" s="15"/>
      <c r="AE7" s="15"/>
      <c r="AF7" s="15"/>
      <c r="AG7" s="15"/>
      <c r="AH7" s="15"/>
      <c r="AI7" s="15"/>
      <c r="AJ7" s="15"/>
      <c r="AK7" s="15"/>
      <c r="AL7" s="15"/>
      <c r="AM7" s="15"/>
      <c r="AN7" s="15"/>
      <c r="AO7" s="15">
        <v>0</v>
      </c>
      <c r="AP7" s="11" t="s">
        <v>77</v>
      </c>
      <c r="AR7" s="24"/>
    </row>
    <row r="8" spans="1:81" s="10" customFormat="1" ht="30" x14ac:dyDescent="0.25">
      <c r="A8" s="13" t="s">
        <v>136</v>
      </c>
      <c r="B8" s="12" t="s">
        <v>137</v>
      </c>
      <c r="C8" s="12" t="s">
        <v>138</v>
      </c>
      <c r="D8" s="15">
        <v>204992.2</v>
      </c>
      <c r="E8" s="15">
        <f>Tableau_Lancer_la_requête_à_partir_de_Excel_Files1025[[#This Row],[Aide Massif]]+Tableau_Lancer_la_requête_à_partir_de_Excel_Files1025[[#This Row],[''Autre Public'']]</f>
        <v>143494.54</v>
      </c>
      <c r="F8" s="16">
        <f>Tableau_Lancer_la_requête_à_partir_de_Excel_Files1025[[#This Row],[Aide 
publique]]/Tableau_Lancer_la_requête_à_partir_de_Excel_Files1025[[#This Row],[''Coût total éligible'']]</f>
        <v>0.7</v>
      </c>
      <c r="G8" s="15">
        <f>Tableau_Lancer_la_requête_à_partir_de_Excel_Files1025[[#This Row],[''FEDER'']]+Tableau_Lancer_la_requête_à_partir_de_Excel_Files1025[[#This Row],[Total Etat]]+Tableau_Lancer_la_requête_à_partir_de_Excel_Files1025[[#This Row],[Total Régions]]+Tableau_Lancer_la_requête_à_partir_de_Excel_Files1025[[#This Row],[Total Dpts]]</f>
        <v>143494.54</v>
      </c>
      <c r="H8" s="16">
        <f>Tableau_Lancer_la_requête_à_partir_de_Excel_Files1025[[#This Row],[Aide Massif]]/Tableau_Lancer_la_requête_à_partir_de_Excel_Files1025[[#This Row],[''Coût total éligible'']]</f>
        <v>0.7</v>
      </c>
      <c r="I8" s="15">
        <v>0</v>
      </c>
      <c r="J8" s="15">
        <f>Tableau_Lancer_la_requête_à_partir_de_Excel_Files1025[[#This Row],[''FNADT '']]+Tableau_Lancer_la_requête_à_partir_de_Excel_Files1025[[#This Row],[''Agriculture'']]</f>
        <v>143494.54</v>
      </c>
      <c r="K8" s="11">
        <v>143494.54</v>
      </c>
      <c r="L8" s="15"/>
      <c r="M8" s="15">
        <f>Tableau_Lancer_la_requête_à_partir_de_Excel_Files1025[[#This Row],[''ALPC'']]+Tableau_Lancer_la_requête_à_partir_de_Excel_Files1025[[#This Row],[''AURA'']]+Tableau_Lancer_la_requête_à_partir_de_Excel_Files1025[[#This Row],[''BFC'']]+Tableau_Lancer_la_requête_à_partir_de_Excel_Files1025[[#This Row],[''LRMP'']]</f>
        <v>0</v>
      </c>
      <c r="N8" s="15"/>
      <c r="O8" s="15"/>
      <c r="P8" s="15"/>
      <c r="Q8" s="15"/>
      <c r="R8" s="15">
        <f>Tableau_Lancer_la_requête_à_partir_de_Excel_Files1025[[#This Row],[''03'']]+Tableau_Lancer_la_requête_à_partir_de_Excel_Files1025[[#This Row],[''07'']]+Tableau_Lancer_la_requête_à_partir_de_Excel_Files1025[[#This Row],[''11'']]+Tableau_Lancer_la_requête_à_partir_de_Excel_Files1025[[#This Row],[''12'']]+Tableau_Lancer_la_requête_à_partir_de_Excel_Files1025[[#This Row],[''15'']]+Tableau_Lancer_la_requête_à_partir_de_Excel_Files1025[[#This Row],[''19'']]+Tableau_Lancer_la_requête_à_partir_de_Excel_Files1025[[#This Row],[''21'']]+Tableau_Lancer_la_requête_à_partir_de_Excel_Files1025[[#This Row],[''23'']]+Tableau_Lancer_la_requête_à_partir_de_Excel_Files1025[[#This Row],[''30'']]+Tableau_Lancer_la_requête_à_partir_de_Excel_Files1025[[#This Row],[''34'']]+Tableau_Lancer_la_requête_à_partir_de_Excel_Files1025[[#This Row],[''42'']]+Tableau_Lancer_la_requête_à_partir_de_Excel_Files1025[[#This Row],[''43'']]+Tableau_Lancer_la_requête_à_partir_de_Excel_Files1025[[#This Row],[''46'']]+Tableau_Lancer_la_requête_à_partir_de_Excel_Files1025[[#This Row],[''48'']]+Tableau_Lancer_la_requête_à_partir_de_Excel_Files1025[[#This Row],[''58'']]+Tableau_Lancer_la_requête_à_partir_de_Excel_Files1025[[#This Row],[''63'']]+Tableau_Lancer_la_requête_à_partir_de_Excel_Files1025[[#This Row],[''69'']]+Tableau_Lancer_la_requête_à_partir_de_Excel_Files1025[[#This Row],[''71'']]+Tableau_Lancer_la_requête_à_partir_de_Excel_Files1025[[#This Row],[''81'']]+Tableau_Lancer_la_requête_à_partir_de_Excel_Files1025[[#This Row],[''82'']]+Tableau_Lancer_la_requête_à_partir_de_Excel_Files1025[[#This Row],[''87'']]+Tableau_Lancer_la_requête_à_partir_de_Excel_Files1025[[#This Row],[''89'']]</f>
        <v>0</v>
      </c>
      <c r="S8" s="15"/>
      <c r="T8" s="15"/>
      <c r="U8" s="15"/>
      <c r="V8" s="15"/>
      <c r="W8" s="15"/>
      <c r="X8" s="15"/>
      <c r="Y8" s="15"/>
      <c r="Z8" s="15"/>
      <c r="AA8" s="15"/>
      <c r="AB8" s="15"/>
      <c r="AC8" s="15"/>
      <c r="AD8" s="15"/>
      <c r="AE8" s="15"/>
      <c r="AF8" s="15"/>
      <c r="AG8" s="15"/>
      <c r="AH8" s="15"/>
      <c r="AI8" s="15"/>
      <c r="AJ8" s="15"/>
      <c r="AK8" s="15"/>
      <c r="AL8" s="15"/>
      <c r="AM8" s="15"/>
      <c r="AN8" s="15"/>
      <c r="AO8" s="15">
        <v>0</v>
      </c>
      <c r="AP8" s="11" t="s">
        <v>77</v>
      </c>
      <c r="AR8" s="26"/>
    </row>
    <row r="9" spans="1:81" s="10" customFormat="1" ht="45" x14ac:dyDescent="0.25">
      <c r="A9" s="13" t="s">
        <v>139</v>
      </c>
      <c r="B9" s="12" t="s">
        <v>140</v>
      </c>
      <c r="C9" s="12" t="s">
        <v>141</v>
      </c>
      <c r="D9" s="15">
        <v>153917.44999999998</v>
      </c>
      <c r="E9" s="15">
        <f>Tableau_Lancer_la_requête_à_partir_de_Excel_Files1025[[#This Row],[Aide Massif]]+Tableau_Lancer_la_requête_à_partir_de_Excel_Files1025[[#This Row],[''Autre Public'']]</f>
        <v>99931.12</v>
      </c>
      <c r="F9" s="16">
        <f>Tableau_Lancer_la_requête_à_partir_de_Excel_Files1025[[#This Row],[Aide 
publique]]/Tableau_Lancer_la_requête_à_partir_de_Excel_Files1025[[#This Row],[''Coût total éligible'']]</f>
        <v>0.64925140066964471</v>
      </c>
      <c r="G9" s="15">
        <f>Tableau_Lancer_la_requête_à_partir_de_Excel_Files1025[[#This Row],[''FEDER'']]+Tableau_Lancer_la_requête_à_partir_de_Excel_Files1025[[#This Row],[Total Etat]]+Tableau_Lancer_la_requête_à_partir_de_Excel_Files1025[[#This Row],[Total Régions]]+Tableau_Lancer_la_requête_à_partir_de_Excel_Files1025[[#This Row],[Total Dpts]]</f>
        <v>99931.12</v>
      </c>
      <c r="H9" s="16">
        <f>Tableau_Lancer_la_requête_à_partir_de_Excel_Files1025[[#This Row],[Aide Massif]]/Tableau_Lancer_la_requête_à_partir_de_Excel_Files1025[[#This Row],[''Coût total éligible'']]</f>
        <v>0.64925140066964471</v>
      </c>
      <c r="I9" s="15">
        <v>0</v>
      </c>
      <c r="J9" s="15">
        <f>Tableau_Lancer_la_requête_à_partir_de_Excel_Files1025[[#This Row],[''FNADT '']]+Tableau_Lancer_la_requête_à_partir_de_Excel_Files1025[[#This Row],[''Agriculture'']]</f>
        <v>99931.12</v>
      </c>
      <c r="K9" s="11">
        <v>99931.12</v>
      </c>
      <c r="L9" s="15"/>
      <c r="M9" s="15">
        <f>Tableau_Lancer_la_requête_à_partir_de_Excel_Files1025[[#This Row],[''ALPC'']]+Tableau_Lancer_la_requête_à_partir_de_Excel_Files1025[[#This Row],[''AURA'']]+Tableau_Lancer_la_requête_à_partir_de_Excel_Files1025[[#This Row],[''BFC'']]+Tableau_Lancer_la_requête_à_partir_de_Excel_Files1025[[#This Row],[''LRMP'']]</f>
        <v>0</v>
      </c>
      <c r="N9" s="15"/>
      <c r="O9" s="15"/>
      <c r="P9" s="15"/>
      <c r="Q9" s="15"/>
      <c r="R9" s="15">
        <f>Tableau_Lancer_la_requête_à_partir_de_Excel_Files1025[[#This Row],[''03'']]+Tableau_Lancer_la_requête_à_partir_de_Excel_Files1025[[#This Row],[''07'']]+Tableau_Lancer_la_requête_à_partir_de_Excel_Files1025[[#This Row],[''11'']]+Tableau_Lancer_la_requête_à_partir_de_Excel_Files1025[[#This Row],[''12'']]+Tableau_Lancer_la_requête_à_partir_de_Excel_Files1025[[#This Row],[''15'']]+Tableau_Lancer_la_requête_à_partir_de_Excel_Files1025[[#This Row],[''19'']]+Tableau_Lancer_la_requête_à_partir_de_Excel_Files1025[[#This Row],[''21'']]+Tableau_Lancer_la_requête_à_partir_de_Excel_Files1025[[#This Row],[''23'']]+Tableau_Lancer_la_requête_à_partir_de_Excel_Files1025[[#This Row],[''30'']]+Tableau_Lancer_la_requête_à_partir_de_Excel_Files1025[[#This Row],[''34'']]+Tableau_Lancer_la_requête_à_partir_de_Excel_Files1025[[#This Row],[''42'']]+Tableau_Lancer_la_requête_à_partir_de_Excel_Files1025[[#This Row],[''43'']]+Tableau_Lancer_la_requête_à_partir_de_Excel_Files1025[[#This Row],[''46'']]+Tableau_Lancer_la_requête_à_partir_de_Excel_Files1025[[#This Row],[''48'']]+Tableau_Lancer_la_requête_à_partir_de_Excel_Files1025[[#This Row],[''58'']]+Tableau_Lancer_la_requête_à_partir_de_Excel_Files1025[[#This Row],[''63'']]+Tableau_Lancer_la_requête_à_partir_de_Excel_Files1025[[#This Row],[''69'']]+Tableau_Lancer_la_requête_à_partir_de_Excel_Files1025[[#This Row],[''71'']]+Tableau_Lancer_la_requête_à_partir_de_Excel_Files1025[[#This Row],[''81'']]+Tableau_Lancer_la_requête_à_partir_de_Excel_Files1025[[#This Row],[''82'']]+Tableau_Lancer_la_requête_à_partir_de_Excel_Files1025[[#This Row],[''87'']]+Tableau_Lancer_la_requête_à_partir_de_Excel_Files1025[[#This Row],[''89'']]</f>
        <v>0</v>
      </c>
      <c r="S9" s="15"/>
      <c r="T9" s="15"/>
      <c r="U9" s="15"/>
      <c r="V9" s="15"/>
      <c r="W9" s="15"/>
      <c r="X9" s="15"/>
      <c r="Y9" s="15"/>
      <c r="Z9" s="15"/>
      <c r="AA9" s="15"/>
      <c r="AB9" s="15"/>
      <c r="AC9" s="15"/>
      <c r="AD9" s="15"/>
      <c r="AE9" s="15"/>
      <c r="AF9" s="15"/>
      <c r="AG9" s="15"/>
      <c r="AH9" s="15"/>
      <c r="AI9" s="15"/>
      <c r="AJ9" s="15"/>
      <c r="AK9" s="15"/>
      <c r="AL9" s="15"/>
      <c r="AM9" s="15"/>
      <c r="AN9" s="15"/>
      <c r="AO9" s="15">
        <v>0</v>
      </c>
      <c r="AP9" s="11" t="s">
        <v>77</v>
      </c>
      <c r="AR9" s="24"/>
    </row>
    <row r="10" spans="1:81" s="10" customFormat="1" ht="45" x14ac:dyDescent="0.25">
      <c r="A10" s="13" t="s">
        <v>142</v>
      </c>
      <c r="B10" s="12" t="s">
        <v>143</v>
      </c>
      <c r="C10" s="12" t="s">
        <v>141</v>
      </c>
      <c r="D10" s="15">
        <v>14957.997901715702</v>
      </c>
      <c r="E10" s="15">
        <f>Tableau_Lancer_la_requête_à_partir_de_Excel_Files1025[[#This Row],[Aide Massif]]+Tableau_Lancer_la_requête_à_partir_de_Excel_Files1025[[#This Row],[''Autre Public'']]</f>
        <v>10470.6</v>
      </c>
      <c r="F10" s="16">
        <f>Tableau_Lancer_la_requête_à_partir_de_Excel_Files1025[[#This Row],[Aide 
publique]]/Tableau_Lancer_la_requête_à_partir_de_Excel_Files1025[[#This Row],[''Coût total éligible'']]</f>
        <v>0.70000009819489339</v>
      </c>
      <c r="G10" s="15">
        <f>Tableau_Lancer_la_requête_à_partir_de_Excel_Files1025[[#This Row],[''FEDER'']]+Tableau_Lancer_la_requête_à_partir_de_Excel_Files1025[[#This Row],[Total Etat]]+Tableau_Lancer_la_requête_à_partir_de_Excel_Files1025[[#This Row],[Total Régions]]+Tableau_Lancer_la_requête_à_partir_de_Excel_Files1025[[#This Row],[Total Dpts]]</f>
        <v>10470.6</v>
      </c>
      <c r="H10" s="16">
        <f>Tableau_Lancer_la_requête_à_partir_de_Excel_Files1025[[#This Row],[Aide Massif]]/Tableau_Lancer_la_requête_à_partir_de_Excel_Files1025[[#This Row],[''Coût total éligible'']]</f>
        <v>0.70000009819489339</v>
      </c>
      <c r="I10" s="15">
        <v>0</v>
      </c>
      <c r="J10" s="15">
        <f>Tableau_Lancer_la_requête_à_partir_de_Excel_Files1025[[#This Row],[''FNADT '']]+Tableau_Lancer_la_requête_à_partir_de_Excel_Files1025[[#This Row],[''Agriculture'']]</f>
        <v>10470.6</v>
      </c>
      <c r="K10" s="11">
        <v>10470.6</v>
      </c>
      <c r="L10" s="15"/>
      <c r="M10" s="15">
        <f>Tableau_Lancer_la_requête_à_partir_de_Excel_Files1025[[#This Row],[''ALPC'']]+Tableau_Lancer_la_requête_à_partir_de_Excel_Files1025[[#This Row],[''AURA'']]+Tableau_Lancer_la_requête_à_partir_de_Excel_Files1025[[#This Row],[''BFC'']]+Tableau_Lancer_la_requête_à_partir_de_Excel_Files1025[[#This Row],[''LRMP'']]</f>
        <v>0</v>
      </c>
      <c r="N10" s="15"/>
      <c r="O10" s="15"/>
      <c r="P10" s="15"/>
      <c r="Q10" s="15"/>
      <c r="R10" s="15">
        <f>Tableau_Lancer_la_requête_à_partir_de_Excel_Files1025[[#This Row],[''03'']]+Tableau_Lancer_la_requête_à_partir_de_Excel_Files1025[[#This Row],[''07'']]+Tableau_Lancer_la_requête_à_partir_de_Excel_Files1025[[#This Row],[''11'']]+Tableau_Lancer_la_requête_à_partir_de_Excel_Files1025[[#This Row],[''12'']]+Tableau_Lancer_la_requête_à_partir_de_Excel_Files1025[[#This Row],[''15'']]+Tableau_Lancer_la_requête_à_partir_de_Excel_Files1025[[#This Row],[''19'']]+Tableau_Lancer_la_requête_à_partir_de_Excel_Files1025[[#This Row],[''21'']]+Tableau_Lancer_la_requête_à_partir_de_Excel_Files1025[[#This Row],[''23'']]+Tableau_Lancer_la_requête_à_partir_de_Excel_Files1025[[#This Row],[''30'']]+Tableau_Lancer_la_requête_à_partir_de_Excel_Files1025[[#This Row],[''34'']]+Tableau_Lancer_la_requête_à_partir_de_Excel_Files1025[[#This Row],[''42'']]+Tableau_Lancer_la_requête_à_partir_de_Excel_Files1025[[#This Row],[''43'']]+Tableau_Lancer_la_requête_à_partir_de_Excel_Files1025[[#This Row],[''46'']]+Tableau_Lancer_la_requête_à_partir_de_Excel_Files1025[[#This Row],[''48'']]+Tableau_Lancer_la_requête_à_partir_de_Excel_Files1025[[#This Row],[''58'']]+Tableau_Lancer_la_requête_à_partir_de_Excel_Files1025[[#This Row],[''63'']]+Tableau_Lancer_la_requête_à_partir_de_Excel_Files1025[[#This Row],[''69'']]+Tableau_Lancer_la_requête_à_partir_de_Excel_Files1025[[#This Row],[''71'']]+Tableau_Lancer_la_requête_à_partir_de_Excel_Files1025[[#This Row],[''81'']]+Tableau_Lancer_la_requête_à_partir_de_Excel_Files1025[[#This Row],[''82'']]+Tableau_Lancer_la_requête_à_partir_de_Excel_Files1025[[#This Row],[''87'']]+Tableau_Lancer_la_requête_à_partir_de_Excel_Files1025[[#This Row],[''89'']]</f>
        <v>0</v>
      </c>
      <c r="S10" s="15"/>
      <c r="T10" s="15"/>
      <c r="U10" s="15"/>
      <c r="V10" s="15"/>
      <c r="W10" s="15"/>
      <c r="X10" s="15"/>
      <c r="Y10" s="15"/>
      <c r="Z10" s="15"/>
      <c r="AA10" s="15"/>
      <c r="AB10" s="15"/>
      <c r="AC10" s="15"/>
      <c r="AD10" s="15"/>
      <c r="AE10" s="15"/>
      <c r="AF10" s="15"/>
      <c r="AG10" s="15"/>
      <c r="AH10" s="15"/>
      <c r="AI10" s="15"/>
      <c r="AJ10" s="15"/>
      <c r="AK10" s="15"/>
      <c r="AL10" s="15"/>
      <c r="AM10" s="15"/>
      <c r="AN10" s="15"/>
      <c r="AO10" s="15">
        <v>0</v>
      </c>
      <c r="AP10" s="11" t="s">
        <v>77</v>
      </c>
      <c r="AR10" s="26"/>
    </row>
    <row r="11" spans="1:81" s="10" customFormat="1" ht="45" x14ac:dyDescent="0.25">
      <c r="A11" s="13" t="s">
        <v>144</v>
      </c>
      <c r="B11" s="12" t="s">
        <v>145</v>
      </c>
      <c r="C11" s="12" t="s">
        <v>141</v>
      </c>
      <c r="D11" s="15">
        <v>244849.49</v>
      </c>
      <c r="E11" s="15">
        <f>Tableau_Lancer_la_requête_à_partir_de_Excel_Files1025[[#This Row],[Aide Massif]]+Tableau_Lancer_la_requête_à_partir_de_Excel_Files1025[[#This Row],[''Autre Public'']]</f>
        <v>165987.14000000001</v>
      </c>
      <c r="F11" s="16">
        <f>Tableau_Lancer_la_requête_à_partir_de_Excel_Files1025[[#This Row],[Aide 
publique]]/Tableau_Lancer_la_requête_à_partir_de_Excel_Files1025[[#This Row],[''Coût total éligible'']]</f>
        <v>0.6779149917771935</v>
      </c>
      <c r="G11" s="15">
        <f>Tableau_Lancer_la_requête_à_partir_de_Excel_Files1025[[#This Row],[''FEDER'']]+Tableau_Lancer_la_requête_à_partir_de_Excel_Files1025[[#This Row],[Total Etat]]+Tableau_Lancer_la_requête_à_partir_de_Excel_Files1025[[#This Row],[Total Régions]]+Tableau_Lancer_la_requête_à_partir_de_Excel_Files1025[[#This Row],[Total Dpts]]</f>
        <v>165987.14000000001</v>
      </c>
      <c r="H11" s="16">
        <f>Tableau_Lancer_la_requête_à_partir_de_Excel_Files1025[[#This Row],[Aide Massif]]/Tableau_Lancer_la_requête_à_partir_de_Excel_Files1025[[#This Row],[''Coût total éligible'']]</f>
        <v>0.6779149917771935</v>
      </c>
      <c r="I11" s="15">
        <v>0</v>
      </c>
      <c r="J11" s="15">
        <f>Tableau_Lancer_la_requête_à_partir_de_Excel_Files1025[[#This Row],[''FNADT '']]+Tableau_Lancer_la_requête_à_partir_de_Excel_Files1025[[#This Row],[''Agriculture'']]</f>
        <v>165987.14000000001</v>
      </c>
      <c r="K11" s="11">
        <v>165987.14000000001</v>
      </c>
      <c r="L11" s="15"/>
      <c r="M11" s="15">
        <f>Tableau_Lancer_la_requête_à_partir_de_Excel_Files1025[[#This Row],[''ALPC'']]+Tableau_Lancer_la_requête_à_partir_de_Excel_Files1025[[#This Row],[''AURA'']]+Tableau_Lancer_la_requête_à_partir_de_Excel_Files1025[[#This Row],[''BFC'']]+Tableau_Lancer_la_requête_à_partir_de_Excel_Files1025[[#This Row],[''LRMP'']]</f>
        <v>0</v>
      </c>
      <c r="N11" s="15"/>
      <c r="O11" s="15"/>
      <c r="P11" s="15"/>
      <c r="Q11" s="15"/>
      <c r="R11" s="15">
        <f>Tableau_Lancer_la_requête_à_partir_de_Excel_Files1025[[#This Row],[''03'']]+Tableau_Lancer_la_requête_à_partir_de_Excel_Files1025[[#This Row],[''07'']]+Tableau_Lancer_la_requête_à_partir_de_Excel_Files1025[[#This Row],[''11'']]+Tableau_Lancer_la_requête_à_partir_de_Excel_Files1025[[#This Row],[''12'']]+Tableau_Lancer_la_requête_à_partir_de_Excel_Files1025[[#This Row],[''15'']]+Tableau_Lancer_la_requête_à_partir_de_Excel_Files1025[[#This Row],[''19'']]+Tableau_Lancer_la_requête_à_partir_de_Excel_Files1025[[#This Row],[''21'']]+Tableau_Lancer_la_requête_à_partir_de_Excel_Files1025[[#This Row],[''23'']]+Tableau_Lancer_la_requête_à_partir_de_Excel_Files1025[[#This Row],[''30'']]+Tableau_Lancer_la_requête_à_partir_de_Excel_Files1025[[#This Row],[''34'']]+Tableau_Lancer_la_requête_à_partir_de_Excel_Files1025[[#This Row],[''42'']]+Tableau_Lancer_la_requête_à_partir_de_Excel_Files1025[[#This Row],[''43'']]+Tableau_Lancer_la_requête_à_partir_de_Excel_Files1025[[#This Row],[''46'']]+Tableau_Lancer_la_requête_à_partir_de_Excel_Files1025[[#This Row],[''48'']]+Tableau_Lancer_la_requête_à_partir_de_Excel_Files1025[[#This Row],[''58'']]+Tableau_Lancer_la_requête_à_partir_de_Excel_Files1025[[#This Row],[''63'']]+Tableau_Lancer_la_requête_à_partir_de_Excel_Files1025[[#This Row],[''69'']]+Tableau_Lancer_la_requête_à_partir_de_Excel_Files1025[[#This Row],[''71'']]+Tableau_Lancer_la_requête_à_partir_de_Excel_Files1025[[#This Row],[''81'']]+Tableau_Lancer_la_requête_à_partir_de_Excel_Files1025[[#This Row],[''82'']]+Tableau_Lancer_la_requête_à_partir_de_Excel_Files1025[[#This Row],[''87'']]+Tableau_Lancer_la_requête_à_partir_de_Excel_Files1025[[#This Row],[''89'']]</f>
        <v>0</v>
      </c>
      <c r="S11" s="15"/>
      <c r="T11" s="15"/>
      <c r="U11" s="15"/>
      <c r="V11" s="15"/>
      <c r="W11" s="15"/>
      <c r="X11" s="15"/>
      <c r="Y11" s="15"/>
      <c r="Z11" s="15"/>
      <c r="AA11" s="15"/>
      <c r="AB11" s="15"/>
      <c r="AC11" s="15"/>
      <c r="AD11" s="15"/>
      <c r="AE11" s="15"/>
      <c r="AF11" s="15"/>
      <c r="AG11" s="15"/>
      <c r="AH11" s="15"/>
      <c r="AI11" s="15"/>
      <c r="AJ11" s="15"/>
      <c r="AK11" s="15"/>
      <c r="AL11" s="15"/>
      <c r="AM11" s="15"/>
      <c r="AN11" s="15"/>
      <c r="AO11" s="15">
        <v>0</v>
      </c>
      <c r="AP11" s="11" t="s">
        <v>77</v>
      </c>
      <c r="AR11" s="24"/>
    </row>
    <row r="12" spans="1:81" ht="45" x14ac:dyDescent="0.25">
      <c r="A12" s="13" t="s">
        <v>146</v>
      </c>
      <c r="B12" s="12" t="s">
        <v>147</v>
      </c>
      <c r="C12" s="12" t="s">
        <v>141</v>
      </c>
      <c r="D12" s="15">
        <v>25648.73</v>
      </c>
      <c r="E12" s="15">
        <f>Tableau_Lancer_la_requête_à_partir_de_Excel_Files1025[[#This Row],[Aide Massif]]+Tableau_Lancer_la_requête_à_partir_de_Excel_Files1025[[#This Row],[''Autre Public'']]</f>
        <v>17954</v>
      </c>
      <c r="F12" s="16">
        <f>Tableau_Lancer_la_requête_à_partir_de_Excel_Files1025[[#This Row],[Aide 
publique]]/Tableau_Lancer_la_requête_à_partir_de_Excel_Files1025[[#This Row],[''Coût total éligible'']]</f>
        <v>0.69999567230034387</v>
      </c>
      <c r="G12" s="15">
        <f>Tableau_Lancer_la_requête_à_partir_de_Excel_Files1025[[#This Row],[''FEDER'']]+Tableau_Lancer_la_requête_à_partir_de_Excel_Files1025[[#This Row],[Total Etat]]+Tableau_Lancer_la_requête_à_partir_de_Excel_Files1025[[#This Row],[Total Régions]]+Tableau_Lancer_la_requête_à_partir_de_Excel_Files1025[[#This Row],[Total Dpts]]</f>
        <v>17954</v>
      </c>
      <c r="H12" s="16">
        <f>Tableau_Lancer_la_requête_à_partir_de_Excel_Files1025[[#This Row],[Aide Massif]]/Tableau_Lancer_la_requête_à_partir_de_Excel_Files1025[[#This Row],[''Coût total éligible'']]</f>
        <v>0.69999567230034387</v>
      </c>
      <c r="I12" s="15">
        <v>0</v>
      </c>
      <c r="J12" s="15">
        <f>Tableau_Lancer_la_requête_à_partir_de_Excel_Files1025[[#This Row],[''FNADT '']]+Tableau_Lancer_la_requête_à_partir_de_Excel_Files1025[[#This Row],[''Agriculture'']]</f>
        <v>17954</v>
      </c>
      <c r="K12" s="11">
        <v>17954</v>
      </c>
      <c r="L12" s="15"/>
      <c r="M12" s="15">
        <f>Tableau_Lancer_la_requête_à_partir_de_Excel_Files1025[[#This Row],[''ALPC'']]+Tableau_Lancer_la_requête_à_partir_de_Excel_Files1025[[#This Row],[''AURA'']]+Tableau_Lancer_la_requête_à_partir_de_Excel_Files1025[[#This Row],[''BFC'']]+Tableau_Lancer_la_requête_à_partir_de_Excel_Files1025[[#This Row],[''LRMP'']]</f>
        <v>0</v>
      </c>
      <c r="N12" s="15"/>
      <c r="O12" s="15"/>
      <c r="P12" s="15"/>
      <c r="Q12" s="15"/>
      <c r="R12" s="15">
        <f>Tableau_Lancer_la_requête_à_partir_de_Excel_Files1025[[#This Row],[''03'']]+Tableau_Lancer_la_requête_à_partir_de_Excel_Files1025[[#This Row],[''07'']]+Tableau_Lancer_la_requête_à_partir_de_Excel_Files1025[[#This Row],[''11'']]+Tableau_Lancer_la_requête_à_partir_de_Excel_Files1025[[#This Row],[''12'']]+Tableau_Lancer_la_requête_à_partir_de_Excel_Files1025[[#This Row],[''15'']]+Tableau_Lancer_la_requête_à_partir_de_Excel_Files1025[[#This Row],[''19'']]+Tableau_Lancer_la_requête_à_partir_de_Excel_Files1025[[#This Row],[''21'']]+Tableau_Lancer_la_requête_à_partir_de_Excel_Files1025[[#This Row],[''23'']]+Tableau_Lancer_la_requête_à_partir_de_Excel_Files1025[[#This Row],[''30'']]+Tableau_Lancer_la_requête_à_partir_de_Excel_Files1025[[#This Row],[''34'']]+Tableau_Lancer_la_requête_à_partir_de_Excel_Files1025[[#This Row],[''42'']]+Tableau_Lancer_la_requête_à_partir_de_Excel_Files1025[[#This Row],[''43'']]+Tableau_Lancer_la_requête_à_partir_de_Excel_Files1025[[#This Row],[''46'']]+Tableau_Lancer_la_requête_à_partir_de_Excel_Files1025[[#This Row],[''48'']]+Tableau_Lancer_la_requête_à_partir_de_Excel_Files1025[[#This Row],[''58'']]+Tableau_Lancer_la_requête_à_partir_de_Excel_Files1025[[#This Row],[''63'']]+Tableau_Lancer_la_requête_à_partir_de_Excel_Files1025[[#This Row],[''69'']]+Tableau_Lancer_la_requête_à_partir_de_Excel_Files1025[[#This Row],[''71'']]+Tableau_Lancer_la_requête_à_partir_de_Excel_Files1025[[#This Row],[''81'']]+Tableau_Lancer_la_requête_à_partir_de_Excel_Files1025[[#This Row],[''82'']]+Tableau_Lancer_la_requête_à_partir_de_Excel_Files1025[[#This Row],[''87'']]+Tableau_Lancer_la_requête_à_partir_de_Excel_Files1025[[#This Row],[''89'']]</f>
        <v>0</v>
      </c>
      <c r="S12" s="15"/>
      <c r="T12" s="15"/>
      <c r="U12" s="15"/>
      <c r="V12" s="15"/>
      <c r="W12" s="15"/>
      <c r="X12" s="15"/>
      <c r="Y12" s="15"/>
      <c r="Z12" s="15"/>
      <c r="AA12" s="15"/>
      <c r="AB12" s="15"/>
      <c r="AC12" s="15"/>
      <c r="AD12" s="15"/>
      <c r="AE12" s="15"/>
      <c r="AF12" s="15"/>
      <c r="AG12" s="15"/>
      <c r="AH12" s="15"/>
      <c r="AI12" s="15"/>
      <c r="AJ12" s="15"/>
      <c r="AK12" s="15"/>
      <c r="AL12" s="15"/>
      <c r="AM12" s="15"/>
      <c r="AN12" s="15"/>
      <c r="AO12" s="15">
        <v>0</v>
      </c>
      <c r="AP12" s="11" t="s">
        <v>77</v>
      </c>
      <c r="AR12" s="26"/>
      <c r="BY12" s="4"/>
      <c r="CC12" s="3"/>
    </row>
    <row r="13" spans="1:81" ht="45" x14ac:dyDescent="0.25">
      <c r="A13" s="13" t="s">
        <v>148</v>
      </c>
      <c r="B13" s="12" t="s">
        <v>149</v>
      </c>
      <c r="C13" s="12" t="s">
        <v>150</v>
      </c>
      <c r="D13" s="15">
        <v>26000</v>
      </c>
      <c r="E13" s="15">
        <f>Tableau_Lancer_la_requête_à_partir_de_Excel_Files1025[[#This Row],[Aide Massif]]+Tableau_Lancer_la_requête_à_partir_de_Excel_Files1025[[#This Row],[''Autre Public'']]</f>
        <v>18200</v>
      </c>
      <c r="F13" s="16">
        <f>Tableau_Lancer_la_requête_à_partir_de_Excel_Files1025[[#This Row],[Aide 
publique]]/Tableau_Lancer_la_requête_à_partir_de_Excel_Files1025[[#This Row],[''Coût total éligible'']]</f>
        <v>0.7</v>
      </c>
      <c r="G13" s="15">
        <f>Tableau_Lancer_la_requête_à_partir_de_Excel_Files1025[[#This Row],[''FEDER'']]+Tableau_Lancer_la_requête_à_partir_de_Excel_Files1025[[#This Row],[Total Etat]]+Tableau_Lancer_la_requête_à_partir_de_Excel_Files1025[[#This Row],[Total Régions]]+Tableau_Lancer_la_requête_à_partir_de_Excel_Files1025[[#This Row],[Total Dpts]]</f>
        <v>18200</v>
      </c>
      <c r="H13" s="16">
        <f>Tableau_Lancer_la_requête_à_partir_de_Excel_Files1025[[#This Row],[Aide Massif]]/Tableau_Lancer_la_requête_à_partir_de_Excel_Files1025[[#This Row],[''Coût total éligible'']]</f>
        <v>0.7</v>
      </c>
      <c r="I13" s="15">
        <v>0</v>
      </c>
      <c r="J13" s="15">
        <f>Tableau_Lancer_la_requête_à_partir_de_Excel_Files1025[[#This Row],[''FNADT '']]+Tableau_Lancer_la_requête_à_partir_de_Excel_Files1025[[#This Row],[''Agriculture'']]</f>
        <v>18200</v>
      </c>
      <c r="K13" s="11">
        <v>18200</v>
      </c>
      <c r="L13" s="15"/>
      <c r="M13" s="15">
        <f>Tableau_Lancer_la_requête_à_partir_de_Excel_Files1025[[#This Row],[''ALPC'']]+Tableau_Lancer_la_requête_à_partir_de_Excel_Files1025[[#This Row],[''AURA'']]+Tableau_Lancer_la_requête_à_partir_de_Excel_Files1025[[#This Row],[''BFC'']]+Tableau_Lancer_la_requête_à_partir_de_Excel_Files1025[[#This Row],[''LRMP'']]</f>
        <v>0</v>
      </c>
      <c r="N13" s="15"/>
      <c r="O13" s="15"/>
      <c r="P13" s="15"/>
      <c r="Q13" s="15"/>
      <c r="R13" s="15">
        <f>Tableau_Lancer_la_requête_à_partir_de_Excel_Files1025[[#This Row],[''03'']]+Tableau_Lancer_la_requête_à_partir_de_Excel_Files1025[[#This Row],[''07'']]+Tableau_Lancer_la_requête_à_partir_de_Excel_Files1025[[#This Row],[''11'']]+Tableau_Lancer_la_requête_à_partir_de_Excel_Files1025[[#This Row],[''12'']]+Tableau_Lancer_la_requête_à_partir_de_Excel_Files1025[[#This Row],[''15'']]+Tableau_Lancer_la_requête_à_partir_de_Excel_Files1025[[#This Row],[''19'']]+Tableau_Lancer_la_requête_à_partir_de_Excel_Files1025[[#This Row],[''21'']]+Tableau_Lancer_la_requête_à_partir_de_Excel_Files1025[[#This Row],[''23'']]+Tableau_Lancer_la_requête_à_partir_de_Excel_Files1025[[#This Row],[''30'']]+Tableau_Lancer_la_requête_à_partir_de_Excel_Files1025[[#This Row],[''34'']]+Tableau_Lancer_la_requête_à_partir_de_Excel_Files1025[[#This Row],[''42'']]+Tableau_Lancer_la_requête_à_partir_de_Excel_Files1025[[#This Row],[''43'']]+Tableau_Lancer_la_requête_à_partir_de_Excel_Files1025[[#This Row],[''46'']]+Tableau_Lancer_la_requête_à_partir_de_Excel_Files1025[[#This Row],[''48'']]+Tableau_Lancer_la_requête_à_partir_de_Excel_Files1025[[#This Row],[''58'']]+Tableau_Lancer_la_requête_à_partir_de_Excel_Files1025[[#This Row],[''63'']]+Tableau_Lancer_la_requête_à_partir_de_Excel_Files1025[[#This Row],[''69'']]+Tableau_Lancer_la_requête_à_partir_de_Excel_Files1025[[#This Row],[''71'']]+Tableau_Lancer_la_requête_à_partir_de_Excel_Files1025[[#This Row],[''81'']]+Tableau_Lancer_la_requête_à_partir_de_Excel_Files1025[[#This Row],[''82'']]+Tableau_Lancer_la_requête_à_partir_de_Excel_Files1025[[#This Row],[''87'']]+Tableau_Lancer_la_requête_à_partir_de_Excel_Files1025[[#This Row],[''89'']]</f>
        <v>0</v>
      </c>
      <c r="S13" s="15"/>
      <c r="T13" s="15"/>
      <c r="U13" s="15"/>
      <c r="V13" s="15"/>
      <c r="W13" s="15"/>
      <c r="X13" s="15"/>
      <c r="Y13" s="15"/>
      <c r="Z13" s="15"/>
      <c r="AA13" s="15"/>
      <c r="AB13" s="15"/>
      <c r="AC13" s="15"/>
      <c r="AD13" s="15"/>
      <c r="AE13" s="15"/>
      <c r="AF13" s="15"/>
      <c r="AG13" s="15"/>
      <c r="AH13" s="15"/>
      <c r="AI13" s="15"/>
      <c r="AJ13" s="15"/>
      <c r="AK13" s="15"/>
      <c r="AL13" s="15"/>
      <c r="AM13" s="15"/>
      <c r="AN13" s="15"/>
      <c r="AO13" s="15">
        <v>0</v>
      </c>
      <c r="AP13" s="11" t="s">
        <v>77</v>
      </c>
      <c r="AR13" s="24"/>
      <c r="BY13" s="4"/>
      <c r="CC13" s="3"/>
    </row>
    <row r="14" spans="1:81" ht="60" x14ac:dyDescent="0.25">
      <c r="A14" s="6" t="s">
        <v>151</v>
      </c>
      <c r="B14" s="5" t="s">
        <v>152</v>
      </c>
      <c r="C14" s="5" t="s">
        <v>153</v>
      </c>
      <c r="D14" s="8">
        <v>347686</v>
      </c>
      <c r="E14" s="8">
        <f>Tableau_Lancer_la_requête_à_partir_de_Excel_Files1025[[#This Row],[Aide Massif]]+Tableau_Lancer_la_requête_à_partir_de_Excel_Files1025[[#This Row],[''Autre Public'']]</f>
        <v>173843</v>
      </c>
      <c r="F14" s="9">
        <f>Tableau_Lancer_la_requête_à_partir_de_Excel_Files1025[[#This Row],[Aide 
publique]]/Tableau_Lancer_la_requête_à_partir_de_Excel_Files1025[[#This Row],[''Coût total éligible'']]</f>
        <v>0.5</v>
      </c>
      <c r="G14" s="15">
        <f>Tableau_Lancer_la_requête_à_partir_de_Excel_Files1025[[#This Row],[''FEDER'']]+Tableau_Lancer_la_requête_à_partir_de_Excel_Files1025[[#This Row],[Total Etat]]+Tableau_Lancer_la_requête_à_partir_de_Excel_Files1025[[#This Row],[Total Régions]]+Tableau_Lancer_la_requête_à_partir_de_Excel_Files1025[[#This Row],[Total Dpts]]</f>
        <v>173843</v>
      </c>
      <c r="H14" s="9">
        <f>Tableau_Lancer_la_requête_à_partir_de_Excel_Files1025[[#This Row],[Aide Massif]]/Tableau_Lancer_la_requête_à_partir_de_Excel_Files1025[[#This Row],[''Coût total éligible'']]</f>
        <v>0.5</v>
      </c>
      <c r="I14" s="8">
        <v>0</v>
      </c>
      <c r="J14" s="8">
        <f>Tableau_Lancer_la_requête_à_partir_de_Excel_Files1025[[#This Row],[''FNADT '']]+Tableau_Lancer_la_requête_à_partir_de_Excel_Files1025[[#This Row],[''Agriculture'']]</f>
        <v>104306</v>
      </c>
      <c r="K14" s="10">
        <v>104306</v>
      </c>
      <c r="L14" s="8"/>
      <c r="M14" s="60">
        <f>Tableau_Lancer_la_requête_à_partir_de_Excel_Files1025[[#This Row],[''ALPC'']]+Tableau_Lancer_la_requête_à_partir_de_Excel_Files1025[[#This Row],[''AURA'']]+Tableau_Lancer_la_requête_à_partir_de_Excel_Files1025[[#This Row],[''BFC'']]+Tableau_Lancer_la_requête_à_partir_de_Excel_Files1025[[#This Row],[''LRMP'']]</f>
        <v>69537</v>
      </c>
      <c r="N14" s="8"/>
      <c r="O14" s="8"/>
      <c r="P14" s="8"/>
      <c r="Q14" s="8">
        <v>69537</v>
      </c>
      <c r="R14" s="8">
        <f>Tableau_Lancer_la_requête_à_partir_de_Excel_Files1025[[#This Row],[''03'']]+Tableau_Lancer_la_requête_à_partir_de_Excel_Files1025[[#This Row],[''07'']]+Tableau_Lancer_la_requête_à_partir_de_Excel_Files1025[[#This Row],[''11'']]+Tableau_Lancer_la_requête_à_partir_de_Excel_Files1025[[#This Row],[''12'']]+Tableau_Lancer_la_requête_à_partir_de_Excel_Files1025[[#This Row],[''15'']]+Tableau_Lancer_la_requête_à_partir_de_Excel_Files1025[[#This Row],[''19'']]+Tableau_Lancer_la_requête_à_partir_de_Excel_Files1025[[#This Row],[''21'']]+Tableau_Lancer_la_requête_à_partir_de_Excel_Files1025[[#This Row],[''23'']]+Tableau_Lancer_la_requête_à_partir_de_Excel_Files1025[[#This Row],[''30'']]+Tableau_Lancer_la_requête_à_partir_de_Excel_Files1025[[#This Row],[''34'']]+Tableau_Lancer_la_requête_à_partir_de_Excel_Files1025[[#This Row],[''42'']]+Tableau_Lancer_la_requête_à_partir_de_Excel_Files1025[[#This Row],[''43'']]+Tableau_Lancer_la_requête_à_partir_de_Excel_Files1025[[#This Row],[''46'']]+Tableau_Lancer_la_requête_à_partir_de_Excel_Files1025[[#This Row],[''48'']]+Tableau_Lancer_la_requête_à_partir_de_Excel_Files1025[[#This Row],[''58'']]+Tableau_Lancer_la_requête_à_partir_de_Excel_Files1025[[#This Row],[''63'']]+Tableau_Lancer_la_requête_à_partir_de_Excel_Files1025[[#This Row],[''69'']]+Tableau_Lancer_la_requête_à_partir_de_Excel_Files1025[[#This Row],[''71'']]+Tableau_Lancer_la_requête_à_partir_de_Excel_Files1025[[#This Row],[''81'']]+Tableau_Lancer_la_requête_à_partir_de_Excel_Files1025[[#This Row],[''82'']]+Tableau_Lancer_la_requête_à_partir_de_Excel_Files1025[[#This Row],[''87'']]+Tableau_Lancer_la_requête_à_partir_de_Excel_Files1025[[#This Row],[''89'']]</f>
        <v>0</v>
      </c>
      <c r="S14" s="8"/>
      <c r="T14" s="8"/>
      <c r="U14" s="8"/>
      <c r="V14" s="8"/>
      <c r="W14" s="8"/>
      <c r="X14" s="8"/>
      <c r="Y14" s="8"/>
      <c r="Z14" s="8"/>
      <c r="AA14" s="8"/>
      <c r="AB14" s="8"/>
      <c r="AC14" s="8"/>
      <c r="AD14" s="8"/>
      <c r="AE14" s="8"/>
      <c r="AF14" s="8"/>
      <c r="AG14" s="8"/>
      <c r="AH14" s="8"/>
      <c r="AI14" s="8"/>
      <c r="AJ14" s="8"/>
      <c r="AK14" s="8"/>
      <c r="AL14" s="8"/>
      <c r="AM14" s="8"/>
      <c r="AN14" s="8"/>
      <c r="AO14" s="8">
        <v>0</v>
      </c>
      <c r="AP14" s="10" t="s">
        <v>77</v>
      </c>
      <c r="AR14" s="27"/>
      <c r="BY14" s="4"/>
      <c r="CC14" s="3"/>
    </row>
    <row r="15" spans="1:81" ht="60" x14ac:dyDescent="0.25">
      <c r="A15" s="13" t="s">
        <v>154</v>
      </c>
      <c r="B15" s="12" t="s">
        <v>155</v>
      </c>
      <c r="C15" s="12" t="s">
        <v>156</v>
      </c>
      <c r="D15" s="76">
        <v>249600</v>
      </c>
      <c r="E15" s="76">
        <f>Tableau_Lancer_la_requête_à_partir_de_Excel_Files1025[[#This Row],[Aide Massif]]+Tableau_Lancer_la_requête_à_partir_de_Excel_Files1025[[#This Row],[''Autre Public'']]</f>
        <v>124800</v>
      </c>
      <c r="F15" s="77">
        <f>Tableau_Lancer_la_requête_à_partir_de_Excel_Files1025[[#This Row],[Aide 
publique]]/Tableau_Lancer_la_requête_à_partir_de_Excel_Files1025[[#This Row],[''Coût total éligible'']]</f>
        <v>0.5</v>
      </c>
      <c r="G15" s="76">
        <f>Tableau_Lancer_la_requête_à_partir_de_Excel_Files1025[[#This Row],[''FEDER'']]+Tableau_Lancer_la_requête_à_partir_de_Excel_Files1025[[#This Row],[Total Etat]]+Tableau_Lancer_la_requête_à_partir_de_Excel_Files1025[[#This Row],[Total Régions]]+Tableau_Lancer_la_requête_à_partir_de_Excel_Files1025[[#This Row],[Total Dpts]]</f>
        <v>124800</v>
      </c>
      <c r="H15" s="77">
        <f>Tableau_Lancer_la_requête_à_partir_de_Excel_Files1025[[#This Row],[Aide Massif]]/Tableau_Lancer_la_requête_à_partir_de_Excel_Files1025[[#This Row],[''Coût total éligible'']]</f>
        <v>0.5</v>
      </c>
      <c r="I15" s="76">
        <v>0</v>
      </c>
      <c r="J15" s="76">
        <f>Tableau_Lancer_la_requête_à_partir_de_Excel_Files1025[[#This Row],[''FNADT '']]+Tableau_Lancer_la_requête_à_partir_de_Excel_Files1025[[#This Row],[''Agriculture'']]</f>
        <v>124800</v>
      </c>
      <c r="K15" s="78">
        <v>124800</v>
      </c>
      <c r="L15" s="76"/>
      <c r="M15" s="76">
        <f>Tableau_Lancer_la_requête_à_partir_de_Excel_Files1025[[#This Row],[''ALPC'']]+Tableau_Lancer_la_requête_à_partir_de_Excel_Files1025[[#This Row],[''AURA'']]+Tableau_Lancer_la_requête_à_partir_de_Excel_Files1025[[#This Row],[''BFC'']]+Tableau_Lancer_la_requête_à_partir_de_Excel_Files1025[[#This Row],[''LRMP'']]</f>
        <v>0</v>
      </c>
      <c r="N15" s="76"/>
      <c r="O15" s="76"/>
      <c r="P15" s="76"/>
      <c r="Q15" s="76"/>
      <c r="R15" s="76">
        <f>Tableau_Lancer_la_requête_à_partir_de_Excel_Files1025[[#This Row],[''03'']]+Tableau_Lancer_la_requête_à_partir_de_Excel_Files1025[[#This Row],[''07'']]+Tableau_Lancer_la_requête_à_partir_de_Excel_Files1025[[#This Row],[''11'']]+Tableau_Lancer_la_requête_à_partir_de_Excel_Files1025[[#This Row],[''12'']]+Tableau_Lancer_la_requête_à_partir_de_Excel_Files1025[[#This Row],[''15'']]+Tableau_Lancer_la_requête_à_partir_de_Excel_Files1025[[#This Row],[''19'']]+Tableau_Lancer_la_requête_à_partir_de_Excel_Files1025[[#This Row],[''21'']]+Tableau_Lancer_la_requête_à_partir_de_Excel_Files1025[[#This Row],[''23'']]+Tableau_Lancer_la_requête_à_partir_de_Excel_Files1025[[#This Row],[''30'']]+Tableau_Lancer_la_requête_à_partir_de_Excel_Files1025[[#This Row],[''34'']]+Tableau_Lancer_la_requête_à_partir_de_Excel_Files1025[[#This Row],[''42'']]+Tableau_Lancer_la_requête_à_partir_de_Excel_Files1025[[#This Row],[''43'']]+Tableau_Lancer_la_requête_à_partir_de_Excel_Files1025[[#This Row],[''46'']]+Tableau_Lancer_la_requête_à_partir_de_Excel_Files1025[[#This Row],[''48'']]+Tableau_Lancer_la_requête_à_partir_de_Excel_Files1025[[#This Row],[''58'']]+Tableau_Lancer_la_requête_à_partir_de_Excel_Files1025[[#This Row],[''63'']]+Tableau_Lancer_la_requête_à_partir_de_Excel_Files1025[[#This Row],[''69'']]+Tableau_Lancer_la_requête_à_partir_de_Excel_Files1025[[#This Row],[''71'']]+Tableau_Lancer_la_requête_à_partir_de_Excel_Files1025[[#This Row],[''81'']]+Tableau_Lancer_la_requête_à_partir_de_Excel_Files1025[[#This Row],[''82'']]+Tableau_Lancer_la_requête_à_partir_de_Excel_Files1025[[#This Row],[''87'']]+Tableau_Lancer_la_requête_à_partir_de_Excel_Files1025[[#This Row],[''89'']]</f>
        <v>0</v>
      </c>
      <c r="S15" s="76"/>
      <c r="T15" s="76"/>
      <c r="U15" s="76"/>
      <c r="V15" s="76"/>
      <c r="W15" s="76"/>
      <c r="X15" s="76"/>
      <c r="Y15" s="76"/>
      <c r="Z15" s="76"/>
      <c r="AA15" s="76"/>
      <c r="AB15" s="76"/>
      <c r="AC15" s="76"/>
      <c r="AD15" s="76"/>
      <c r="AE15" s="76"/>
      <c r="AF15" s="76"/>
      <c r="AG15" s="76"/>
      <c r="AH15" s="76"/>
      <c r="AI15" s="76"/>
      <c r="AJ15" s="76"/>
      <c r="AK15" s="76"/>
      <c r="AL15" s="76"/>
      <c r="AM15" s="76"/>
      <c r="AN15" s="76"/>
      <c r="AO15" s="76">
        <v>0</v>
      </c>
      <c r="AP15" s="11" t="s">
        <v>77</v>
      </c>
      <c r="AR15" s="28" t="s">
        <v>413</v>
      </c>
      <c r="BY15" s="4"/>
      <c r="CC15" s="3"/>
    </row>
    <row r="16" spans="1:81" ht="60" x14ac:dyDescent="0.25">
      <c r="A16" s="13" t="s">
        <v>157</v>
      </c>
      <c r="B16" s="12" t="s">
        <v>79</v>
      </c>
      <c r="C16" s="12" t="s">
        <v>156</v>
      </c>
      <c r="D16" s="15">
        <v>104803.39</v>
      </c>
      <c r="E16" s="15">
        <f>Tableau_Lancer_la_requête_à_partir_de_Excel_Files1025[[#This Row],[Aide Massif]]+Tableau_Lancer_la_requête_à_partir_de_Excel_Files1025[[#This Row],[''Autre Public'']]</f>
        <v>52401.7</v>
      </c>
      <c r="F16" s="16">
        <f>Tableau_Lancer_la_requête_à_partir_de_Excel_Files1025[[#This Row],[Aide 
publique]]/Tableau_Lancer_la_requête_à_partir_de_Excel_Files1025[[#This Row],[''Coût total éligible'']]</f>
        <v>0.50000004770838036</v>
      </c>
      <c r="G16" s="15">
        <f>Tableau_Lancer_la_requête_à_partir_de_Excel_Files1025[[#This Row],[''FEDER'']]+Tableau_Lancer_la_requête_à_partir_de_Excel_Files1025[[#This Row],[Total Etat]]+Tableau_Lancer_la_requête_à_partir_de_Excel_Files1025[[#This Row],[Total Régions]]+Tableau_Lancer_la_requête_à_partir_de_Excel_Files1025[[#This Row],[Total Dpts]]</f>
        <v>52401.7</v>
      </c>
      <c r="H16" s="16">
        <f>Tableau_Lancer_la_requête_à_partir_de_Excel_Files1025[[#This Row],[Aide Massif]]/Tableau_Lancer_la_requête_à_partir_de_Excel_Files1025[[#This Row],[''Coût total éligible'']]</f>
        <v>0.50000004770838036</v>
      </c>
      <c r="I16" s="15">
        <v>0</v>
      </c>
      <c r="J16" s="15">
        <f>Tableau_Lancer_la_requête_à_partir_de_Excel_Files1025[[#This Row],[''FNADT '']]+Tableau_Lancer_la_requête_à_partir_de_Excel_Files1025[[#This Row],[''Agriculture'']]</f>
        <v>52401.7</v>
      </c>
      <c r="K16" s="11">
        <v>52401.7</v>
      </c>
      <c r="L16" s="15"/>
      <c r="M16" s="15">
        <f>Tableau_Lancer_la_requête_à_partir_de_Excel_Files1025[[#This Row],[''ALPC'']]+Tableau_Lancer_la_requête_à_partir_de_Excel_Files1025[[#This Row],[''AURA'']]+Tableau_Lancer_la_requête_à_partir_de_Excel_Files1025[[#This Row],[''BFC'']]+Tableau_Lancer_la_requête_à_partir_de_Excel_Files1025[[#This Row],[''LRMP'']]</f>
        <v>0</v>
      </c>
      <c r="N16" s="15"/>
      <c r="O16" s="15"/>
      <c r="P16" s="15"/>
      <c r="Q16" s="15"/>
      <c r="R16" s="15">
        <f>Tableau_Lancer_la_requête_à_partir_de_Excel_Files1025[[#This Row],[''03'']]+Tableau_Lancer_la_requête_à_partir_de_Excel_Files1025[[#This Row],[''07'']]+Tableau_Lancer_la_requête_à_partir_de_Excel_Files1025[[#This Row],[''11'']]+Tableau_Lancer_la_requête_à_partir_de_Excel_Files1025[[#This Row],[''12'']]+Tableau_Lancer_la_requête_à_partir_de_Excel_Files1025[[#This Row],[''15'']]+Tableau_Lancer_la_requête_à_partir_de_Excel_Files1025[[#This Row],[''19'']]+Tableau_Lancer_la_requête_à_partir_de_Excel_Files1025[[#This Row],[''21'']]+Tableau_Lancer_la_requête_à_partir_de_Excel_Files1025[[#This Row],[''23'']]+Tableau_Lancer_la_requête_à_partir_de_Excel_Files1025[[#This Row],[''30'']]+Tableau_Lancer_la_requête_à_partir_de_Excel_Files1025[[#This Row],[''34'']]+Tableau_Lancer_la_requête_à_partir_de_Excel_Files1025[[#This Row],[''42'']]+Tableau_Lancer_la_requête_à_partir_de_Excel_Files1025[[#This Row],[''43'']]+Tableau_Lancer_la_requête_à_partir_de_Excel_Files1025[[#This Row],[''46'']]+Tableau_Lancer_la_requête_à_partir_de_Excel_Files1025[[#This Row],[''48'']]+Tableau_Lancer_la_requête_à_partir_de_Excel_Files1025[[#This Row],[''58'']]+Tableau_Lancer_la_requête_à_partir_de_Excel_Files1025[[#This Row],[''63'']]+Tableau_Lancer_la_requête_à_partir_de_Excel_Files1025[[#This Row],[''69'']]+Tableau_Lancer_la_requête_à_partir_de_Excel_Files1025[[#This Row],[''71'']]+Tableau_Lancer_la_requête_à_partir_de_Excel_Files1025[[#This Row],[''81'']]+Tableau_Lancer_la_requête_à_partir_de_Excel_Files1025[[#This Row],[''82'']]+Tableau_Lancer_la_requête_à_partir_de_Excel_Files1025[[#This Row],[''87'']]+Tableau_Lancer_la_requête_à_partir_de_Excel_Files1025[[#This Row],[''89'']]</f>
        <v>0</v>
      </c>
      <c r="S16" s="15"/>
      <c r="T16" s="15"/>
      <c r="U16" s="15"/>
      <c r="V16" s="15"/>
      <c r="W16" s="15"/>
      <c r="X16" s="15"/>
      <c r="Y16" s="15"/>
      <c r="Z16" s="15"/>
      <c r="AA16" s="15"/>
      <c r="AB16" s="15"/>
      <c r="AC16" s="15"/>
      <c r="AD16" s="15"/>
      <c r="AE16" s="15"/>
      <c r="AF16" s="15"/>
      <c r="AG16" s="15"/>
      <c r="AH16" s="15"/>
      <c r="AI16" s="15"/>
      <c r="AJ16" s="15"/>
      <c r="AK16" s="15"/>
      <c r="AL16" s="15"/>
      <c r="AM16" s="15"/>
      <c r="AN16" s="15"/>
      <c r="AO16" s="15">
        <v>0</v>
      </c>
      <c r="AP16" s="11" t="s">
        <v>77</v>
      </c>
      <c r="AR16" s="26"/>
      <c r="BY16" s="4"/>
      <c r="CC16" s="3"/>
    </row>
    <row r="17" spans="1:81" s="7" customFormat="1" ht="60.75" thickBot="1" x14ac:dyDescent="0.3">
      <c r="A17" s="13" t="s">
        <v>158</v>
      </c>
      <c r="B17" s="12" t="s">
        <v>106</v>
      </c>
      <c r="C17" s="12" t="s">
        <v>156</v>
      </c>
      <c r="D17" s="15">
        <v>240416.27</v>
      </c>
      <c r="E17" s="15">
        <f>Tableau_Lancer_la_requête_à_partir_de_Excel_Files1025[[#This Row],[Aide Massif]]+Tableau_Lancer_la_requête_à_partir_de_Excel_Files1025[[#This Row],[''Autre Public'']]</f>
        <v>0</v>
      </c>
      <c r="F17" s="16">
        <f>Tableau_Lancer_la_requête_à_partir_de_Excel_Files1025[[#This Row],[Aide 
publique]]/Tableau_Lancer_la_requête_à_partir_de_Excel_Files1025[[#This Row],[''Coût total éligible'']]</f>
        <v>0</v>
      </c>
      <c r="G17" s="15">
        <f>Tableau_Lancer_la_requête_à_partir_de_Excel_Files1025[[#This Row],[''FEDER'']]+Tableau_Lancer_la_requête_à_partir_de_Excel_Files1025[[#This Row],[Total Etat]]+Tableau_Lancer_la_requête_à_partir_de_Excel_Files1025[[#This Row],[Total Régions]]+Tableau_Lancer_la_requête_à_partir_de_Excel_Files1025[[#This Row],[Total Dpts]]</f>
        <v>0</v>
      </c>
      <c r="H17" s="16">
        <f>Tableau_Lancer_la_requête_à_partir_de_Excel_Files1025[[#This Row],[Aide Massif]]/Tableau_Lancer_la_requête_à_partir_de_Excel_Files1025[[#This Row],[''Coût total éligible'']]</f>
        <v>0</v>
      </c>
      <c r="I17" s="15">
        <v>0</v>
      </c>
      <c r="J17" s="15">
        <f>Tableau_Lancer_la_requête_à_partir_de_Excel_Files1025[[#This Row],[''FNADT '']]+Tableau_Lancer_la_requête_à_partir_de_Excel_Files1025[[#This Row],[''Agriculture'']]</f>
        <v>0</v>
      </c>
      <c r="K17" s="11"/>
      <c r="L17" s="15"/>
      <c r="M17" s="15">
        <f>Tableau_Lancer_la_requête_à_partir_de_Excel_Files1025[[#This Row],[''ALPC'']]+Tableau_Lancer_la_requête_à_partir_de_Excel_Files1025[[#This Row],[''AURA'']]+Tableau_Lancer_la_requête_à_partir_de_Excel_Files1025[[#This Row],[''BFC'']]+Tableau_Lancer_la_requête_à_partir_de_Excel_Files1025[[#This Row],[''LRMP'']]</f>
        <v>0</v>
      </c>
      <c r="N17" s="15"/>
      <c r="O17" s="15"/>
      <c r="P17" s="15"/>
      <c r="Q17" s="15"/>
      <c r="R17" s="15">
        <f>Tableau_Lancer_la_requête_à_partir_de_Excel_Files1025[[#This Row],[''03'']]+Tableau_Lancer_la_requête_à_partir_de_Excel_Files1025[[#This Row],[''07'']]+Tableau_Lancer_la_requête_à_partir_de_Excel_Files1025[[#This Row],[''11'']]+Tableau_Lancer_la_requête_à_partir_de_Excel_Files1025[[#This Row],[''12'']]+Tableau_Lancer_la_requête_à_partir_de_Excel_Files1025[[#This Row],[''15'']]+Tableau_Lancer_la_requête_à_partir_de_Excel_Files1025[[#This Row],[''19'']]+Tableau_Lancer_la_requête_à_partir_de_Excel_Files1025[[#This Row],[''21'']]+Tableau_Lancer_la_requête_à_partir_de_Excel_Files1025[[#This Row],[''23'']]+Tableau_Lancer_la_requête_à_partir_de_Excel_Files1025[[#This Row],[''30'']]+Tableau_Lancer_la_requête_à_partir_de_Excel_Files1025[[#This Row],[''34'']]+Tableau_Lancer_la_requête_à_partir_de_Excel_Files1025[[#This Row],[''42'']]+Tableau_Lancer_la_requête_à_partir_de_Excel_Files1025[[#This Row],[''43'']]+Tableau_Lancer_la_requête_à_partir_de_Excel_Files1025[[#This Row],[''46'']]+Tableau_Lancer_la_requête_à_partir_de_Excel_Files1025[[#This Row],[''48'']]+Tableau_Lancer_la_requête_à_partir_de_Excel_Files1025[[#This Row],[''58'']]+Tableau_Lancer_la_requête_à_partir_de_Excel_Files1025[[#This Row],[''63'']]+Tableau_Lancer_la_requête_à_partir_de_Excel_Files1025[[#This Row],[''69'']]+Tableau_Lancer_la_requête_à_partir_de_Excel_Files1025[[#This Row],[''71'']]+Tableau_Lancer_la_requête_à_partir_de_Excel_Files1025[[#This Row],[''81'']]+Tableau_Lancer_la_requête_à_partir_de_Excel_Files1025[[#This Row],[''82'']]+Tableau_Lancer_la_requête_à_partir_de_Excel_Files1025[[#This Row],[''87'']]+Tableau_Lancer_la_requête_à_partir_de_Excel_Files1025[[#This Row],[''89'']]</f>
        <v>0</v>
      </c>
      <c r="S17" s="15"/>
      <c r="T17" s="15"/>
      <c r="U17" s="15"/>
      <c r="V17" s="15"/>
      <c r="W17" s="15"/>
      <c r="X17" s="15"/>
      <c r="Y17" s="15"/>
      <c r="Z17" s="15"/>
      <c r="AA17" s="15"/>
      <c r="AB17" s="15"/>
      <c r="AC17" s="15"/>
      <c r="AD17" s="15"/>
      <c r="AE17" s="15"/>
      <c r="AF17" s="15"/>
      <c r="AG17" s="15"/>
      <c r="AH17" s="15"/>
      <c r="AI17" s="15"/>
      <c r="AJ17" s="15"/>
      <c r="AK17" s="15"/>
      <c r="AL17" s="15"/>
      <c r="AM17" s="15"/>
      <c r="AN17" s="15"/>
      <c r="AO17" s="15">
        <v>0</v>
      </c>
      <c r="AP17" s="11" t="s">
        <v>107</v>
      </c>
      <c r="AR17" s="24" t="s">
        <v>255</v>
      </c>
    </row>
    <row r="18" spans="1:81" s="10" customFormat="1" ht="15.75" thickTop="1" x14ac:dyDescent="0.25">
      <c r="A18" s="70" t="s">
        <v>11</v>
      </c>
      <c r="B18" s="71">
        <f>SUBTOTAL(103,Tableau_Lancer_la_requête_à_partir_de_Excel_Files1025[Nom_MO])</f>
        <v>11</v>
      </c>
      <c r="C18" s="71"/>
      <c r="D18" s="72">
        <f>SUBTOTAL(109,Tableau_Lancer_la_requête_à_partir_de_Excel_Files1025[''Coût total éligible''])</f>
        <v>1763159.4379017155</v>
      </c>
      <c r="E18" s="72">
        <f>SUBTOTAL(109,Tableau_Lancer_la_requête_à_partir_de_Excel_Files1025[Aide 
publique])</f>
        <v>904355.19</v>
      </c>
      <c r="F18" s="73"/>
      <c r="G18" s="72">
        <f>SUBTOTAL(109,Tableau_Lancer_la_requête_à_partir_de_Excel_Files1025[Aide Massif])</f>
        <v>904355.19</v>
      </c>
      <c r="H18" s="73"/>
      <c r="I18" s="72">
        <f>SUBTOTAL(109,Tableau_Lancer_la_requête_à_partir_de_Excel_Files1025[''FEDER''])</f>
        <v>0</v>
      </c>
      <c r="J18" s="72">
        <f>SUBTOTAL(109,Tableau_Lancer_la_requête_à_partir_de_Excel_Files1025[Total Etat])</f>
        <v>834818.19</v>
      </c>
      <c r="K18" s="70"/>
      <c r="L18" s="72">
        <f>SUBTOTAL(109,Tableau_Lancer_la_requête_à_partir_de_Excel_Files1025[''Agriculture''])</f>
        <v>0</v>
      </c>
      <c r="M18" s="72">
        <f>SUBTOTAL(109,Tableau_Lancer_la_requête_à_partir_de_Excel_Files1025[Total Régions])</f>
        <v>69537</v>
      </c>
      <c r="N18" s="72">
        <f>SUBTOTAL(109,Tableau_Lancer_la_requête_à_partir_de_Excel_Files1025[''ALPC''])</f>
        <v>0</v>
      </c>
      <c r="O18" s="72">
        <f>SUBTOTAL(109,Tableau_Lancer_la_requête_à_partir_de_Excel_Files1025[''AURA''])</f>
        <v>0</v>
      </c>
      <c r="P18" s="72">
        <f>SUBTOTAL(109,Tableau_Lancer_la_requête_à_partir_de_Excel_Files1025[''BFC''])</f>
        <v>0</v>
      </c>
      <c r="Q18" s="72">
        <f>SUBTOTAL(109,Tableau_Lancer_la_requête_à_partir_de_Excel_Files1025[''LRMP''])</f>
        <v>69537</v>
      </c>
      <c r="R18" s="72">
        <f>SUBTOTAL(109,Tableau_Lancer_la_requête_à_partir_de_Excel_Files1025[Total Dpts])</f>
        <v>0</v>
      </c>
      <c r="S18" s="72">
        <f>SUBTOTAL(109,Tableau_Lancer_la_requête_à_partir_de_Excel_Files1025[''03''])</f>
        <v>0</v>
      </c>
      <c r="T18" s="72">
        <f>SUBTOTAL(109,Tableau_Lancer_la_requête_à_partir_de_Excel_Files1025[''07''])</f>
        <v>0</v>
      </c>
      <c r="U18" s="72">
        <f>SUBTOTAL(109,Tableau_Lancer_la_requête_à_partir_de_Excel_Files1025[''11''])</f>
        <v>0</v>
      </c>
      <c r="V18" s="72">
        <f>SUBTOTAL(109,Tableau_Lancer_la_requête_à_partir_de_Excel_Files1025[''12''])</f>
        <v>0</v>
      </c>
      <c r="W18" s="72">
        <f>SUBTOTAL(109,Tableau_Lancer_la_requête_à_partir_de_Excel_Files1025[''15''])</f>
        <v>0</v>
      </c>
      <c r="X18" s="72">
        <f>SUBTOTAL(109,Tableau_Lancer_la_requête_à_partir_de_Excel_Files1025[''19''])</f>
        <v>0</v>
      </c>
      <c r="Y18" s="72">
        <f>SUBTOTAL(109,Tableau_Lancer_la_requête_à_partir_de_Excel_Files1025[''21''])</f>
        <v>0</v>
      </c>
      <c r="Z18" s="72">
        <f>SUBTOTAL(109,Tableau_Lancer_la_requête_à_partir_de_Excel_Files1025[''23''])</f>
        <v>0</v>
      </c>
      <c r="AA18" s="72">
        <f>SUBTOTAL(109,Tableau_Lancer_la_requête_à_partir_de_Excel_Files1025[''30''])</f>
        <v>0</v>
      </c>
      <c r="AB18" s="72">
        <f>SUBTOTAL(109,Tableau_Lancer_la_requête_à_partir_de_Excel_Files1025[''34''])</f>
        <v>0</v>
      </c>
      <c r="AC18" s="72">
        <f>SUBTOTAL(109,Tableau_Lancer_la_requête_à_partir_de_Excel_Files1025[''42''])</f>
        <v>0</v>
      </c>
      <c r="AD18" s="72">
        <f>SUBTOTAL(109,Tableau_Lancer_la_requête_à_partir_de_Excel_Files1025[''43''])</f>
        <v>0</v>
      </c>
      <c r="AE18" s="72">
        <f>SUBTOTAL(109,Tableau_Lancer_la_requête_à_partir_de_Excel_Files1025[''46''])</f>
        <v>0</v>
      </c>
      <c r="AF18" s="72">
        <f>SUBTOTAL(109,Tableau_Lancer_la_requête_à_partir_de_Excel_Files1025[''48''])</f>
        <v>0</v>
      </c>
      <c r="AG18" s="72">
        <f>SUBTOTAL(109,Tableau_Lancer_la_requête_à_partir_de_Excel_Files1025[''58''])</f>
        <v>0</v>
      </c>
      <c r="AH18" s="72">
        <f>SUBTOTAL(109,Tableau_Lancer_la_requête_à_partir_de_Excel_Files1025[''63''])</f>
        <v>0</v>
      </c>
      <c r="AI18" s="72">
        <f>SUBTOTAL(109,Tableau_Lancer_la_requête_à_partir_de_Excel_Files1025[''69''])</f>
        <v>0</v>
      </c>
      <c r="AJ18" s="72">
        <f>SUBTOTAL(109,Tableau_Lancer_la_requête_à_partir_de_Excel_Files1025[''71''])</f>
        <v>0</v>
      </c>
      <c r="AK18" s="72">
        <f>SUBTOTAL(109,Tableau_Lancer_la_requête_à_partir_de_Excel_Files1025[''81''])</f>
        <v>0</v>
      </c>
      <c r="AL18" s="72">
        <f>SUBTOTAL(109,Tableau_Lancer_la_requête_à_partir_de_Excel_Files1025[''82''])</f>
        <v>0</v>
      </c>
      <c r="AM18" s="72">
        <f>SUBTOTAL(109,Tableau_Lancer_la_requête_à_partir_de_Excel_Files1025[''87''])</f>
        <v>0</v>
      </c>
      <c r="AN18" s="72">
        <f>SUBTOTAL(109,Tableau_Lancer_la_requête_à_partir_de_Excel_Files1025[''89''])</f>
        <v>0</v>
      </c>
      <c r="AO18" s="72">
        <f>SUBTOTAL(109,Tableau_Lancer_la_requête_à_partir_de_Excel_Files1025[''Autre Public''])</f>
        <v>0</v>
      </c>
      <c r="AP18" s="74"/>
      <c r="AR18" s="29"/>
    </row>
    <row r="19" spans="1:81" x14ac:dyDescent="0.25">
      <c r="CB19" s="4"/>
      <c r="CC19" s="3"/>
    </row>
    <row r="28" spans="1:81" hidden="1" x14ac:dyDescent="0.25">
      <c r="E28" s="3" t="s">
        <v>352</v>
      </c>
      <c r="F28" s="6" t="s">
        <v>351</v>
      </c>
    </row>
    <row r="29" spans="1:81" hidden="1" x14ac:dyDescent="0.25">
      <c r="D29" t="s">
        <v>112</v>
      </c>
      <c r="E29" s="3">
        <f>SUMIF(Tableau_Lancer_la_requête_à_partir_de_Excel_Files1025[Avis Prog],"1-Favorable",Tableau_Lancer_la_requête_à_partir_de_Excel_Files1025[''FEDER''])</f>
        <v>0</v>
      </c>
      <c r="F29" s="3" t="e">
        <f>SUMIF(#REF!,"1-Favorable",Tableau_Lancer_la_requête_à_partir_de_Excel_Files1025[''FEDER''])</f>
        <v>#REF!</v>
      </c>
    </row>
    <row r="30" spans="1:81" hidden="1" x14ac:dyDescent="0.25">
      <c r="D30" t="s">
        <v>56</v>
      </c>
      <c r="E30" s="3">
        <f>SUMIF(Tableau_Lancer_la_requête_à_partir_de_Excel_Files1025[Avis Prog],"1-Favorable",Tableau_Lancer_la_requête_à_partir_de_Excel_Files1025[Total Etat])</f>
        <v>834818.19</v>
      </c>
      <c r="F30" s="3" t="e">
        <f>SUMIF(#REF!,"1-Favorable",Tableau_Lancer_la_requête_à_partir_de_Excel_Files1025[Total Etat])</f>
        <v>#REF!</v>
      </c>
    </row>
    <row r="31" spans="1:81" hidden="1" x14ac:dyDescent="0.25">
      <c r="D31" t="s">
        <v>57</v>
      </c>
      <c r="E31" s="3">
        <f>SUMIF(Tableau_Lancer_la_requête_à_partir_de_Excel_Files1025[Avis Prog],"1-Favorable",Tableau_Lancer_la_requête_à_partir_de_Excel_Files1025[Total Régions])</f>
        <v>69537</v>
      </c>
      <c r="F31" s="3" t="e">
        <f>SUMIF(#REF!,"1-Favorable",Tableau_Lancer_la_requête_à_partir_de_Excel_Files1025[Total Régions])</f>
        <v>#REF!</v>
      </c>
    </row>
    <row r="32" spans="1:81" hidden="1" x14ac:dyDescent="0.25">
      <c r="D32" s="3" t="s">
        <v>113</v>
      </c>
      <c r="E32" s="3">
        <f>SUMIF(Tableau_Lancer_la_requête_à_partir_de_Excel_Files1025[Avis Prog],"1-Favorable",Tableau_Lancer_la_requête_à_partir_de_Excel_Files1025[''ALPC''])</f>
        <v>0</v>
      </c>
      <c r="F32" s="3" t="e">
        <f>SUMIF(#REF!,"1-Favorable",Tableau_Lancer_la_requête_à_partir_de_Excel_Files1025[''ALPC''])</f>
        <v>#REF!</v>
      </c>
    </row>
    <row r="33" spans="4:6" hidden="1" x14ac:dyDescent="0.25">
      <c r="D33" s="3" t="s">
        <v>114</v>
      </c>
      <c r="E33" s="3">
        <f>SUMIF(Tableau_Lancer_la_requête_à_partir_de_Excel_Files1025[Avis Prog],"1-Favorable",Tableau_Lancer_la_requête_à_partir_de_Excel_Files1025[''AURA''])</f>
        <v>0</v>
      </c>
      <c r="F33" s="3" t="e">
        <f>SUMIF(#REF!,"1-Favorable",Tableau_Lancer_la_requête_à_partir_de_Excel_Files1025[''AURA''])</f>
        <v>#REF!</v>
      </c>
    </row>
    <row r="34" spans="4:6" hidden="1" x14ac:dyDescent="0.25">
      <c r="D34" s="3" t="s">
        <v>115</v>
      </c>
      <c r="E34" s="3">
        <f>SUMIF(Tableau_Lancer_la_requête_à_partir_de_Excel_Files1025[Avis Prog],"1-Favorable",Tableau_Lancer_la_requête_à_partir_de_Excel_Files1025[''BFC''])</f>
        <v>0</v>
      </c>
      <c r="F34" s="3" t="e">
        <f>SUMIF(#REF!,"1-Favorable",Tableau_Lancer_la_requête_à_partir_de_Excel_Files1025[''BFC''])</f>
        <v>#REF!</v>
      </c>
    </row>
    <row r="35" spans="4:6" hidden="1" x14ac:dyDescent="0.25">
      <c r="D35" s="3" t="s">
        <v>116</v>
      </c>
      <c r="E35" s="3">
        <f>SUMIF(Tableau_Lancer_la_requête_à_partir_de_Excel_Files1025[Avis Prog],"1-Favorable",Tableau_Lancer_la_requête_à_partir_de_Excel_Files1025[''LRMP''])</f>
        <v>69537</v>
      </c>
      <c r="F35" s="3" t="e">
        <f>SUMIF(#REF!,"1-Favorable",Tableau_Lancer_la_requête_à_partir_de_Excel_Files1025[''LRMP''])</f>
        <v>#REF!</v>
      </c>
    </row>
    <row r="36" spans="4:6" hidden="1" x14ac:dyDescent="0.25">
      <c r="D36" t="s">
        <v>58</v>
      </c>
      <c r="E36" s="3">
        <f>SUMIF(Tableau_Lancer_la_requête_à_partir_de_Excel_Files1025[Avis Prog],"1-Favorable",Tableau_Lancer_la_requête_à_partir_de_Excel_Files1025[Total Dpts])</f>
        <v>0</v>
      </c>
      <c r="F36" s="3" t="e">
        <f>SUMIF(#REF!,"1-Favorable",Tableau_Lancer_la_requête_à_partir_de_Excel_Files1025[Total Dpts])</f>
        <v>#REF!</v>
      </c>
    </row>
    <row r="37" spans="4:6" hidden="1" x14ac:dyDescent="0.25">
      <c r="D37" t="s">
        <v>32</v>
      </c>
      <c r="E37" s="3">
        <f>SUMIF(Tableau_Lancer_la_requête_à_partir_de_Excel_Files1025[Avis Prog],"1-Favorable",Tableau_Lancer_la_requête_à_partir_de_Excel_Files1025[''03''])</f>
        <v>0</v>
      </c>
      <c r="F37" s="3" t="e">
        <f>SUMIF(#REF!,"1-Favorable",Tableau_Lancer_la_requête_à_partir_de_Excel_Files1025[''03''])</f>
        <v>#REF!</v>
      </c>
    </row>
    <row r="38" spans="4:6" hidden="1" x14ac:dyDescent="0.25">
      <c r="D38" t="s">
        <v>33</v>
      </c>
      <c r="E38" s="3">
        <f>SUMIF(Tableau_Lancer_la_requête_à_partir_de_Excel_Files1025[Avis Prog],"1-Favorable",Tableau_Lancer_la_requête_à_partir_de_Excel_Files1025[''07''])</f>
        <v>0</v>
      </c>
      <c r="F38" s="3" t="e">
        <f>SUMIF(#REF!,"1-Favorable",Tableau_Lancer_la_requête_à_partir_de_Excel_Files1025[''07''])</f>
        <v>#REF!</v>
      </c>
    </row>
    <row r="39" spans="4:6" hidden="1" x14ac:dyDescent="0.25">
      <c r="D39" t="s">
        <v>34</v>
      </c>
      <c r="E39" s="3">
        <f>SUMIF(Tableau_Lancer_la_requête_à_partir_de_Excel_Files1025[Avis Prog],"1-Favorable",Tableau_Lancer_la_requête_à_partir_de_Excel_Files1025[''11''])</f>
        <v>0</v>
      </c>
      <c r="F39" s="3" t="e">
        <f>SUMIF(#REF!,"1-Favorable",Tableau_Lancer_la_requête_à_partir_de_Excel_Files1025[''11''])</f>
        <v>#REF!</v>
      </c>
    </row>
    <row r="40" spans="4:6" hidden="1" x14ac:dyDescent="0.25">
      <c r="D40" t="s">
        <v>35</v>
      </c>
      <c r="E40" s="3">
        <f>SUMIF(Tableau_Lancer_la_requête_à_partir_de_Excel_Files1025[Avis Prog],"1-Favorable",Tableau_Lancer_la_requête_à_partir_de_Excel_Files1025[''12''])</f>
        <v>0</v>
      </c>
      <c r="F40" s="3" t="e">
        <f>SUMIF(#REF!,"1-Favorable",Tableau_Lancer_la_requête_à_partir_de_Excel_Files1025[''12''])</f>
        <v>#REF!</v>
      </c>
    </row>
    <row r="41" spans="4:6" hidden="1" x14ac:dyDescent="0.25">
      <c r="D41" t="s">
        <v>36</v>
      </c>
      <c r="E41" s="3">
        <f>SUMIF(Tableau_Lancer_la_requête_à_partir_de_Excel_Files1025[Avis Prog],"1-Favorable",Tableau_Lancer_la_requête_à_partir_de_Excel_Files1025[''15''])</f>
        <v>0</v>
      </c>
      <c r="F41" s="3" t="e">
        <f>SUMIF(#REF!,"1-Favorable",Tableau_Lancer_la_requête_à_partir_de_Excel_Files1025[''15''])</f>
        <v>#REF!</v>
      </c>
    </row>
    <row r="42" spans="4:6" hidden="1" x14ac:dyDescent="0.25">
      <c r="D42" t="s">
        <v>37</v>
      </c>
      <c r="E42" s="3">
        <f>SUMIF(Tableau_Lancer_la_requête_à_partir_de_Excel_Files1025[Avis Prog],"1-Favorable",Tableau_Lancer_la_requête_à_partir_de_Excel_Files1025[''19''])</f>
        <v>0</v>
      </c>
      <c r="F42" s="3" t="e">
        <f>SUMIF(#REF!,"1-Favorable",Tableau_Lancer_la_requête_à_partir_de_Excel_Files1025[''19''])</f>
        <v>#REF!</v>
      </c>
    </row>
    <row r="43" spans="4:6" hidden="1" x14ac:dyDescent="0.25">
      <c r="D43" t="s">
        <v>38</v>
      </c>
      <c r="E43" s="3">
        <f>SUMIF(Tableau_Lancer_la_requête_à_partir_de_Excel_Files1025[Avis Prog],"1-Favorable",Tableau_Lancer_la_requête_à_partir_de_Excel_Files1025[''21''])</f>
        <v>0</v>
      </c>
      <c r="F43" s="3" t="e">
        <f>SUMIF(#REF!,"1-Favorable",Tableau_Lancer_la_requête_à_partir_de_Excel_Files1025[''21''])</f>
        <v>#REF!</v>
      </c>
    </row>
    <row r="44" spans="4:6" hidden="1" x14ac:dyDescent="0.25">
      <c r="D44" t="s">
        <v>39</v>
      </c>
      <c r="E44" s="3">
        <f>SUMIF(Tableau_Lancer_la_requête_à_partir_de_Excel_Files1025[Avis Prog],"1-Favorable",Tableau_Lancer_la_requête_à_partir_de_Excel_Files1025[''23''])</f>
        <v>0</v>
      </c>
      <c r="F44" s="3" t="e">
        <f>SUMIF(#REF!,"1-Favorable",Tableau_Lancer_la_requête_à_partir_de_Excel_Files1025[''23''])</f>
        <v>#REF!</v>
      </c>
    </row>
    <row r="45" spans="4:6" hidden="1" x14ac:dyDescent="0.25">
      <c r="D45" t="s">
        <v>40</v>
      </c>
      <c r="E45" s="3">
        <f>SUMIF(Tableau_Lancer_la_requête_à_partir_de_Excel_Files1025[Avis Prog],"1-Favorable",Tableau_Lancer_la_requête_à_partir_de_Excel_Files1025[''30''])</f>
        <v>0</v>
      </c>
      <c r="F45" s="3" t="e">
        <f>SUMIF(#REF!,"1-Favorable",Tableau_Lancer_la_requête_à_partir_de_Excel_Files1025[''30''])</f>
        <v>#REF!</v>
      </c>
    </row>
    <row r="46" spans="4:6" hidden="1" x14ac:dyDescent="0.25">
      <c r="D46" t="s">
        <v>41</v>
      </c>
      <c r="E46" s="3">
        <f>SUMIF(Tableau_Lancer_la_requête_à_partir_de_Excel_Files1025[Avis Prog],"1-Favorable",Tableau_Lancer_la_requête_à_partir_de_Excel_Files1025[''34''])</f>
        <v>0</v>
      </c>
      <c r="F46" s="3" t="e">
        <f>SUMIF(#REF!,"1-Favorable",Tableau_Lancer_la_requête_à_partir_de_Excel_Files1025[''34''])</f>
        <v>#REF!</v>
      </c>
    </row>
    <row r="47" spans="4:6" hidden="1" x14ac:dyDescent="0.25">
      <c r="D47" t="s">
        <v>42</v>
      </c>
      <c r="E47" s="3">
        <f>SUMIF(Tableau_Lancer_la_requête_à_partir_de_Excel_Files1025[Avis Prog],"1-Favorable",Tableau_Lancer_la_requête_à_partir_de_Excel_Files1025[''42''])</f>
        <v>0</v>
      </c>
      <c r="F47" s="3" t="e">
        <f>SUMIF(#REF!,"1-Favorable",Tableau_Lancer_la_requête_à_partir_de_Excel_Files1025[''42''])</f>
        <v>#REF!</v>
      </c>
    </row>
    <row r="48" spans="4:6" hidden="1" x14ac:dyDescent="0.25">
      <c r="D48" t="s">
        <v>43</v>
      </c>
      <c r="E48" s="3">
        <f>SUMIF(Tableau_Lancer_la_requête_à_partir_de_Excel_Files1025[Avis Prog],"1-Favorable",Tableau_Lancer_la_requête_à_partir_de_Excel_Files1025[''43''])</f>
        <v>0</v>
      </c>
      <c r="F48" s="3" t="e">
        <f>SUMIF(#REF!,"1-Favorable",Tableau_Lancer_la_requête_à_partir_de_Excel_Files1025[''43''])</f>
        <v>#REF!</v>
      </c>
    </row>
    <row r="49" spans="4:6" hidden="1" x14ac:dyDescent="0.25">
      <c r="D49" t="s">
        <v>44</v>
      </c>
      <c r="E49" s="3">
        <f>SUMIF(Tableau_Lancer_la_requête_à_partir_de_Excel_Files1025[Avis Prog],"1-Favorable",Tableau_Lancer_la_requête_à_partir_de_Excel_Files1025[''46''])</f>
        <v>0</v>
      </c>
      <c r="F49" s="3" t="e">
        <f>SUMIF(#REF!,"1-Favorable",Tableau_Lancer_la_requête_à_partir_de_Excel_Files1025[''46''])</f>
        <v>#REF!</v>
      </c>
    </row>
    <row r="50" spans="4:6" hidden="1" x14ac:dyDescent="0.25">
      <c r="D50" t="s">
        <v>45</v>
      </c>
      <c r="E50" s="3">
        <f>SUMIF(Tableau_Lancer_la_requête_à_partir_de_Excel_Files1025[Avis Prog],"1-Favorable",Tableau_Lancer_la_requête_à_partir_de_Excel_Files1025[''48''])</f>
        <v>0</v>
      </c>
      <c r="F50" s="3" t="e">
        <f>SUMIF(#REF!,"1-Favorable",Tableau_Lancer_la_requête_à_partir_de_Excel_Files1025[''48''])</f>
        <v>#REF!</v>
      </c>
    </row>
    <row r="51" spans="4:6" hidden="1" x14ac:dyDescent="0.25">
      <c r="D51" t="s">
        <v>46</v>
      </c>
      <c r="E51" s="3">
        <f>SUMIF(Tableau_Lancer_la_requête_à_partir_de_Excel_Files1025[Avis Prog],"1-Favorable",Tableau_Lancer_la_requête_à_partir_de_Excel_Files1025[''58''])</f>
        <v>0</v>
      </c>
      <c r="F51" s="3" t="e">
        <f>SUMIF(#REF!,"1-Favorable",Tableau_Lancer_la_requête_à_partir_de_Excel_Files1025[''58''])</f>
        <v>#REF!</v>
      </c>
    </row>
    <row r="52" spans="4:6" hidden="1" x14ac:dyDescent="0.25">
      <c r="D52" t="s">
        <v>47</v>
      </c>
      <c r="E52" s="3">
        <f>SUMIF(Tableau_Lancer_la_requête_à_partir_de_Excel_Files1025[Avis Prog],"1-Favorable",Tableau_Lancer_la_requête_à_partir_de_Excel_Files1025[''63''])</f>
        <v>0</v>
      </c>
      <c r="F52" s="3" t="e">
        <f>SUMIF(#REF!,"1-Favorable",Tableau_Lancer_la_requête_à_partir_de_Excel_Files1025[''63''])</f>
        <v>#REF!</v>
      </c>
    </row>
    <row r="53" spans="4:6" hidden="1" x14ac:dyDescent="0.25">
      <c r="D53" t="s">
        <v>48</v>
      </c>
      <c r="E53" s="3">
        <f>SUMIF(Tableau_Lancer_la_requête_à_partir_de_Excel_Files1025[Avis Prog],"1-Favorable",Tableau_Lancer_la_requête_à_partir_de_Excel_Files1025[''69''])</f>
        <v>0</v>
      </c>
      <c r="F53" s="3" t="e">
        <f>SUMIF(#REF!,"1-Favorable",Tableau_Lancer_la_requête_à_partir_de_Excel_Files1025[''69''])</f>
        <v>#REF!</v>
      </c>
    </row>
    <row r="54" spans="4:6" hidden="1" x14ac:dyDescent="0.25">
      <c r="D54" t="s">
        <v>49</v>
      </c>
      <c r="E54" s="3">
        <f>SUMIF(Tableau_Lancer_la_requête_à_partir_de_Excel_Files1025[Avis Prog],"1-Favorable",Tableau_Lancer_la_requête_à_partir_de_Excel_Files1025[''71''])</f>
        <v>0</v>
      </c>
      <c r="F54" s="3" t="e">
        <f>SUMIF(#REF!,"1-Favorable",Tableau_Lancer_la_requête_à_partir_de_Excel_Files1025[''71''])</f>
        <v>#REF!</v>
      </c>
    </row>
    <row r="55" spans="4:6" hidden="1" x14ac:dyDescent="0.25">
      <c r="D55" t="s">
        <v>50</v>
      </c>
      <c r="E55" s="3">
        <f>SUMIF(Tableau_Lancer_la_requête_à_partir_de_Excel_Files1025[Avis Prog],"1-Favorable",Tableau_Lancer_la_requête_à_partir_de_Excel_Files1025[''81''])</f>
        <v>0</v>
      </c>
      <c r="F55" s="3" t="e">
        <f>SUMIF(#REF!,"1-Favorable",Tableau_Lancer_la_requête_à_partir_de_Excel_Files1025[''81''])</f>
        <v>#REF!</v>
      </c>
    </row>
    <row r="56" spans="4:6" hidden="1" x14ac:dyDescent="0.25">
      <c r="D56" t="s">
        <v>51</v>
      </c>
      <c r="E56" s="3">
        <f>SUMIF(Tableau_Lancer_la_requête_à_partir_de_Excel_Files1025[Avis Prog],"1-Favorable",Tableau_Lancer_la_requête_à_partir_de_Excel_Files1025[''82''])</f>
        <v>0</v>
      </c>
      <c r="F56" s="3" t="e">
        <f>SUMIF(#REF!,"1-Favorable",Tableau_Lancer_la_requête_à_partir_de_Excel_Files1025[''82''])</f>
        <v>#REF!</v>
      </c>
    </row>
    <row r="57" spans="4:6" hidden="1" x14ac:dyDescent="0.25">
      <c r="D57" t="s">
        <v>52</v>
      </c>
      <c r="E57" s="3">
        <f>SUMIF(Tableau_Lancer_la_requête_à_partir_de_Excel_Files1025[Avis Prog],"1-Favorable",Tableau_Lancer_la_requête_à_partir_de_Excel_Files1025[''87''])</f>
        <v>0</v>
      </c>
      <c r="F57" s="3" t="e">
        <f>SUMIF(#REF!,"1-Favorable",Tableau_Lancer_la_requête_à_partir_de_Excel_Files1025[''87''])</f>
        <v>#REF!</v>
      </c>
    </row>
    <row r="58" spans="4:6" hidden="1" x14ac:dyDescent="0.25">
      <c r="D58" t="s">
        <v>53</v>
      </c>
      <c r="E58" s="3">
        <f>SUMIF(Tableau_Lancer_la_requête_à_partir_de_Excel_Files1025[Avis Prog],"1-Favorable",Tableau_Lancer_la_requête_à_partir_de_Excel_Files1025[''89''])</f>
        <v>0</v>
      </c>
      <c r="F58" s="3" t="e">
        <f>SUMIF(#REF!,"1-Favorable",Tableau_Lancer_la_requête_à_partir_de_Excel_Files1025[''89''])</f>
        <v>#REF!</v>
      </c>
    </row>
  </sheetData>
  <conditionalFormatting sqref="K7:K17 AP7:AP17">
    <cfRule type="cellIs" dxfId="751" priority="17" operator="equal">
      <formula>"6-Retiré/Abandon"</formula>
    </cfRule>
    <cfRule type="cellIs" dxfId="750" priority="18" operator="equal">
      <formula>"5-Défavorable"</formula>
    </cfRule>
    <cfRule type="cellIs" dxfId="749" priority="19" operator="equal">
      <formula>"4-Ajournement"</formula>
    </cfRule>
    <cfRule type="cellIs" dxfId="748" priority="20" operator="equal">
      <formula>"1-Favorable"</formula>
    </cfRule>
  </conditionalFormatting>
  <conditionalFormatting sqref="AR7:AR13 AR16">
    <cfRule type="cellIs" dxfId="747" priority="5" operator="equal">
      <formula>"6-Retiré/Abandon"</formula>
    </cfRule>
    <cfRule type="cellIs" dxfId="746" priority="6" operator="equal">
      <formula>"5-Défavorable"</formula>
    </cfRule>
    <cfRule type="cellIs" dxfId="745" priority="7" operator="equal">
      <formula>"4-Ajournement"</formula>
    </cfRule>
    <cfRule type="cellIs" dxfId="744" priority="8" operator="equal">
      <formula>"1-Favorable"</formula>
    </cfRule>
  </conditionalFormatting>
  <conditionalFormatting sqref="AR17">
    <cfRule type="cellIs" dxfId="743" priority="1" operator="equal">
      <formula>"6-Retiré/Abandon"</formula>
    </cfRule>
    <cfRule type="cellIs" dxfId="742" priority="2" operator="equal">
      <formula>"5-Défavorable"</formula>
    </cfRule>
    <cfRule type="cellIs" dxfId="741" priority="3" operator="equal">
      <formula>"4-Ajournement"</formula>
    </cfRule>
    <cfRule type="cellIs" dxfId="740" priority="4" operator="equal">
      <formula>"1-Favorable"</formula>
    </cfRule>
  </conditionalFormatting>
  <dataValidations count="1">
    <dataValidation type="list" allowBlank="1" showInputMessage="1" showErrorMessage="1" sqref="AP7:AP17">
      <formula1>"1-Favorable,4-Ajournement,5-Défavorable,6-Retiré/Abandon"</formula1>
    </dataValidation>
  </dataValidations>
  <printOptions horizontalCentered="1" verticalCentered="1"/>
  <pageMargins left="0.25" right="0.25" top="0.75" bottom="0.75" header="0.3" footer="0.3"/>
  <pageSetup paperSize="8" scale="64" fitToHeight="0" orientation="landscape" r:id="rId1"/>
  <drawing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C58"/>
  <sheetViews>
    <sheetView view="pageBreakPreview" zoomScale="80" zoomScaleNormal="60" zoomScaleSheetLayoutView="80" workbookViewId="0">
      <selection activeCell="AP14" sqref="AP14"/>
    </sheetView>
  </sheetViews>
  <sheetFormatPr baseColWidth="10" defaultRowHeight="15" outlineLevelCol="1" x14ac:dyDescent="0.25"/>
  <cols>
    <col min="1" max="1" width="13.85546875" style="3" customWidth="1"/>
    <col min="2" max="2" width="35" style="4" customWidth="1"/>
    <col min="3" max="3" width="48" style="5" customWidth="1"/>
    <col min="4" max="4" width="15.5703125" style="3" customWidth="1"/>
    <col min="5" max="5" width="15.28515625" style="3" customWidth="1"/>
    <col min="6" max="6" width="12" style="6" customWidth="1"/>
    <col min="7" max="7" width="16" style="3" bestFit="1" customWidth="1"/>
    <col min="8" max="8" width="11.28515625" style="6" customWidth="1"/>
    <col min="9" max="9" width="17" style="3" customWidth="1"/>
    <col min="10" max="10" width="15" style="3" bestFit="1" customWidth="1"/>
    <col min="11" max="11" width="11.5703125" style="3" hidden="1" customWidth="1" outlineLevel="1"/>
    <col min="12" max="12" width="16.5703125" style="3" hidden="1" customWidth="1" outlineLevel="1"/>
    <col min="13" max="13" width="13.7109375" style="3" bestFit="1" customWidth="1" collapsed="1"/>
    <col min="14" max="14" width="11.140625" style="3" hidden="1" customWidth="1" outlineLevel="1"/>
    <col min="15" max="15" width="11.85546875" style="3" hidden="1" customWidth="1" outlineLevel="1"/>
    <col min="16" max="16" width="10" style="3" hidden="1" customWidth="1" outlineLevel="1"/>
    <col min="17" max="17" width="11.7109375" style="3" hidden="1" customWidth="1" outlineLevel="1"/>
    <col min="18" max="18" width="16.140625" style="3" bestFit="1" customWidth="1" collapsed="1"/>
    <col min="19" max="40" width="8.7109375" style="3" hidden="1" customWidth="1" outlineLevel="1"/>
    <col min="41" max="41" width="13.140625" style="3" customWidth="1" collapsed="1"/>
    <col min="42" max="42" width="15.42578125" style="3" bestFit="1" customWidth="1"/>
    <col min="43" max="43" width="15.42578125" style="3" hidden="1" customWidth="1"/>
    <col min="44" max="44" width="64" style="10" customWidth="1"/>
    <col min="45" max="45" width="15.42578125" style="3" bestFit="1" customWidth="1"/>
    <col min="46" max="46" width="17.28515625" style="3" bestFit="1" customWidth="1"/>
    <col min="47" max="47" width="9.42578125" style="3" customWidth="1"/>
    <col min="48" max="62" width="9.7109375" style="3" customWidth="1"/>
    <col min="63" max="63" width="15.140625" style="3" customWidth="1"/>
    <col min="64" max="64" width="14.5703125" style="3" customWidth="1"/>
    <col min="65" max="65" width="18.5703125" style="3" customWidth="1"/>
    <col min="66" max="66" width="12.5703125" style="3" customWidth="1"/>
    <col min="67" max="67" width="20.42578125" style="3" customWidth="1"/>
    <col min="68" max="68" width="12.7109375" style="3" customWidth="1"/>
    <col min="69" max="69" width="9.28515625" style="3" customWidth="1"/>
    <col min="70" max="70" width="14.28515625" style="3" customWidth="1"/>
    <col min="71" max="71" width="11.42578125" style="3" customWidth="1"/>
    <col min="72" max="72" width="9" style="3" customWidth="1"/>
    <col min="73" max="73" width="9.5703125" style="3" customWidth="1"/>
    <col min="74" max="74" width="11" style="3" customWidth="1"/>
    <col min="75" max="75" width="12.7109375" style="3" customWidth="1"/>
    <col min="76" max="78" width="9.7109375" style="3" customWidth="1"/>
    <col min="79" max="79" width="15.140625" style="3" customWidth="1"/>
    <col min="80" max="80" width="17.28515625" style="3" customWidth="1"/>
    <col min="81" max="81" width="49.28515625" style="4" customWidth="1"/>
    <col min="82" max="82" width="17.28515625" style="3" customWidth="1"/>
    <col min="83" max="16384" width="11.42578125" style="3"/>
  </cols>
  <sheetData>
    <row r="1" spans="1:81" ht="18.75" x14ac:dyDescent="0.3">
      <c r="B1" s="21" t="s">
        <v>250</v>
      </c>
      <c r="C1" s="22">
        <v>42523</v>
      </c>
    </row>
    <row r="5" spans="1:81" x14ac:dyDescent="0.25">
      <c r="A5" s="1" t="s">
        <v>184</v>
      </c>
      <c r="B5" s="2"/>
    </row>
    <row r="6" spans="1:81" s="7" customFormat="1" ht="30" x14ac:dyDescent="0.25">
      <c r="A6" s="7" t="s">
        <v>10</v>
      </c>
      <c r="B6" s="7" t="s">
        <v>1</v>
      </c>
      <c r="C6" s="7" t="s">
        <v>2</v>
      </c>
      <c r="D6" s="7" t="s">
        <v>72</v>
      </c>
      <c r="E6" s="7" t="s">
        <v>108</v>
      </c>
      <c r="F6" s="7" t="s">
        <v>73</v>
      </c>
      <c r="G6" s="7" t="s">
        <v>70</v>
      </c>
      <c r="H6" s="7" t="s">
        <v>109</v>
      </c>
      <c r="I6" s="7" t="s">
        <v>54</v>
      </c>
      <c r="J6" s="7" t="s">
        <v>129</v>
      </c>
      <c r="K6" s="7" t="s">
        <v>159</v>
      </c>
      <c r="L6" s="7" t="s">
        <v>27</v>
      </c>
      <c r="M6" s="7" t="s">
        <v>130</v>
      </c>
      <c r="N6" s="7" t="s">
        <v>30</v>
      </c>
      <c r="O6" s="7" t="s">
        <v>28</v>
      </c>
      <c r="P6" s="7" t="s">
        <v>29</v>
      </c>
      <c r="Q6" s="7" t="s">
        <v>31</v>
      </c>
      <c r="R6" s="7" t="s">
        <v>131</v>
      </c>
      <c r="S6" s="7" t="s">
        <v>32</v>
      </c>
      <c r="T6" s="7" t="s">
        <v>33</v>
      </c>
      <c r="U6" s="7" t="s">
        <v>34</v>
      </c>
      <c r="V6" s="7" t="s">
        <v>35</v>
      </c>
      <c r="W6" s="7" t="s">
        <v>36</v>
      </c>
      <c r="X6" s="7" t="s">
        <v>37</v>
      </c>
      <c r="Y6" s="7" t="s">
        <v>38</v>
      </c>
      <c r="Z6" s="7" t="s">
        <v>39</v>
      </c>
      <c r="AA6" s="7" t="s">
        <v>40</v>
      </c>
      <c r="AB6" s="7" t="s">
        <v>41</v>
      </c>
      <c r="AC6" s="7" t="s">
        <v>42</v>
      </c>
      <c r="AD6" s="7" t="s">
        <v>43</v>
      </c>
      <c r="AE6" s="7" t="s">
        <v>44</v>
      </c>
      <c r="AF6" s="7" t="s">
        <v>45</v>
      </c>
      <c r="AG6" s="7" t="s">
        <v>46</v>
      </c>
      <c r="AH6" s="7" t="s">
        <v>47</v>
      </c>
      <c r="AI6" s="7" t="s">
        <v>48</v>
      </c>
      <c r="AJ6" s="7" t="s">
        <v>49</v>
      </c>
      <c r="AK6" s="7" t="s">
        <v>50</v>
      </c>
      <c r="AL6" s="7" t="s">
        <v>51</v>
      </c>
      <c r="AM6" s="7" t="s">
        <v>52</v>
      </c>
      <c r="AN6" s="7" t="s">
        <v>53</v>
      </c>
      <c r="AO6" s="7" t="s">
        <v>55</v>
      </c>
      <c r="AP6" s="17" t="s">
        <v>110</v>
      </c>
      <c r="AR6" s="31" t="s">
        <v>128</v>
      </c>
    </row>
    <row r="7" spans="1:81" s="10" customFormat="1" ht="60" x14ac:dyDescent="0.25">
      <c r="A7" s="13" t="s">
        <v>160</v>
      </c>
      <c r="B7" s="79" t="s">
        <v>161</v>
      </c>
      <c r="C7" s="79" t="s">
        <v>162</v>
      </c>
      <c r="D7" s="80">
        <v>371878.69</v>
      </c>
      <c r="E7" s="80">
        <f>Tableau_Lancer_la_requête_à_partir_de_Excel_Files10256[[#This Row],[Aide Massif]]+Tableau_Lancer_la_requête_à_partir_de_Excel_Files10256[[#This Row],[''Autre Public'']]</f>
        <v>227454</v>
      </c>
      <c r="F7" s="81">
        <f>Tableau_Lancer_la_requête_à_partir_de_Excel_Files10256[[#This Row],[Aide 
publique]]/Tableau_Lancer_la_requête_à_partir_de_Excel_Files10256[[#This Row],[''Coût total éligible'']]</f>
        <v>0.61163493934003044</v>
      </c>
      <c r="G7" s="80">
        <f>Tableau_Lancer_la_requête_à_partir_de_Excel_Files10256[[#This Row],[''FEDER'']]+Tableau_Lancer_la_requête_à_partir_de_Excel_Files10256[[#This Row],[Total Etat]]+Tableau_Lancer_la_requête_à_partir_de_Excel_Files10256[[#This Row],[Total Régions]]+Tableau_Lancer_la_requête_à_partir_de_Excel_Files10256[[#This Row],[Total Dpts]]</f>
        <v>227454</v>
      </c>
      <c r="H7" s="81">
        <f>Tableau_Lancer_la_requête_à_partir_de_Excel_Files10256[[#This Row],[Aide Massif]]/Tableau_Lancer_la_requête_à_partir_de_Excel_Files10256[[#This Row],[''Coût total éligible'']]</f>
        <v>0.61163493934003044</v>
      </c>
      <c r="I7" s="80">
        <v>0</v>
      </c>
      <c r="J7" s="80">
        <f>Tableau_Lancer_la_requête_à_partir_de_Excel_Files10256[[#This Row],[''FNADT '']]+Tableau_Lancer_la_requête_à_partir_de_Excel_Files10256[[#This Row],[''Agriculture'']]</f>
        <v>150000</v>
      </c>
      <c r="K7" s="82">
        <v>150000</v>
      </c>
      <c r="L7" s="80"/>
      <c r="M7" s="80">
        <f>Tableau_Lancer_la_requête_à_partir_de_Excel_Files10256[[#This Row],[''ALPC'']]+Tableau_Lancer_la_requête_à_partir_de_Excel_Files10256[[#This Row],[''AURA'']]+Tableau_Lancer_la_requête_à_partir_de_Excel_Files10256[[#This Row],[''BFC'']]+Tableau_Lancer_la_requête_à_partir_de_Excel_Files10256[[#This Row],[''LRMP'']]</f>
        <v>50000</v>
      </c>
      <c r="N7" s="80"/>
      <c r="O7" s="80"/>
      <c r="P7" s="80"/>
      <c r="Q7" s="80">
        <v>50000</v>
      </c>
      <c r="R7" s="80">
        <f>Tableau_Lancer_la_requête_à_partir_de_Excel_Files10256[[#This Row],[''03'']]+Tableau_Lancer_la_requête_à_partir_de_Excel_Files10256[[#This Row],[''07'']]+Tableau_Lancer_la_requête_à_partir_de_Excel_Files10256[[#This Row],[''11'']]+Tableau_Lancer_la_requête_à_partir_de_Excel_Files10256[[#This Row],[''12'']]+Tableau_Lancer_la_requête_à_partir_de_Excel_Files10256[[#This Row],[''15'']]+Tableau_Lancer_la_requête_à_partir_de_Excel_Files10256[[#This Row],[''19'']]+Tableau_Lancer_la_requête_à_partir_de_Excel_Files10256[[#This Row],[''21'']]+Tableau_Lancer_la_requête_à_partir_de_Excel_Files10256[[#This Row],[''23'']]+Tableau_Lancer_la_requête_à_partir_de_Excel_Files10256[[#This Row],[''30'']]+Tableau_Lancer_la_requête_à_partir_de_Excel_Files10256[[#This Row],[''34'']]+Tableau_Lancer_la_requête_à_partir_de_Excel_Files10256[[#This Row],[''42'']]+Tableau_Lancer_la_requête_à_partir_de_Excel_Files10256[[#This Row],[''43'']]+Tableau_Lancer_la_requête_à_partir_de_Excel_Files10256[[#This Row],[''46'']]+Tableau_Lancer_la_requête_à_partir_de_Excel_Files10256[[#This Row],[''48'']]+Tableau_Lancer_la_requête_à_partir_de_Excel_Files10256[[#This Row],[''58'']]+Tableau_Lancer_la_requête_à_partir_de_Excel_Files10256[[#This Row],[''63'']]+Tableau_Lancer_la_requête_à_partir_de_Excel_Files10256[[#This Row],[''69'']]+Tableau_Lancer_la_requête_à_partir_de_Excel_Files10256[[#This Row],[''71'']]+Tableau_Lancer_la_requête_à_partir_de_Excel_Files10256[[#This Row],[''81'']]+Tableau_Lancer_la_requête_à_partir_de_Excel_Files10256[[#This Row],[''82'']]+Tableau_Lancer_la_requête_à_partir_de_Excel_Files10256[[#This Row],[''87'']]+Tableau_Lancer_la_requête_à_partir_de_Excel_Files10256[[#This Row],[''89'']]</f>
        <v>27454</v>
      </c>
      <c r="S7" s="80"/>
      <c r="T7" s="80"/>
      <c r="U7" s="80"/>
      <c r="V7" s="80"/>
      <c r="W7" s="80"/>
      <c r="X7" s="80">
        <v>4000</v>
      </c>
      <c r="Y7" s="80"/>
      <c r="Z7" s="80"/>
      <c r="AA7" s="80"/>
      <c r="AB7" s="80"/>
      <c r="AC7" s="80"/>
      <c r="AD7" s="80"/>
      <c r="AE7" s="80">
        <v>16500</v>
      </c>
      <c r="AF7" s="80"/>
      <c r="AG7" s="80"/>
      <c r="AH7" s="80"/>
      <c r="AI7" s="80"/>
      <c r="AJ7" s="80"/>
      <c r="AK7" s="80">
        <v>6000</v>
      </c>
      <c r="AL7" s="80">
        <v>954</v>
      </c>
      <c r="AM7" s="80"/>
      <c r="AN7" s="80"/>
      <c r="AO7" s="80">
        <v>0</v>
      </c>
      <c r="AP7" s="11" t="s">
        <v>77</v>
      </c>
      <c r="AR7" s="24" t="s">
        <v>414</v>
      </c>
    </row>
    <row r="8" spans="1:81" s="10" customFormat="1" ht="45" x14ac:dyDescent="0.25">
      <c r="A8" s="13" t="s">
        <v>247</v>
      </c>
      <c r="B8" s="12" t="s">
        <v>248</v>
      </c>
      <c r="C8" s="12" t="s">
        <v>249</v>
      </c>
      <c r="D8" s="15">
        <v>385199</v>
      </c>
      <c r="E8" s="15">
        <f>Tableau_Lancer_la_requête_à_partir_de_Excel_Files10256[[#This Row],[Aide Massif]]+Tableau_Lancer_la_requête_à_partir_de_Excel_Files10256[[#This Row],[''Autre Public'']]</f>
        <v>0</v>
      </c>
      <c r="F8" s="16">
        <f>Tableau_Lancer_la_requête_à_partir_de_Excel_Files10256[[#This Row],[Aide 
publique]]/Tableau_Lancer_la_requête_à_partir_de_Excel_Files10256[[#This Row],[''Coût total éligible'']]</f>
        <v>0</v>
      </c>
      <c r="G8" s="15">
        <f>Tableau_Lancer_la_requête_à_partir_de_Excel_Files10256[[#This Row],[''FEDER'']]+Tableau_Lancer_la_requête_à_partir_de_Excel_Files10256[[#This Row],[Total Etat]]+Tableau_Lancer_la_requête_à_partir_de_Excel_Files10256[[#This Row],[Total Régions]]+Tableau_Lancer_la_requête_à_partir_de_Excel_Files10256[[#This Row],[Total Dpts]]</f>
        <v>0</v>
      </c>
      <c r="H8" s="16">
        <f>Tableau_Lancer_la_requête_à_partir_de_Excel_Files10256[[#This Row],[Aide Massif]]/Tableau_Lancer_la_requête_à_partir_de_Excel_Files10256[[#This Row],[''Coût total éligible'']]</f>
        <v>0</v>
      </c>
      <c r="I8" s="15">
        <v>0</v>
      </c>
      <c r="J8" s="15">
        <f>Tableau_Lancer_la_requête_à_partir_de_Excel_Files10256[[#This Row],[''FNADT '']]+Tableau_Lancer_la_requête_à_partir_de_Excel_Files10256[[#This Row],[''Agriculture'']]</f>
        <v>0</v>
      </c>
      <c r="K8" s="11"/>
      <c r="L8" s="15"/>
      <c r="M8" s="15">
        <f>Tableau_Lancer_la_requête_à_partir_de_Excel_Files10256[[#This Row],[''ALPC'']]+Tableau_Lancer_la_requête_à_partir_de_Excel_Files10256[[#This Row],[''AURA'']]+Tableau_Lancer_la_requête_à_partir_de_Excel_Files10256[[#This Row],[''BFC'']]+Tableau_Lancer_la_requête_à_partir_de_Excel_Files10256[[#This Row],[''LRMP'']]</f>
        <v>0</v>
      </c>
      <c r="N8" s="15"/>
      <c r="O8" s="15"/>
      <c r="P8" s="15"/>
      <c r="Q8" s="15"/>
      <c r="R8" s="15">
        <f>Tableau_Lancer_la_requête_à_partir_de_Excel_Files10256[[#This Row],[''03'']]+Tableau_Lancer_la_requête_à_partir_de_Excel_Files10256[[#This Row],[''07'']]+Tableau_Lancer_la_requête_à_partir_de_Excel_Files10256[[#This Row],[''11'']]+Tableau_Lancer_la_requête_à_partir_de_Excel_Files10256[[#This Row],[''12'']]+Tableau_Lancer_la_requête_à_partir_de_Excel_Files10256[[#This Row],[''15'']]+Tableau_Lancer_la_requête_à_partir_de_Excel_Files10256[[#This Row],[''19'']]+Tableau_Lancer_la_requête_à_partir_de_Excel_Files10256[[#This Row],[''21'']]+Tableau_Lancer_la_requête_à_partir_de_Excel_Files10256[[#This Row],[''23'']]+Tableau_Lancer_la_requête_à_partir_de_Excel_Files10256[[#This Row],[''30'']]+Tableau_Lancer_la_requête_à_partir_de_Excel_Files10256[[#This Row],[''34'']]+Tableau_Lancer_la_requête_à_partir_de_Excel_Files10256[[#This Row],[''42'']]+Tableau_Lancer_la_requête_à_partir_de_Excel_Files10256[[#This Row],[''43'']]+Tableau_Lancer_la_requête_à_partir_de_Excel_Files10256[[#This Row],[''46'']]+Tableau_Lancer_la_requête_à_partir_de_Excel_Files10256[[#This Row],[''48'']]+Tableau_Lancer_la_requête_à_partir_de_Excel_Files10256[[#This Row],[''58'']]+Tableau_Lancer_la_requête_à_partir_de_Excel_Files10256[[#This Row],[''63'']]+Tableau_Lancer_la_requête_à_partir_de_Excel_Files10256[[#This Row],[''69'']]+Tableau_Lancer_la_requête_à_partir_de_Excel_Files10256[[#This Row],[''71'']]+Tableau_Lancer_la_requête_à_partir_de_Excel_Files10256[[#This Row],[''81'']]+Tableau_Lancer_la_requête_à_partir_de_Excel_Files10256[[#This Row],[''82'']]+Tableau_Lancer_la_requête_à_partir_de_Excel_Files10256[[#This Row],[''87'']]+Tableau_Lancer_la_requête_à_partir_de_Excel_Files10256[[#This Row],[''89'']]</f>
        <v>0</v>
      </c>
      <c r="S8" s="15"/>
      <c r="T8" s="15"/>
      <c r="U8" s="15"/>
      <c r="V8" s="15"/>
      <c r="W8" s="15"/>
      <c r="X8" s="15"/>
      <c r="Y8" s="15"/>
      <c r="Z8" s="15"/>
      <c r="AA8" s="15"/>
      <c r="AB8" s="15"/>
      <c r="AC8" s="15"/>
      <c r="AD8" s="15"/>
      <c r="AE8" s="15"/>
      <c r="AF8" s="15"/>
      <c r="AG8" s="15"/>
      <c r="AH8" s="15"/>
      <c r="AI8" s="15"/>
      <c r="AJ8" s="15"/>
      <c r="AK8" s="15"/>
      <c r="AL8" s="15"/>
      <c r="AM8" s="15"/>
      <c r="AN8" s="15"/>
      <c r="AO8" s="15">
        <v>0</v>
      </c>
      <c r="AP8" s="11" t="s">
        <v>111</v>
      </c>
      <c r="AR8" s="26" t="s">
        <v>256</v>
      </c>
    </row>
    <row r="9" spans="1:81" s="10" customFormat="1" ht="60" x14ac:dyDescent="0.25">
      <c r="A9" s="13" t="s">
        <v>174</v>
      </c>
      <c r="B9" s="12" t="s">
        <v>175</v>
      </c>
      <c r="C9" s="12" t="s">
        <v>176</v>
      </c>
      <c r="D9" s="65">
        <v>282220.76</v>
      </c>
      <c r="E9" s="65">
        <f>Tableau_Lancer_la_requête_à_partir_de_Excel_Files10256[[#This Row],[Aide Massif]]+Tableau_Lancer_la_requête_à_partir_de_Excel_Files10256[[#This Row],[''Autre Public'']]</f>
        <v>197576</v>
      </c>
      <c r="F9" s="66">
        <f>Tableau_Lancer_la_requête_à_partir_de_Excel_Files10256[[#This Row],[Aide 
publique]]/Tableau_Lancer_la_requête_à_partir_de_Excel_Files10256[[#This Row],[''Coût total éligible'']]</f>
        <v>0.70007606811065204</v>
      </c>
      <c r="G9" s="65">
        <f>Tableau_Lancer_la_requête_à_partir_de_Excel_Files10256[[#This Row],[''FEDER'']]+Tableau_Lancer_la_requête_à_partir_de_Excel_Files10256[[#This Row],[Total Etat]]+Tableau_Lancer_la_requête_à_partir_de_Excel_Files10256[[#This Row],[Total Régions]]+Tableau_Lancer_la_requête_à_partir_de_Excel_Files10256[[#This Row],[Total Dpts]]</f>
        <v>160000</v>
      </c>
      <c r="H9" s="66">
        <f>Tableau_Lancer_la_requête_à_partir_de_Excel_Files10256[[#This Row],[Aide Massif]]/Tableau_Lancer_la_requête_à_partir_de_Excel_Files10256[[#This Row],[''Coût total éligible'']]</f>
        <v>0.56693207119136091</v>
      </c>
      <c r="I9" s="65">
        <v>0</v>
      </c>
      <c r="J9" s="65">
        <f>Tableau_Lancer_la_requête_à_partir_de_Excel_Files10256[[#This Row],[''FNADT '']]+Tableau_Lancer_la_requête_à_partir_de_Excel_Files10256[[#This Row],[''Agriculture'']]</f>
        <v>155000</v>
      </c>
      <c r="K9" s="67">
        <v>155000</v>
      </c>
      <c r="L9" s="65"/>
      <c r="M9" s="65">
        <f>Tableau_Lancer_la_requête_à_partir_de_Excel_Files10256[[#This Row],[''ALPC'']]+Tableau_Lancer_la_requête_à_partir_de_Excel_Files10256[[#This Row],[''AURA'']]+Tableau_Lancer_la_requête_à_partir_de_Excel_Files10256[[#This Row],[''BFC'']]+Tableau_Lancer_la_requête_à_partir_de_Excel_Files10256[[#This Row],[''LRMP'']]</f>
        <v>5000</v>
      </c>
      <c r="N9" s="65">
        <v>5000</v>
      </c>
      <c r="O9" s="65"/>
      <c r="P9" s="65"/>
      <c r="Q9" s="65"/>
      <c r="R9" s="65">
        <f>Tableau_Lancer_la_requête_à_partir_de_Excel_Files10256[[#This Row],[''03'']]+Tableau_Lancer_la_requête_à_partir_de_Excel_Files10256[[#This Row],[''07'']]+Tableau_Lancer_la_requête_à_partir_de_Excel_Files10256[[#This Row],[''11'']]+Tableau_Lancer_la_requête_à_partir_de_Excel_Files10256[[#This Row],[''12'']]+Tableau_Lancer_la_requête_à_partir_de_Excel_Files10256[[#This Row],[''15'']]+Tableau_Lancer_la_requête_à_partir_de_Excel_Files10256[[#This Row],[''19'']]+Tableau_Lancer_la_requête_à_partir_de_Excel_Files10256[[#This Row],[''21'']]+Tableau_Lancer_la_requête_à_partir_de_Excel_Files10256[[#This Row],[''23'']]+Tableau_Lancer_la_requête_à_partir_de_Excel_Files10256[[#This Row],[''30'']]+Tableau_Lancer_la_requête_à_partir_de_Excel_Files10256[[#This Row],[''34'']]+Tableau_Lancer_la_requête_à_partir_de_Excel_Files10256[[#This Row],[''42'']]+Tableau_Lancer_la_requête_à_partir_de_Excel_Files10256[[#This Row],[''43'']]+Tableau_Lancer_la_requête_à_partir_de_Excel_Files10256[[#This Row],[''46'']]+Tableau_Lancer_la_requête_à_partir_de_Excel_Files10256[[#This Row],[''48'']]+Tableau_Lancer_la_requête_à_partir_de_Excel_Files10256[[#This Row],[''58'']]+Tableau_Lancer_la_requête_à_partir_de_Excel_Files10256[[#This Row],[''63'']]+Tableau_Lancer_la_requête_à_partir_de_Excel_Files10256[[#This Row],[''69'']]+Tableau_Lancer_la_requête_à_partir_de_Excel_Files10256[[#This Row],[''71'']]+Tableau_Lancer_la_requête_à_partir_de_Excel_Files10256[[#This Row],[''81'']]+Tableau_Lancer_la_requête_à_partir_de_Excel_Files10256[[#This Row],[''82'']]+Tableau_Lancer_la_requête_à_partir_de_Excel_Files10256[[#This Row],[''87'']]+Tableau_Lancer_la_requête_à_partir_de_Excel_Files10256[[#This Row],[''89'']]</f>
        <v>0</v>
      </c>
      <c r="S9" s="65"/>
      <c r="T9" s="65"/>
      <c r="U9" s="65"/>
      <c r="V9" s="65"/>
      <c r="W9" s="65"/>
      <c r="X9" s="65"/>
      <c r="Y9" s="65"/>
      <c r="Z9" s="65"/>
      <c r="AA9" s="65"/>
      <c r="AB9" s="65"/>
      <c r="AC9" s="65"/>
      <c r="AD9" s="65"/>
      <c r="AE9" s="65"/>
      <c r="AF9" s="65"/>
      <c r="AG9" s="65"/>
      <c r="AH9" s="65"/>
      <c r="AI9" s="65"/>
      <c r="AJ9" s="65"/>
      <c r="AK9" s="65"/>
      <c r="AL9" s="65"/>
      <c r="AM9" s="65"/>
      <c r="AN9" s="65"/>
      <c r="AO9" s="65">
        <v>37576</v>
      </c>
      <c r="AP9" s="11" t="s">
        <v>77</v>
      </c>
      <c r="AR9" s="24"/>
    </row>
    <row r="10" spans="1:81" s="10" customFormat="1" ht="30" x14ac:dyDescent="0.25">
      <c r="A10" s="13" t="s">
        <v>177</v>
      </c>
      <c r="B10" s="12" t="s">
        <v>178</v>
      </c>
      <c r="C10" s="12" t="s">
        <v>179</v>
      </c>
      <c r="D10" s="15">
        <v>52685.94</v>
      </c>
      <c r="E10" s="15">
        <f>Tableau_Lancer_la_requête_à_partir_de_Excel_Files10256[[#This Row],[Aide Massif]]+Tableau_Lancer_la_requête_à_partir_de_Excel_Files10256[[#This Row],[''Autre Public'']]</f>
        <v>39323.149999999994</v>
      </c>
      <c r="F10" s="16">
        <f>Tableau_Lancer_la_requête_à_partir_de_Excel_Files10256[[#This Row],[Aide 
publique]]/Tableau_Lancer_la_requête_à_partir_de_Excel_Files10256[[#This Row],[''Coût total éligible'']]</f>
        <v>0.74636895536076597</v>
      </c>
      <c r="G10" s="15">
        <f>Tableau_Lancer_la_requête_à_partir_de_Excel_Files10256[[#This Row],[''FEDER'']]+Tableau_Lancer_la_requête_à_partir_de_Excel_Files10256[[#This Row],[Total Etat]]+Tableau_Lancer_la_requête_à_partir_de_Excel_Files10256[[#This Row],[Total Régions]]+Tableau_Lancer_la_requête_à_partir_de_Excel_Files10256[[#This Row],[Total Dpts]]</f>
        <v>39323.149999999994</v>
      </c>
      <c r="H10" s="16">
        <f>Tableau_Lancer_la_requête_à_partir_de_Excel_Files10256[[#This Row],[Aide Massif]]/Tableau_Lancer_la_requête_à_partir_de_Excel_Files10256[[#This Row],[''Coût total éligible'']]</f>
        <v>0.74636895536076597</v>
      </c>
      <c r="I10" s="15">
        <v>22990.51</v>
      </c>
      <c r="J10" s="15">
        <f>Tableau_Lancer_la_requête_à_partir_de_Excel_Files10256[[#This Row],[''FNADT '']]+Tableau_Lancer_la_requête_à_partir_de_Excel_Files10256[[#This Row],[''Agriculture'']]</f>
        <v>0</v>
      </c>
      <c r="K10" s="11"/>
      <c r="L10" s="15"/>
      <c r="M10" s="15">
        <f>Tableau_Lancer_la_requête_à_partir_de_Excel_Files10256[[#This Row],[''ALPC'']]+Tableau_Lancer_la_requête_à_partir_de_Excel_Files10256[[#This Row],[''AURA'']]+Tableau_Lancer_la_requête_à_partir_de_Excel_Files10256[[#This Row],[''BFC'']]+Tableau_Lancer_la_requête_à_partir_de_Excel_Files10256[[#This Row],[''LRMP'']]</f>
        <v>16332.64</v>
      </c>
      <c r="N10" s="15"/>
      <c r="O10" s="15"/>
      <c r="P10" s="15"/>
      <c r="Q10" s="15">
        <v>16332.64</v>
      </c>
      <c r="R10" s="15">
        <f>Tableau_Lancer_la_requête_à_partir_de_Excel_Files10256[[#This Row],[''03'']]+Tableau_Lancer_la_requête_à_partir_de_Excel_Files10256[[#This Row],[''07'']]+Tableau_Lancer_la_requête_à_partir_de_Excel_Files10256[[#This Row],[''11'']]+Tableau_Lancer_la_requête_à_partir_de_Excel_Files10256[[#This Row],[''12'']]+Tableau_Lancer_la_requête_à_partir_de_Excel_Files10256[[#This Row],[''15'']]+Tableau_Lancer_la_requête_à_partir_de_Excel_Files10256[[#This Row],[''19'']]+Tableau_Lancer_la_requête_à_partir_de_Excel_Files10256[[#This Row],[''21'']]+Tableau_Lancer_la_requête_à_partir_de_Excel_Files10256[[#This Row],[''23'']]+Tableau_Lancer_la_requête_à_partir_de_Excel_Files10256[[#This Row],[''30'']]+Tableau_Lancer_la_requête_à_partir_de_Excel_Files10256[[#This Row],[''34'']]+Tableau_Lancer_la_requête_à_partir_de_Excel_Files10256[[#This Row],[''42'']]+Tableau_Lancer_la_requête_à_partir_de_Excel_Files10256[[#This Row],[''43'']]+Tableau_Lancer_la_requête_à_partir_de_Excel_Files10256[[#This Row],[''46'']]+Tableau_Lancer_la_requête_à_partir_de_Excel_Files10256[[#This Row],[''48'']]+Tableau_Lancer_la_requête_à_partir_de_Excel_Files10256[[#This Row],[''58'']]+Tableau_Lancer_la_requête_à_partir_de_Excel_Files10256[[#This Row],[''63'']]+Tableau_Lancer_la_requête_à_partir_de_Excel_Files10256[[#This Row],[''69'']]+Tableau_Lancer_la_requête_à_partir_de_Excel_Files10256[[#This Row],[''71'']]+Tableau_Lancer_la_requête_à_partir_de_Excel_Files10256[[#This Row],[''81'']]+Tableau_Lancer_la_requête_à_partir_de_Excel_Files10256[[#This Row],[''82'']]+Tableau_Lancer_la_requête_à_partir_de_Excel_Files10256[[#This Row],[''87'']]+Tableau_Lancer_la_requête_à_partir_de_Excel_Files10256[[#This Row],[''89'']]</f>
        <v>0</v>
      </c>
      <c r="S10" s="15"/>
      <c r="T10" s="15"/>
      <c r="U10" s="15"/>
      <c r="V10" s="15"/>
      <c r="W10" s="15"/>
      <c r="X10" s="15"/>
      <c r="Y10" s="15"/>
      <c r="Z10" s="15"/>
      <c r="AA10" s="15"/>
      <c r="AB10" s="15"/>
      <c r="AC10" s="15"/>
      <c r="AD10" s="15"/>
      <c r="AE10" s="15"/>
      <c r="AF10" s="15"/>
      <c r="AG10" s="15"/>
      <c r="AH10" s="15"/>
      <c r="AI10" s="15"/>
      <c r="AJ10" s="15"/>
      <c r="AK10" s="15"/>
      <c r="AL10" s="15"/>
      <c r="AM10" s="15"/>
      <c r="AN10" s="15"/>
      <c r="AO10" s="15">
        <v>0</v>
      </c>
      <c r="AP10" s="11" t="s">
        <v>77</v>
      </c>
      <c r="AR10" s="26"/>
    </row>
    <row r="11" spans="1:81" s="10" customFormat="1" ht="30" x14ac:dyDescent="0.25">
      <c r="A11" s="13" t="s">
        <v>177</v>
      </c>
      <c r="B11" s="12" t="s">
        <v>180</v>
      </c>
      <c r="C11" s="12" t="s">
        <v>181</v>
      </c>
      <c r="D11" s="15">
        <v>42272.197500000002</v>
      </c>
      <c r="E11" s="15">
        <f>Tableau_Lancer_la_requête_à_partir_de_Excel_Files10256[[#This Row],[Aide Massif]]+Tableau_Lancer_la_requête_à_partir_de_Excel_Files10256[[#This Row],[''Autre Public'']]</f>
        <v>30145.26</v>
      </c>
      <c r="F11" s="16">
        <f>Tableau_Lancer_la_requête_à_partir_de_Excel_Files10256[[#This Row],[Aide 
publique]]/Tableau_Lancer_la_requête_à_partir_de_Excel_Files10256[[#This Row],[''Coût total éligible'']]</f>
        <v>0.71312261445599079</v>
      </c>
      <c r="G11" s="15">
        <f>Tableau_Lancer_la_requête_à_partir_de_Excel_Files10256[[#This Row],[''FEDER'']]+Tableau_Lancer_la_requête_à_partir_de_Excel_Files10256[[#This Row],[Total Etat]]+Tableau_Lancer_la_requête_à_partir_de_Excel_Files10256[[#This Row],[Total Régions]]+Tableau_Lancer_la_requête_à_partir_de_Excel_Files10256[[#This Row],[Total Dpts]]</f>
        <v>30145.26</v>
      </c>
      <c r="H11" s="16">
        <f>Tableau_Lancer_la_requête_à_partir_de_Excel_Files10256[[#This Row],[Aide Massif]]/Tableau_Lancer_la_requête_à_partir_de_Excel_Files10256[[#This Row],[''Coût total éligible'']]</f>
        <v>0.71312261445599079</v>
      </c>
      <c r="I11" s="15">
        <v>17463.599999999999</v>
      </c>
      <c r="J11" s="15">
        <f>Tableau_Lancer_la_requête_à_partir_de_Excel_Files10256[[#This Row],[''FNADT '']]+Tableau_Lancer_la_requête_à_partir_de_Excel_Files10256[[#This Row],[''Agriculture'']]</f>
        <v>0</v>
      </c>
      <c r="K11" s="11"/>
      <c r="L11" s="15"/>
      <c r="M11" s="15">
        <f>Tableau_Lancer_la_requête_à_partir_de_Excel_Files10256[[#This Row],[''ALPC'']]+Tableau_Lancer_la_requête_à_partir_de_Excel_Files10256[[#This Row],[''AURA'']]+Tableau_Lancer_la_requête_à_partir_de_Excel_Files10256[[#This Row],[''BFC'']]+Tableau_Lancer_la_requête_à_partir_de_Excel_Files10256[[#This Row],[''LRMP'']]</f>
        <v>12681.66</v>
      </c>
      <c r="N11" s="15"/>
      <c r="O11" s="15"/>
      <c r="P11" s="15"/>
      <c r="Q11" s="15">
        <v>12681.66</v>
      </c>
      <c r="R11" s="15">
        <f>Tableau_Lancer_la_requête_à_partir_de_Excel_Files10256[[#This Row],[''03'']]+Tableau_Lancer_la_requête_à_partir_de_Excel_Files10256[[#This Row],[''07'']]+Tableau_Lancer_la_requête_à_partir_de_Excel_Files10256[[#This Row],[''11'']]+Tableau_Lancer_la_requête_à_partir_de_Excel_Files10256[[#This Row],[''12'']]+Tableau_Lancer_la_requête_à_partir_de_Excel_Files10256[[#This Row],[''15'']]+Tableau_Lancer_la_requête_à_partir_de_Excel_Files10256[[#This Row],[''19'']]+Tableau_Lancer_la_requête_à_partir_de_Excel_Files10256[[#This Row],[''21'']]+Tableau_Lancer_la_requête_à_partir_de_Excel_Files10256[[#This Row],[''23'']]+Tableau_Lancer_la_requête_à_partir_de_Excel_Files10256[[#This Row],[''30'']]+Tableau_Lancer_la_requête_à_partir_de_Excel_Files10256[[#This Row],[''34'']]+Tableau_Lancer_la_requête_à_partir_de_Excel_Files10256[[#This Row],[''42'']]+Tableau_Lancer_la_requête_à_partir_de_Excel_Files10256[[#This Row],[''43'']]+Tableau_Lancer_la_requête_à_partir_de_Excel_Files10256[[#This Row],[''46'']]+Tableau_Lancer_la_requête_à_partir_de_Excel_Files10256[[#This Row],[''48'']]+Tableau_Lancer_la_requête_à_partir_de_Excel_Files10256[[#This Row],[''58'']]+Tableau_Lancer_la_requête_à_partir_de_Excel_Files10256[[#This Row],[''63'']]+Tableau_Lancer_la_requête_à_partir_de_Excel_Files10256[[#This Row],[''69'']]+Tableau_Lancer_la_requête_à_partir_de_Excel_Files10256[[#This Row],[''71'']]+Tableau_Lancer_la_requête_à_partir_de_Excel_Files10256[[#This Row],[''81'']]+Tableau_Lancer_la_requête_à_partir_de_Excel_Files10256[[#This Row],[''82'']]+Tableau_Lancer_la_requête_à_partir_de_Excel_Files10256[[#This Row],[''87'']]+Tableau_Lancer_la_requête_à_partir_de_Excel_Files10256[[#This Row],[''89'']]</f>
        <v>0</v>
      </c>
      <c r="S11" s="15"/>
      <c r="T11" s="15"/>
      <c r="U11" s="15"/>
      <c r="V11" s="15"/>
      <c r="W11" s="15"/>
      <c r="X11" s="15"/>
      <c r="Y11" s="15"/>
      <c r="Z11" s="15"/>
      <c r="AA11" s="15"/>
      <c r="AB11" s="15"/>
      <c r="AC11" s="15"/>
      <c r="AD11" s="15"/>
      <c r="AE11" s="15"/>
      <c r="AF11" s="15"/>
      <c r="AG11" s="15"/>
      <c r="AH11" s="15"/>
      <c r="AI11" s="15"/>
      <c r="AJ11" s="15"/>
      <c r="AK11" s="15"/>
      <c r="AL11" s="15"/>
      <c r="AM11" s="15"/>
      <c r="AN11" s="15"/>
      <c r="AO11" s="15">
        <v>0</v>
      </c>
      <c r="AP11" s="11" t="s">
        <v>77</v>
      </c>
      <c r="AR11" s="24"/>
    </row>
    <row r="12" spans="1:81" ht="30" x14ac:dyDescent="0.25">
      <c r="A12" s="13" t="s">
        <v>177</v>
      </c>
      <c r="B12" s="12" t="s">
        <v>182</v>
      </c>
      <c r="C12" s="12" t="s">
        <v>181</v>
      </c>
      <c r="D12" s="15">
        <v>297711.87</v>
      </c>
      <c r="E12" s="15">
        <f>Tableau_Lancer_la_requête_à_partir_de_Excel_Files10256[[#This Row],[Aide Massif]]+Tableau_Lancer_la_requête_à_partir_de_Excel_Files10256[[#This Row],[''Autre Public'']]</f>
        <v>157452.25</v>
      </c>
      <c r="F12" s="16">
        <f>Tableau_Lancer_la_requête_à_partir_de_Excel_Files10256[[#This Row],[Aide 
publique]]/Tableau_Lancer_la_requête_à_partir_de_Excel_Files10256[[#This Row],[''Coût total éligible'']]</f>
        <v>0.52887461289333204</v>
      </c>
      <c r="G12" s="15">
        <f>Tableau_Lancer_la_requête_à_partir_de_Excel_Files10256[[#This Row],[''FEDER'']]+Tableau_Lancer_la_requête_à_partir_de_Excel_Files10256[[#This Row],[Total Etat]]+Tableau_Lancer_la_requête_à_partir_de_Excel_Files10256[[#This Row],[Total Régions]]+Tableau_Lancer_la_requête_à_partir_de_Excel_Files10256[[#This Row],[Total Dpts]]</f>
        <v>157452.25</v>
      </c>
      <c r="H12" s="16">
        <f>Tableau_Lancer_la_requête_à_partir_de_Excel_Files10256[[#This Row],[Aide Massif]]/Tableau_Lancer_la_requête_à_partir_de_Excel_Files10256[[#This Row],[''Coût total éligible'']]</f>
        <v>0.52887461289333204</v>
      </c>
      <c r="I12" s="15">
        <v>79818.350000000006</v>
      </c>
      <c r="J12" s="15">
        <f>Tableau_Lancer_la_requête_à_partir_de_Excel_Files10256[[#This Row],[''FNADT '']]+Tableau_Lancer_la_requête_à_partir_de_Excel_Files10256[[#This Row],[''Agriculture'']]</f>
        <v>47633.9</v>
      </c>
      <c r="K12" s="11">
        <v>47633.9</v>
      </c>
      <c r="L12" s="15"/>
      <c r="M12" s="15">
        <f>Tableau_Lancer_la_requête_à_partir_de_Excel_Files10256[[#This Row],[''ALPC'']]+Tableau_Lancer_la_requête_à_partir_de_Excel_Files10256[[#This Row],[''AURA'']]+Tableau_Lancer_la_requête_à_partir_de_Excel_Files10256[[#This Row],[''BFC'']]+Tableau_Lancer_la_requête_à_partir_de_Excel_Files10256[[#This Row],[''LRMP'']]</f>
        <v>30000</v>
      </c>
      <c r="N12" s="15">
        <v>30000</v>
      </c>
      <c r="O12" s="15"/>
      <c r="P12" s="15"/>
      <c r="Q12" s="15"/>
      <c r="R12" s="15">
        <f>Tableau_Lancer_la_requête_à_partir_de_Excel_Files10256[[#This Row],[''03'']]+Tableau_Lancer_la_requête_à_partir_de_Excel_Files10256[[#This Row],[''07'']]+Tableau_Lancer_la_requête_à_partir_de_Excel_Files10256[[#This Row],[''11'']]+Tableau_Lancer_la_requête_à_partir_de_Excel_Files10256[[#This Row],[''12'']]+Tableau_Lancer_la_requête_à_partir_de_Excel_Files10256[[#This Row],[''15'']]+Tableau_Lancer_la_requête_à_partir_de_Excel_Files10256[[#This Row],[''19'']]+Tableau_Lancer_la_requête_à_partir_de_Excel_Files10256[[#This Row],[''21'']]+Tableau_Lancer_la_requête_à_partir_de_Excel_Files10256[[#This Row],[''23'']]+Tableau_Lancer_la_requête_à_partir_de_Excel_Files10256[[#This Row],[''30'']]+Tableau_Lancer_la_requête_à_partir_de_Excel_Files10256[[#This Row],[''34'']]+Tableau_Lancer_la_requête_à_partir_de_Excel_Files10256[[#This Row],[''42'']]+Tableau_Lancer_la_requête_à_partir_de_Excel_Files10256[[#This Row],[''43'']]+Tableau_Lancer_la_requête_à_partir_de_Excel_Files10256[[#This Row],[''46'']]+Tableau_Lancer_la_requête_à_partir_de_Excel_Files10256[[#This Row],[''48'']]+Tableau_Lancer_la_requête_à_partir_de_Excel_Files10256[[#This Row],[''58'']]+Tableau_Lancer_la_requête_à_partir_de_Excel_Files10256[[#This Row],[''63'']]+Tableau_Lancer_la_requête_à_partir_de_Excel_Files10256[[#This Row],[''69'']]+Tableau_Lancer_la_requête_à_partir_de_Excel_Files10256[[#This Row],[''71'']]+Tableau_Lancer_la_requête_à_partir_de_Excel_Files10256[[#This Row],[''81'']]+Tableau_Lancer_la_requête_à_partir_de_Excel_Files10256[[#This Row],[''82'']]+Tableau_Lancer_la_requête_à_partir_de_Excel_Files10256[[#This Row],[''87'']]+Tableau_Lancer_la_requête_à_partir_de_Excel_Files10256[[#This Row],[''89'']]</f>
        <v>0</v>
      </c>
      <c r="S12" s="15"/>
      <c r="T12" s="15"/>
      <c r="U12" s="15"/>
      <c r="V12" s="15"/>
      <c r="W12" s="15"/>
      <c r="X12" s="15"/>
      <c r="Y12" s="15"/>
      <c r="Z12" s="15"/>
      <c r="AA12" s="15"/>
      <c r="AB12" s="15"/>
      <c r="AC12" s="15"/>
      <c r="AD12" s="15"/>
      <c r="AE12" s="15"/>
      <c r="AF12" s="15"/>
      <c r="AG12" s="15"/>
      <c r="AH12" s="15"/>
      <c r="AI12" s="15"/>
      <c r="AJ12" s="15"/>
      <c r="AK12" s="15"/>
      <c r="AL12" s="15"/>
      <c r="AM12" s="15"/>
      <c r="AN12" s="15"/>
      <c r="AO12" s="15">
        <v>0</v>
      </c>
      <c r="AP12" s="11" t="s">
        <v>77</v>
      </c>
      <c r="AR12" s="26"/>
      <c r="BY12" s="4"/>
      <c r="CC12" s="3"/>
    </row>
    <row r="13" spans="1:81" ht="30" x14ac:dyDescent="0.25">
      <c r="A13" s="13" t="s">
        <v>177</v>
      </c>
      <c r="B13" s="12" t="s">
        <v>183</v>
      </c>
      <c r="C13" s="12" t="s">
        <v>181</v>
      </c>
      <c r="D13" s="15">
        <v>14581.71512857143</v>
      </c>
      <c r="E13" s="15">
        <f>Tableau_Lancer_la_requête_à_partir_de_Excel_Files10256[[#This Row],[Aide Massif]]+Tableau_Lancer_la_requête_à_partir_de_Excel_Files10256[[#This Row],[''Autre Public'']]</f>
        <v>11110.39</v>
      </c>
      <c r="F13" s="16">
        <f>Tableau_Lancer_la_requête_à_partir_de_Excel_Files10256[[#This Row],[Aide 
publique]]/Tableau_Lancer_la_requête_à_partir_de_Excel_Files10256[[#This Row],[''Coût total éligible'']]</f>
        <v>0.76193986112307788</v>
      </c>
      <c r="G13" s="15">
        <f>Tableau_Lancer_la_requête_à_partir_de_Excel_Files10256[[#This Row],[''FEDER'']]+Tableau_Lancer_la_requête_à_partir_de_Excel_Files10256[[#This Row],[Total Etat]]+Tableau_Lancer_la_requête_à_partir_de_Excel_Files10256[[#This Row],[Total Régions]]+Tableau_Lancer_la_requête_à_partir_de_Excel_Files10256[[#This Row],[Total Dpts]]</f>
        <v>11110.39</v>
      </c>
      <c r="H13" s="16">
        <f>Tableau_Lancer_la_requête_à_partir_de_Excel_Files10256[[#This Row],[Aide Massif]]/Tableau_Lancer_la_requête_à_partir_de_Excel_Files10256[[#This Row],[''Coût total éligible'']]</f>
        <v>0.76193986112307788</v>
      </c>
      <c r="I13" s="15">
        <v>1066.43</v>
      </c>
      <c r="J13" s="15">
        <f>Tableau_Lancer_la_requête_à_partir_de_Excel_Files10256[[#This Row],[''FNADT '']]+Tableau_Lancer_la_requête_à_partir_de_Excel_Files10256[[#This Row],[''Agriculture'']]</f>
        <v>0</v>
      </c>
      <c r="K13" s="11"/>
      <c r="L13" s="15"/>
      <c r="M13" s="15">
        <f>Tableau_Lancer_la_requête_à_partir_de_Excel_Files10256[[#This Row],[''ALPC'']]+Tableau_Lancer_la_requête_à_partir_de_Excel_Files10256[[#This Row],[''AURA'']]+Tableau_Lancer_la_requête_à_partir_de_Excel_Files10256[[#This Row],[''BFC'']]+Tableau_Lancer_la_requête_à_partir_de_Excel_Files10256[[#This Row],[''LRMP'']]</f>
        <v>10043.959999999999</v>
      </c>
      <c r="N13" s="15"/>
      <c r="O13" s="15">
        <v>10043.959999999999</v>
      </c>
      <c r="P13" s="15"/>
      <c r="Q13" s="15"/>
      <c r="R13" s="15">
        <f>Tableau_Lancer_la_requête_à_partir_de_Excel_Files10256[[#This Row],[''03'']]+Tableau_Lancer_la_requête_à_partir_de_Excel_Files10256[[#This Row],[''07'']]+Tableau_Lancer_la_requête_à_partir_de_Excel_Files10256[[#This Row],[''11'']]+Tableau_Lancer_la_requête_à_partir_de_Excel_Files10256[[#This Row],[''12'']]+Tableau_Lancer_la_requête_à_partir_de_Excel_Files10256[[#This Row],[''15'']]+Tableau_Lancer_la_requête_à_partir_de_Excel_Files10256[[#This Row],[''19'']]+Tableau_Lancer_la_requête_à_partir_de_Excel_Files10256[[#This Row],[''21'']]+Tableau_Lancer_la_requête_à_partir_de_Excel_Files10256[[#This Row],[''23'']]+Tableau_Lancer_la_requête_à_partir_de_Excel_Files10256[[#This Row],[''30'']]+Tableau_Lancer_la_requête_à_partir_de_Excel_Files10256[[#This Row],[''34'']]+Tableau_Lancer_la_requête_à_partir_de_Excel_Files10256[[#This Row],[''42'']]+Tableau_Lancer_la_requête_à_partir_de_Excel_Files10256[[#This Row],[''43'']]+Tableau_Lancer_la_requête_à_partir_de_Excel_Files10256[[#This Row],[''46'']]+Tableau_Lancer_la_requête_à_partir_de_Excel_Files10256[[#This Row],[''48'']]+Tableau_Lancer_la_requête_à_partir_de_Excel_Files10256[[#This Row],[''58'']]+Tableau_Lancer_la_requête_à_partir_de_Excel_Files10256[[#This Row],[''63'']]+Tableau_Lancer_la_requête_à_partir_de_Excel_Files10256[[#This Row],[''69'']]+Tableau_Lancer_la_requête_à_partir_de_Excel_Files10256[[#This Row],[''71'']]+Tableau_Lancer_la_requête_à_partir_de_Excel_Files10256[[#This Row],[''81'']]+Tableau_Lancer_la_requête_à_partir_de_Excel_Files10256[[#This Row],[''82'']]+Tableau_Lancer_la_requête_à_partir_de_Excel_Files10256[[#This Row],[''87'']]+Tableau_Lancer_la_requête_à_partir_de_Excel_Files10256[[#This Row],[''89'']]</f>
        <v>0</v>
      </c>
      <c r="S13" s="15"/>
      <c r="T13" s="15"/>
      <c r="U13" s="15"/>
      <c r="V13" s="15"/>
      <c r="W13" s="15"/>
      <c r="X13" s="15"/>
      <c r="Y13" s="15"/>
      <c r="Z13" s="15"/>
      <c r="AA13" s="15"/>
      <c r="AB13" s="15"/>
      <c r="AC13" s="15"/>
      <c r="AD13" s="15"/>
      <c r="AE13" s="15"/>
      <c r="AF13" s="15"/>
      <c r="AG13" s="15"/>
      <c r="AH13" s="15"/>
      <c r="AI13" s="15"/>
      <c r="AJ13" s="15"/>
      <c r="AK13" s="15"/>
      <c r="AL13" s="15"/>
      <c r="AM13" s="15"/>
      <c r="AN13" s="15"/>
      <c r="AO13" s="15">
        <v>0</v>
      </c>
      <c r="AP13" s="11" t="s">
        <v>77</v>
      </c>
      <c r="AR13" s="24"/>
      <c r="BY13" s="4"/>
      <c r="CC13" s="3"/>
    </row>
    <row r="14" spans="1:81" x14ac:dyDescent="0.25">
      <c r="A14" s="6" t="s">
        <v>163</v>
      </c>
      <c r="B14" s="5" t="s">
        <v>164</v>
      </c>
      <c r="C14" s="5" t="s">
        <v>165</v>
      </c>
      <c r="D14" s="8">
        <v>170000</v>
      </c>
      <c r="E14" s="8">
        <f>Tableau_Lancer_la_requête_à_partir_de_Excel_Files10256[[#This Row],[Aide Massif]]+Tableau_Lancer_la_requête_à_partir_de_Excel_Files10256[[#This Row],[''Autre Public'']]</f>
        <v>119000</v>
      </c>
      <c r="F14" s="9">
        <f>Tableau_Lancer_la_requête_à_partir_de_Excel_Files10256[[#This Row],[Aide 
publique]]/Tableau_Lancer_la_requête_à_partir_de_Excel_Files10256[[#This Row],[''Coût total éligible'']]</f>
        <v>0.7</v>
      </c>
      <c r="G14" s="15">
        <f>Tableau_Lancer_la_requête_à_partir_de_Excel_Files10256[[#This Row],[''FEDER'']]+Tableau_Lancer_la_requête_à_partir_de_Excel_Files10256[[#This Row],[Total Etat]]+Tableau_Lancer_la_requête_à_partir_de_Excel_Files10256[[#This Row],[Total Régions]]+Tableau_Lancer_la_requête_à_partir_de_Excel_Files10256[[#This Row],[Total Dpts]]</f>
        <v>119000</v>
      </c>
      <c r="H14" s="9">
        <f>Tableau_Lancer_la_requête_à_partir_de_Excel_Files10256[[#This Row],[Aide Massif]]/Tableau_Lancer_la_requête_à_partir_de_Excel_Files10256[[#This Row],[''Coût total éligible'']]</f>
        <v>0.7</v>
      </c>
      <c r="I14" s="8">
        <v>85000</v>
      </c>
      <c r="J14" s="8">
        <f>Tableau_Lancer_la_requête_à_partir_de_Excel_Files10256[[#This Row],[''FNADT '']]+Tableau_Lancer_la_requête_à_partir_de_Excel_Files10256[[#This Row],[''Agriculture'']]</f>
        <v>34000</v>
      </c>
      <c r="K14" s="10">
        <v>34000</v>
      </c>
      <c r="L14" s="8"/>
      <c r="M14" s="8">
        <f>Tableau_Lancer_la_requête_à_partir_de_Excel_Files10256[[#This Row],[''ALPC'']]+Tableau_Lancer_la_requête_à_partir_de_Excel_Files10256[[#This Row],[''AURA'']]+Tableau_Lancer_la_requête_à_partir_de_Excel_Files10256[[#This Row],[''BFC'']]+Tableau_Lancer_la_requête_à_partir_de_Excel_Files10256[[#This Row],[''LRMP'']]</f>
        <v>0</v>
      </c>
      <c r="N14" s="8"/>
      <c r="O14" s="8"/>
      <c r="P14" s="8"/>
      <c r="Q14" s="8"/>
      <c r="R14" s="8">
        <f>Tableau_Lancer_la_requête_à_partir_de_Excel_Files10256[[#This Row],[''03'']]+Tableau_Lancer_la_requête_à_partir_de_Excel_Files10256[[#This Row],[''07'']]+Tableau_Lancer_la_requête_à_partir_de_Excel_Files10256[[#This Row],[''11'']]+Tableau_Lancer_la_requête_à_partir_de_Excel_Files10256[[#This Row],[''12'']]+Tableau_Lancer_la_requête_à_partir_de_Excel_Files10256[[#This Row],[''15'']]+Tableau_Lancer_la_requête_à_partir_de_Excel_Files10256[[#This Row],[''19'']]+Tableau_Lancer_la_requête_à_partir_de_Excel_Files10256[[#This Row],[''21'']]+Tableau_Lancer_la_requête_à_partir_de_Excel_Files10256[[#This Row],[''23'']]+Tableau_Lancer_la_requête_à_partir_de_Excel_Files10256[[#This Row],[''30'']]+Tableau_Lancer_la_requête_à_partir_de_Excel_Files10256[[#This Row],[''34'']]+Tableau_Lancer_la_requête_à_partir_de_Excel_Files10256[[#This Row],[''42'']]+Tableau_Lancer_la_requête_à_partir_de_Excel_Files10256[[#This Row],[''43'']]+Tableau_Lancer_la_requête_à_partir_de_Excel_Files10256[[#This Row],[''46'']]+Tableau_Lancer_la_requête_à_partir_de_Excel_Files10256[[#This Row],[''48'']]+Tableau_Lancer_la_requête_à_partir_de_Excel_Files10256[[#This Row],[''58'']]+Tableau_Lancer_la_requête_à_partir_de_Excel_Files10256[[#This Row],[''63'']]+Tableau_Lancer_la_requête_à_partir_de_Excel_Files10256[[#This Row],[''69'']]+Tableau_Lancer_la_requête_à_partir_de_Excel_Files10256[[#This Row],[''71'']]+Tableau_Lancer_la_requête_à_partir_de_Excel_Files10256[[#This Row],[''81'']]+Tableau_Lancer_la_requête_à_partir_de_Excel_Files10256[[#This Row],[''82'']]+Tableau_Lancer_la_requête_à_partir_de_Excel_Files10256[[#This Row],[''87'']]+Tableau_Lancer_la_requête_à_partir_de_Excel_Files10256[[#This Row],[''89'']]</f>
        <v>0</v>
      </c>
      <c r="S14" s="8"/>
      <c r="T14" s="8"/>
      <c r="U14" s="8"/>
      <c r="V14" s="8"/>
      <c r="W14" s="8"/>
      <c r="X14" s="8"/>
      <c r="Y14" s="8"/>
      <c r="Z14" s="8"/>
      <c r="AA14" s="8"/>
      <c r="AB14" s="8"/>
      <c r="AC14" s="8"/>
      <c r="AD14" s="8"/>
      <c r="AE14" s="8"/>
      <c r="AF14" s="8"/>
      <c r="AG14" s="8"/>
      <c r="AH14" s="8"/>
      <c r="AI14" s="8"/>
      <c r="AJ14" s="8"/>
      <c r="AK14" s="8"/>
      <c r="AL14" s="8"/>
      <c r="AM14" s="8"/>
      <c r="AN14" s="8"/>
      <c r="AO14" s="8">
        <v>0</v>
      </c>
      <c r="AP14" s="10" t="s">
        <v>77</v>
      </c>
      <c r="AR14" s="25"/>
      <c r="BY14" s="4"/>
      <c r="CC14" s="3"/>
    </row>
    <row r="15" spans="1:81" ht="30" x14ac:dyDescent="0.25">
      <c r="A15" s="13" t="s">
        <v>166</v>
      </c>
      <c r="B15" s="12" t="s">
        <v>79</v>
      </c>
      <c r="C15" s="12" t="s">
        <v>165</v>
      </c>
      <c r="D15" s="15">
        <v>169966.81</v>
      </c>
      <c r="E15" s="15">
        <f>Tableau_Lancer_la_requête_à_partir_de_Excel_Files10256[[#This Row],[Aide Massif]]+Tableau_Lancer_la_requête_à_partir_de_Excel_Files10256[[#This Row],[''Autre Public'']]</f>
        <v>118976.76999999999</v>
      </c>
      <c r="F15" s="16">
        <f>Tableau_Lancer_la_requête_à_partir_de_Excel_Files10256[[#This Row],[Aide 
publique]]/Tableau_Lancer_la_requête_à_partir_de_Excel_Files10256[[#This Row],[''Coût total éligible'']]</f>
        <v>0.70000001765050479</v>
      </c>
      <c r="G15" s="15">
        <f>Tableau_Lancer_la_requête_à_partir_de_Excel_Files10256[[#This Row],[''FEDER'']]+Tableau_Lancer_la_requête_à_partir_de_Excel_Files10256[[#This Row],[Total Etat]]+Tableau_Lancer_la_requête_à_partir_de_Excel_Files10256[[#This Row],[Total Régions]]+Tableau_Lancer_la_requête_à_partir_de_Excel_Files10256[[#This Row],[Total Dpts]]</f>
        <v>118976.76999999999</v>
      </c>
      <c r="H15" s="16">
        <f>Tableau_Lancer_la_requête_à_partir_de_Excel_Files10256[[#This Row],[Aide Massif]]/Tableau_Lancer_la_requête_à_partir_de_Excel_Files10256[[#This Row],[''Coût total éligible'']]</f>
        <v>0.70000001765050479</v>
      </c>
      <c r="I15" s="15">
        <v>84983.4</v>
      </c>
      <c r="J15" s="15">
        <f>Tableau_Lancer_la_requête_à_partir_de_Excel_Files10256[[#This Row],[''FNADT '']]+Tableau_Lancer_la_requête_à_partir_de_Excel_Files10256[[#This Row],[''Agriculture'']]</f>
        <v>33993.370000000003</v>
      </c>
      <c r="K15" s="11">
        <v>33993.370000000003</v>
      </c>
      <c r="L15" s="15"/>
      <c r="M15" s="15">
        <f>Tableau_Lancer_la_requête_à_partir_de_Excel_Files10256[[#This Row],[''ALPC'']]+Tableau_Lancer_la_requête_à_partir_de_Excel_Files10256[[#This Row],[''AURA'']]+Tableau_Lancer_la_requête_à_partir_de_Excel_Files10256[[#This Row],[''BFC'']]+Tableau_Lancer_la_requête_à_partir_de_Excel_Files10256[[#This Row],[''LRMP'']]</f>
        <v>0</v>
      </c>
      <c r="N15" s="15"/>
      <c r="O15" s="15"/>
      <c r="P15" s="15"/>
      <c r="Q15" s="15"/>
      <c r="R15" s="15">
        <f>Tableau_Lancer_la_requête_à_partir_de_Excel_Files10256[[#This Row],[''03'']]+Tableau_Lancer_la_requête_à_partir_de_Excel_Files10256[[#This Row],[''07'']]+Tableau_Lancer_la_requête_à_partir_de_Excel_Files10256[[#This Row],[''11'']]+Tableau_Lancer_la_requête_à_partir_de_Excel_Files10256[[#This Row],[''12'']]+Tableau_Lancer_la_requête_à_partir_de_Excel_Files10256[[#This Row],[''15'']]+Tableau_Lancer_la_requête_à_partir_de_Excel_Files10256[[#This Row],[''19'']]+Tableau_Lancer_la_requête_à_partir_de_Excel_Files10256[[#This Row],[''21'']]+Tableau_Lancer_la_requête_à_partir_de_Excel_Files10256[[#This Row],[''23'']]+Tableau_Lancer_la_requête_à_partir_de_Excel_Files10256[[#This Row],[''30'']]+Tableau_Lancer_la_requête_à_partir_de_Excel_Files10256[[#This Row],[''34'']]+Tableau_Lancer_la_requête_à_partir_de_Excel_Files10256[[#This Row],[''42'']]+Tableau_Lancer_la_requête_à_partir_de_Excel_Files10256[[#This Row],[''43'']]+Tableau_Lancer_la_requête_à_partir_de_Excel_Files10256[[#This Row],[''46'']]+Tableau_Lancer_la_requête_à_partir_de_Excel_Files10256[[#This Row],[''48'']]+Tableau_Lancer_la_requête_à_partir_de_Excel_Files10256[[#This Row],[''58'']]+Tableau_Lancer_la_requête_à_partir_de_Excel_Files10256[[#This Row],[''63'']]+Tableau_Lancer_la_requête_à_partir_de_Excel_Files10256[[#This Row],[''69'']]+Tableau_Lancer_la_requête_à_partir_de_Excel_Files10256[[#This Row],[''71'']]+Tableau_Lancer_la_requête_à_partir_de_Excel_Files10256[[#This Row],[''81'']]+Tableau_Lancer_la_requête_à_partir_de_Excel_Files10256[[#This Row],[''82'']]+Tableau_Lancer_la_requête_à_partir_de_Excel_Files10256[[#This Row],[''87'']]+Tableau_Lancer_la_requête_à_partir_de_Excel_Files10256[[#This Row],[''89'']]</f>
        <v>0</v>
      </c>
      <c r="S15" s="15"/>
      <c r="T15" s="15"/>
      <c r="U15" s="15"/>
      <c r="V15" s="15"/>
      <c r="W15" s="15"/>
      <c r="X15" s="15"/>
      <c r="Y15" s="15"/>
      <c r="Z15" s="15"/>
      <c r="AA15" s="15"/>
      <c r="AB15" s="15"/>
      <c r="AC15" s="15"/>
      <c r="AD15" s="15"/>
      <c r="AE15" s="15"/>
      <c r="AF15" s="15"/>
      <c r="AG15" s="15"/>
      <c r="AH15" s="15"/>
      <c r="AI15" s="15"/>
      <c r="AJ15" s="15"/>
      <c r="AK15" s="15"/>
      <c r="AL15" s="15"/>
      <c r="AM15" s="15"/>
      <c r="AN15" s="15"/>
      <c r="AO15" s="15">
        <v>0</v>
      </c>
      <c r="AP15" s="11" t="s">
        <v>77</v>
      </c>
      <c r="AR15" s="24"/>
      <c r="BY15" s="4"/>
      <c r="CC15" s="3"/>
    </row>
    <row r="16" spans="1:81" ht="30" x14ac:dyDescent="0.25">
      <c r="A16" s="13" t="s">
        <v>167</v>
      </c>
      <c r="B16" s="12" t="s">
        <v>168</v>
      </c>
      <c r="C16" s="12" t="s">
        <v>165</v>
      </c>
      <c r="D16" s="15">
        <v>229791.1</v>
      </c>
      <c r="E16" s="15">
        <f>Tableau_Lancer_la_requête_à_partir_de_Excel_Files10256[[#This Row],[Aide Massif]]+Tableau_Lancer_la_requête_à_partir_de_Excel_Files10256[[#This Row],[''Autre Public'']]</f>
        <v>160853.77000000002</v>
      </c>
      <c r="F16" s="16">
        <f>Tableau_Lancer_la_requête_à_partir_de_Excel_Files10256[[#This Row],[Aide 
publique]]/Tableau_Lancer_la_requête_à_partir_de_Excel_Files10256[[#This Row],[''Coût total éligible'']]</f>
        <v>0.70000000000000007</v>
      </c>
      <c r="G16" s="15">
        <f>Tableau_Lancer_la_requête_à_partir_de_Excel_Files10256[[#This Row],[''FEDER'']]+Tableau_Lancer_la_requête_à_partir_de_Excel_Files10256[[#This Row],[Total Etat]]+Tableau_Lancer_la_requête_à_partir_de_Excel_Files10256[[#This Row],[Total Régions]]+Tableau_Lancer_la_requête_à_partir_de_Excel_Files10256[[#This Row],[Total Dpts]]</f>
        <v>160853.77000000002</v>
      </c>
      <c r="H16" s="16">
        <f>Tableau_Lancer_la_requête_à_partir_de_Excel_Files10256[[#This Row],[Aide Massif]]/Tableau_Lancer_la_requête_à_partir_de_Excel_Files10256[[#This Row],[''Coût total éligible'']]</f>
        <v>0.70000000000000007</v>
      </c>
      <c r="I16" s="15">
        <v>100703.77</v>
      </c>
      <c r="J16" s="15">
        <f>Tableau_Lancer_la_requête_à_partir_de_Excel_Files10256[[#This Row],[''FNADT '']]+Tableau_Lancer_la_requête_à_partir_de_Excel_Files10256[[#This Row],[''Agriculture'']]</f>
        <v>60150</v>
      </c>
      <c r="K16" s="11">
        <v>60150</v>
      </c>
      <c r="L16" s="15"/>
      <c r="M16" s="15">
        <f>Tableau_Lancer_la_requête_à_partir_de_Excel_Files10256[[#This Row],[''ALPC'']]+Tableau_Lancer_la_requête_à_partir_de_Excel_Files10256[[#This Row],[''AURA'']]+Tableau_Lancer_la_requête_à_partir_de_Excel_Files10256[[#This Row],[''BFC'']]+Tableau_Lancer_la_requête_à_partir_de_Excel_Files10256[[#This Row],[''LRMP'']]</f>
        <v>0</v>
      </c>
      <c r="N16" s="15"/>
      <c r="O16" s="15"/>
      <c r="P16" s="15"/>
      <c r="Q16" s="15"/>
      <c r="R16" s="15">
        <f>Tableau_Lancer_la_requête_à_partir_de_Excel_Files10256[[#This Row],[''03'']]+Tableau_Lancer_la_requête_à_partir_de_Excel_Files10256[[#This Row],[''07'']]+Tableau_Lancer_la_requête_à_partir_de_Excel_Files10256[[#This Row],[''11'']]+Tableau_Lancer_la_requête_à_partir_de_Excel_Files10256[[#This Row],[''12'']]+Tableau_Lancer_la_requête_à_partir_de_Excel_Files10256[[#This Row],[''15'']]+Tableau_Lancer_la_requête_à_partir_de_Excel_Files10256[[#This Row],[''19'']]+Tableau_Lancer_la_requête_à_partir_de_Excel_Files10256[[#This Row],[''21'']]+Tableau_Lancer_la_requête_à_partir_de_Excel_Files10256[[#This Row],[''23'']]+Tableau_Lancer_la_requête_à_partir_de_Excel_Files10256[[#This Row],[''30'']]+Tableau_Lancer_la_requête_à_partir_de_Excel_Files10256[[#This Row],[''34'']]+Tableau_Lancer_la_requête_à_partir_de_Excel_Files10256[[#This Row],[''42'']]+Tableau_Lancer_la_requête_à_partir_de_Excel_Files10256[[#This Row],[''43'']]+Tableau_Lancer_la_requête_à_partir_de_Excel_Files10256[[#This Row],[''46'']]+Tableau_Lancer_la_requête_à_partir_de_Excel_Files10256[[#This Row],[''48'']]+Tableau_Lancer_la_requête_à_partir_de_Excel_Files10256[[#This Row],[''58'']]+Tableau_Lancer_la_requête_à_partir_de_Excel_Files10256[[#This Row],[''63'']]+Tableau_Lancer_la_requête_à_partir_de_Excel_Files10256[[#This Row],[''69'']]+Tableau_Lancer_la_requête_à_partir_de_Excel_Files10256[[#This Row],[''71'']]+Tableau_Lancer_la_requête_à_partir_de_Excel_Files10256[[#This Row],[''81'']]+Tableau_Lancer_la_requête_à_partir_de_Excel_Files10256[[#This Row],[''82'']]+Tableau_Lancer_la_requête_à_partir_de_Excel_Files10256[[#This Row],[''87'']]+Tableau_Lancer_la_requête_à_partir_de_Excel_Files10256[[#This Row],[''89'']]</f>
        <v>0</v>
      </c>
      <c r="S16" s="15"/>
      <c r="T16" s="15"/>
      <c r="U16" s="15"/>
      <c r="V16" s="15"/>
      <c r="W16" s="15"/>
      <c r="X16" s="15"/>
      <c r="Y16" s="15"/>
      <c r="Z16" s="15"/>
      <c r="AA16" s="15"/>
      <c r="AB16" s="15"/>
      <c r="AC16" s="15"/>
      <c r="AD16" s="15"/>
      <c r="AE16" s="15"/>
      <c r="AF16" s="15"/>
      <c r="AG16" s="15"/>
      <c r="AH16" s="15"/>
      <c r="AI16" s="15"/>
      <c r="AJ16" s="15"/>
      <c r="AK16" s="15"/>
      <c r="AL16" s="15"/>
      <c r="AM16" s="15"/>
      <c r="AN16" s="15"/>
      <c r="AO16" s="15">
        <v>0</v>
      </c>
      <c r="AP16" s="11" t="s">
        <v>77</v>
      </c>
      <c r="AR16" s="26"/>
      <c r="BY16" s="4"/>
      <c r="CC16" s="3"/>
    </row>
    <row r="17" spans="1:81" s="7" customFormat="1" ht="15.75" thickBot="1" x14ac:dyDescent="0.3">
      <c r="A17" s="13" t="s">
        <v>169</v>
      </c>
      <c r="B17" s="12" t="s">
        <v>170</v>
      </c>
      <c r="C17" s="12" t="s">
        <v>165</v>
      </c>
      <c r="D17" s="15">
        <v>170122.71153846153</v>
      </c>
      <c r="E17" s="15">
        <f>Tableau_Lancer_la_requête_à_partir_de_Excel_Files10256[[#This Row],[Aide Massif]]+Tableau_Lancer_la_requête_à_partir_de_Excel_Files10256[[#This Row],[''Autre Public'']]</f>
        <v>116292.37</v>
      </c>
      <c r="F17" s="16">
        <f>Tableau_Lancer_la_requête_à_partir_de_Excel_Files10256[[#This Row],[Aide 
publique]]/Tableau_Lancer_la_requête_à_partir_de_Excel_Files10256[[#This Row],[''Coût total éligible'']]</f>
        <v>0.68357933487151412</v>
      </c>
      <c r="G17" s="15">
        <f>Tableau_Lancer_la_requête_à_partir_de_Excel_Files10256[[#This Row],[''FEDER'']]+Tableau_Lancer_la_requête_à_partir_de_Excel_Files10256[[#This Row],[Total Etat]]+Tableau_Lancer_la_requête_à_partir_de_Excel_Files10256[[#This Row],[Total Régions]]+Tableau_Lancer_la_requête_à_partir_de_Excel_Files10256[[#This Row],[Total Dpts]]</f>
        <v>116292.37</v>
      </c>
      <c r="H17" s="16">
        <f>Tableau_Lancer_la_requête_à_partir_de_Excel_Files10256[[#This Row],[Aide Massif]]/Tableau_Lancer_la_requête_à_partir_de_Excel_Files10256[[#This Row],[''Coût total éligible'']]</f>
        <v>0.68357933487151412</v>
      </c>
      <c r="I17" s="15">
        <v>82206.47</v>
      </c>
      <c r="J17" s="15">
        <f>Tableau_Lancer_la_requête_à_partir_de_Excel_Files10256[[#This Row],[''FNADT '']]+Tableau_Lancer_la_requête_à_partir_de_Excel_Files10256[[#This Row],[''Agriculture'']]</f>
        <v>34085.9</v>
      </c>
      <c r="K17" s="11">
        <v>34085.9</v>
      </c>
      <c r="L17" s="15"/>
      <c r="M17" s="15">
        <f>Tableau_Lancer_la_requête_à_partir_de_Excel_Files10256[[#This Row],[''ALPC'']]+Tableau_Lancer_la_requête_à_partir_de_Excel_Files10256[[#This Row],[''AURA'']]+Tableau_Lancer_la_requête_à_partir_de_Excel_Files10256[[#This Row],[''BFC'']]+Tableau_Lancer_la_requête_à_partir_de_Excel_Files10256[[#This Row],[''LRMP'']]</f>
        <v>0</v>
      </c>
      <c r="N17" s="15"/>
      <c r="O17" s="15"/>
      <c r="P17" s="15"/>
      <c r="Q17" s="15"/>
      <c r="R17" s="15">
        <f>Tableau_Lancer_la_requête_à_partir_de_Excel_Files10256[[#This Row],[''03'']]+Tableau_Lancer_la_requête_à_partir_de_Excel_Files10256[[#This Row],[''07'']]+Tableau_Lancer_la_requête_à_partir_de_Excel_Files10256[[#This Row],[''11'']]+Tableau_Lancer_la_requête_à_partir_de_Excel_Files10256[[#This Row],[''12'']]+Tableau_Lancer_la_requête_à_partir_de_Excel_Files10256[[#This Row],[''15'']]+Tableau_Lancer_la_requête_à_partir_de_Excel_Files10256[[#This Row],[''19'']]+Tableau_Lancer_la_requête_à_partir_de_Excel_Files10256[[#This Row],[''21'']]+Tableau_Lancer_la_requête_à_partir_de_Excel_Files10256[[#This Row],[''23'']]+Tableau_Lancer_la_requête_à_partir_de_Excel_Files10256[[#This Row],[''30'']]+Tableau_Lancer_la_requête_à_partir_de_Excel_Files10256[[#This Row],[''34'']]+Tableau_Lancer_la_requête_à_partir_de_Excel_Files10256[[#This Row],[''42'']]+Tableau_Lancer_la_requête_à_partir_de_Excel_Files10256[[#This Row],[''43'']]+Tableau_Lancer_la_requête_à_partir_de_Excel_Files10256[[#This Row],[''46'']]+Tableau_Lancer_la_requête_à_partir_de_Excel_Files10256[[#This Row],[''48'']]+Tableau_Lancer_la_requête_à_partir_de_Excel_Files10256[[#This Row],[''58'']]+Tableau_Lancer_la_requête_à_partir_de_Excel_Files10256[[#This Row],[''63'']]+Tableau_Lancer_la_requête_à_partir_de_Excel_Files10256[[#This Row],[''69'']]+Tableau_Lancer_la_requête_à_partir_de_Excel_Files10256[[#This Row],[''71'']]+Tableau_Lancer_la_requête_à_partir_de_Excel_Files10256[[#This Row],[''81'']]+Tableau_Lancer_la_requête_à_partir_de_Excel_Files10256[[#This Row],[''82'']]+Tableau_Lancer_la_requête_à_partir_de_Excel_Files10256[[#This Row],[''87'']]+Tableau_Lancer_la_requête_à_partir_de_Excel_Files10256[[#This Row],[''89'']]</f>
        <v>0</v>
      </c>
      <c r="S17" s="15"/>
      <c r="T17" s="15"/>
      <c r="U17" s="15"/>
      <c r="V17" s="15"/>
      <c r="W17" s="15"/>
      <c r="X17" s="15"/>
      <c r="Y17" s="15"/>
      <c r="Z17" s="15"/>
      <c r="AA17" s="15"/>
      <c r="AB17" s="15"/>
      <c r="AC17" s="15"/>
      <c r="AD17" s="15"/>
      <c r="AE17" s="15"/>
      <c r="AF17" s="15"/>
      <c r="AG17" s="15"/>
      <c r="AH17" s="15"/>
      <c r="AI17" s="15"/>
      <c r="AJ17" s="15"/>
      <c r="AK17" s="15"/>
      <c r="AL17" s="15"/>
      <c r="AM17" s="15"/>
      <c r="AN17" s="15"/>
      <c r="AO17" s="15">
        <v>0</v>
      </c>
      <c r="AP17" s="11" t="s">
        <v>77</v>
      </c>
      <c r="AR17" s="24"/>
    </row>
    <row r="18" spans="1:81" s="10" customFormat="1" ht="15.75" thickTop="1" x14ac:dyDescent="0.25">
      <c r="A18" s="83" t="s">
        <v>11</v>
      </c>
      <c r="B18" s="84">
        <f>SUBTOTAL(103,Tableau_Lancer_la_requête_à_partir_de_Excel_Files10256[Nom_MO])</f>
        <v>11</v>
      </c>
      <c r="C18" s="84"/>
      <c r="D18" s="85">
        <f>SUBTOTAL(109,Tableau_Lancer_la_requête_à_partir_de_Excel_Files10256[''Coût total éligible''])</f>
        <v>2186430.7941670334</v>
      </c>
      <c r="E18" s="85">
        <f>SUBTOTAL(109,Tableau_Lancer_la_requête_à_partir_de_Excel_Files10256[Aide 
publique])</f>
        <v>1178183.96</v>
      </c>
      <c r="F18" s="86"/>
      <c r="G18" s="85">
        <f>SUBTOTAL(109,Tableau_Lancer_la_requête_à_partir_de_Excel_Files10256[Aide Massif])</f>
        <v>1140607.96</v>
      </c>
      <c r="H18" s="86"/>
      <c r="I18" s="85">
        <f>SUBTOTAL(109,Tableau_Lancer_la_requête_à_partir_de_Excel_Files10256[''FEDER''])</f>
        <v>474232.53</v>
      </c>
      <c r="J18" s="85">
        <f>SUBTOTAL(109,Tableau_Lancer_la_requête_à_partir_de_Excel_Files10256[Total Etat])</f>
        <v>514863.17000000004</v>
      </c>
      <c r="K18" s="83"/>
      <c r="L18" s="85">
        <f>SUBTOTAL(109,Tableau_Lancer_la_requête_à_partir_de_Excel_Files10256[''Agriculture''])</f>
        <v>0</v>
      </c>
      <c r="M18" s="85">
        <f>SUBTOTAL(109,Tableau_Lancer_la_requête_à_partir_de_Excel_Files10256[Total Régions])</f>
        <v>124058.26000000001</v>
      </c>
      <c r="N18" s="85">
        <f>SUBTOTAL(109,Tableau_Lancer_la_requête_à_partir_de_Excel_Files10256[''ALPC''])</f>
        <v>35000</v>
      </c>
      <c r="O18" s="85">
        <f>SUBTOTAL(109,Tableau_Lancer_la_requête_à_partir_de_Excel_Files10256[''AURA''])</f>
        <v>10043.959999999999</v>
      </c>
      <c r="P18" s="85">
        <f>SUBTOTAL(109,Tableau_Lancer_la_requête_à_partir_de_Excel_Files10256[''BFC''])</f>
        <v>0</v>
      </c>
      <c r="Q18" s="85">
        <f>SUBTOTAL(109,Tableau_Lancer_la_requête_à_partir_de_Excel_Files10256[''LRMP''])</f>
        <v>79014.3</v>
      </c>
      <c r="R18" s="85">
        <f>SUBTOTAL(109,Tableau_Lancer_la_requête_à_partir_de_Excel_Files10256[Total Dpts])</f>
        <v>27454</v>
      </c>
      <c r="S18" s="85">
        <f>SUBTOTAL(109,Tableau_Lancer_la_requête_à_partir_de_Excel_Files10256[''03''])</f>
        <v>0</v>
      </c>
      <c r="T18" s="85">
        <f>SUBTOTAL(109,Tableau_Lancer_la_requête_à_partir_de_Excel_Files10256[''07''])</f>
        <v>0</v>
      </c>
      <c r="U18" s="85">
        <f>SUBTOTAL(109,Tableau_Lancer_la_requête_à_partir_de_Excel_Files10256[''11''])</f>
        <v>0</v>
      </c>
      <c r="V18" s="85">
        <f>SUBTOTAL(109,Tableau_Lancer_la_requête_à_partir_de_Excel_Files10256[''12''])</f>
        <v>0</v>
      </c>
      <c r="W18" s="85">
        <f>SUBTOTAL(109,Tableau_Lancer_la_requête_à_partir_de_Excel_Files10256[''15''])</f>
        <v>0</v>
      </c>
      <c r="X18" s="85">
        <f>SUBTOTAL(109,Tableau_Lancer_la_requête_à_partir_de_Excel_Files10256[''19''])</f>
        <v>4000</v>
      </c>
      <c r="Y18" s="85">
        <f>SUBTOTAL(109,Tableau_Lancer_la_requête_à_partir_de_Excel_Files10256[''21''])</f>
        <v>0</v>
      </c>
      <c r="Z18" s="85">
        <f>SUBTOTAL(109,Tableau_Lancer_la_requête_à_partir_de_Excel_Files10256[''23''])</f>
        <v>0</v>
      </c>
      <c r="AA18" s="85">
        <f>SUBTOTAL(109,Tableau_Lancer_la_requête_à_partir_de_Excel_Files10256[''30''])</f>
        <v>0</v>
      </c>
      <c r="AB18" s="85">
        <f>SUBTOTAL(109,Tableau_Lancer_la_requête_à_partir_de_Excel_Files10256[''34''])</f>
        <v>0</v>
      </c>
      <c r="AC18" s="85">
        <f>SUBTOTAL(109,Tableau_Lancer_la_requête_à_partir_de_Excel_Files10256[''42''])</f>
        <v>0</v>
      </c>
      <c r="AD18" s="85">
        <f>SUBTOTAL(109,Tableau_Lancer_la_requête_à_partir_de_Excel_Files10256[''43''])</f>
        <v>0</v>
      </c>
      <c r="AE18" s="85">
        <f>SUBTOTAL(109,Tableau_Lancer_la_requête_à_partir_de_Excel_Files10256[''46''])</f>
        <v>16500</v>
      </c>
      <c r="AF18" s="85">
        <f>SUBTOTAL(109,Tableau_Lancer_la_requête_à_partir_de_Excel_Files10256[''48''])</f>
        <v>0</v>
      </c>
      <c r="AG18" s="85">
        <f>SUBTOTAL(109,Tableau_Lancer_la_requête_à_partir_de_Excel_Files10256[''58''])</f>
        <v>0</v>
      </c>
      <c r="AH18" s="85">
        <f>SUBTOTAL(109,Tableau_Lancer_la_requête_à_partir_de_Excel_Files10256[''63''])</f>
        <v>0</v>
      </c>
      <c r="AI18" s="85">
        <f>SUBTOTAL(109,Tableau_Lancer_la_requête_à_partir_de_Excel_Files10256[''69''])</f>
        <v>0</v>
      </c>
      <c r="AJ18" s="85">
        <f>SUBTOTAL(109,Tableau_Lancer_la_requête_à_partir_de_Excel_Files10256[''71''])</f>
        <v>0</v>
      </c>
      <c r="AK18" s="85">
        <f>SUBTOTAL(109,Tableau_Lancer_la_requête_à_partir_de_Excel_Files10256[''81''])</f>
        <v>6000</v>
      </c>
      <c r="AL18" s="85">
        <f>SUBTOTAL(109,Tableau_Lancer_la_requête_à_partir_de_Excel_Files10256[''82''])</f>
        <v>954</v>
      </c>
      <c r="AM18" s="85">
        <f>SUBTOTAL(109,Tableau_Lancer_la_requête_à_partir_de_Excel_Files10256[''87''])</f>
        <v>0</v>
      </c>
      <c r="AN18" s="85">
        <f>SUBTOTAL(109,Tableau_Lancer_la_requête_à_partir_de_Excel_Files10256[''89''])</f>
        <v>0</v>
      </c>
      <c r="AO18" s="85">
        <f>SUBTOTAL(109,Tableau_Lancer_la_requête_à_partir_de_Excel_Files10256[''Autre Public''])</f>
        <v>37576</v>
      </c>
      <c r="AP18" s="87"/>
      <c r="AR18" s="29"/>
    </row>
    <row r="19" spans="1:81" x14ac:dyDescent="0.25">
      <c r="CB19" s="4"/>
      <c r="CC19" s="3"/>
    </row>
    <row r="28" spans="1:81" hidden="1" x14ac:dyDescent="0.25">
      <c r="E28" s="3" t="s">
        <v>353</v>
      </c>
      <c r="F28" s="6" t="s">
        <v>351</v>
      </c>
    </row>
    <row r="29" spans="1:81" hidden="1" x14ac:dyDescent="0.25">
      <c r="D29" t="s">
        <v>112</v>
      </c>
      <c r="E29" s="3">
        <f>SUMIF(Tableau_Lancer_la_requête_à_partir_de_Excel_Files10256[Avis Prog],"1-Favorable",Tableau_Lancer_la_requête_à_partir_de_Excel_Files10256[''FEDER''])</f>
        <v>474232.53</v>
      </c>
      <c r="F29" s="3" t="e">
        <f>SUMIF(#REF!,"1-Favorable",Tableau_Lancer_la_requête_à_partir_de_Excel_Files10256[''FEDER''])</f>
        <v>#REF!</v>
      </c>
    </row>
    <row r="30" spans="1:81" hidden="1" x14ac:dyDescent="0.25">
      <c r="D30" t="s">
        <v>56</v>
      </c>
      <c r="E30" s="3">
        <f>SUMIF(Tableau_Lancer_la_requête_à_partir_de_Excel_Files10256[Avis Prog],"1-Favorable",Tableau_Lancer_la_requête_à_partir_de_Excel_Files10256[Total Etat])</f>
        <v>514863.17000000004</v>
      </c>
      <c r="F30" s="3" t="e">
        <f>SUMIF(#REF!,"1-Favorable",Tableau_Lancer_la_requête_à_partir_de_Excel_Files10256[Total Etat])</f>
        <v>#REF!</v>
      </c>
    </row>
    <row r="31" spans="1:81" hidden="1" x14ac:dyDescent="0.25">
      <c r="D31" t="s">
        <v>57</v>
      </c>
      <c r="E31" s="3">
        <f>SUMIF(Tableau_Lancer_la_requête_à_partir_de_Excel_Files10256[Avis Prog],"1-Favorable",Tableau_Lancer_la_requête_à_partir_de_Excel_Files10256[Total Régions])</f>
        <v>124058.26000000001</v>
      </c>
      <c r="F31" s="3" t="e">
        <f>SUMIF(#REF!,"1-Favorable",Tableau_Lancer_la_requête_à_partir_de_Excel_Files10256[Total Régions])</f>
        <v>#REF!</v>
      </c>
    </row>
    <row r="32" spans="1:81" hidden="1" x14ac:dyDescent="0.25">
      <c r="D32" s="3" t="s">
        <v>113</v>
      </c>
      <c r="E32" s="3">
        <f>SUMIF(Tableau_Lancer_la_requête_à_partir_de_Excel_Files10256[Avis Prog],"1-Favorable",Tableau_Lancer_la_requête_à_partir_de_Excel_Files10256[''ALPC''])</f>
        <v>35000</v>
      </c>
      <c r="F32" s="3" t="e">
        <f>SUMIF(#REF!,"1-Favorable",Tableau_Lancer_la_requête_à_partir_de_Excel_Files10256[''ALPC''])</f>
        <v>#REF!</v>
      </c>
    </row>
    <row r="33" spans="4:6" hidden="1" x14ac:dyDescent="0.25">
      <c r="D33" s="3" t="s">
        <v>114</v>
      </c>
      <c r="E33" s="3">
        <f>SUMIF(Tableau_Lancer_la_requête_à_partir_de_Excel_Files10256[Avis Prog],"1-Favorable",Tableau_Lancer_la_requête_à_partir_de_Excel_Files10256[''AURA''])</f>
        <v>10043.959999999999</v>
      </c>
      <c r="F33" s="3" t="e">
        <f>SUMIF(#REF!,"1-Favorable",Tableau_Lancer_la_requête_à_partir_de_Excel_Files10256[''AURA''])</f>
        <v>#REF!</v>
      </c>
    </row>
    <row r="34" spans="4:6" hidden="1" x14ac:dyDescent="0.25">
      <c r="D34" s="3" t="s">
        <v>115</v>
      </c>
      <c r="E34" s="3">
        <f>SUMIF(Tableau_Lancer_la_requête_à_partir_de_Excel_Files10256[Avis Prog],"1-Favorable",Tableau_Lancer_la_requête_à_partir_de_Excel_Files10256[''BFC''])</f>
        <v>0</v>
      </c>
      <c r="F34" s="3" t="e">
        <f>SUMIF(#REF!,"1-Favorable",Tableau_Lancer_la_requête_à_partir_de_Excel_Files10256[''BFC''])</f>
        <v>#REF!</v>
      </c>
    </row>
    <row r="35" spans="4:6" hidden="1" x14ac:dyDescent="0.25">
      <c r="D35" s="3" t="s">
        <v>116</v>
      </c>
      <c r="E35" s="3">
        <f>SUMIF(Tableau_Lancer_la_requête_à_partir_de_Excel_Files10256[Avis Prog],"1-Favorable",Tableau_Lancer_la_requête_à_partir_de_Excel_Files10256[''LRMP''])</f>
        <v>79014.3</v>
      </c>
      <c r="F35" s="3" t="e">
        <f>SUMIF(#REF!,"1-Favorable",Tableau_Lancer_la_requête_à_partir_de_Excel_Files10256[''LRMP''])</f>
        <v>#REF!</v>
      </c>
    </row>
    <row r="36" spans="4:6" hidden="1" x14ac:dyDescent="0.25">
      <c r="D36" t="s">
        <v>58</v>
      </c>
      <c r="E36" s="3">
        <f>SUMIF(Tableau_Lancer_la_requête_à_partir_de_Excel_Files10256[Avis Prog],"1-Favorable",Tableau_Lancer_la_requête_à_partir_de_Excel_Files10256[Total Dpts])</f>
        <v>27454</v>
      </c>
      <c r="F36" s="3" t="e">
        <f>SUMIF(#REF!,"1-Favorable",Tableau_Lancer_la_requête_à_partir_de_Excel_Files10256[Total Dpts])</f>
        <v>#REF!</v>
      </c>
    </row>
    <row r="37" spans="4:6" hidden="1" x14ac:dyDescent="0.25">
      <c r="D37" t="s">
        <v>32</v>
      </c>
      <c r="E37" s="3">
        <f>SUMIF(Tableau_Lancer_la_requête_à_partir_de_Excel_Files10256[Avis Prog],"1-Favorable",Tableau_Lancer_la_requête_à_partir_de_Excel_Files10256[''03''])</f>
        <v>0</v>
      </c>
      <c r="F37" s="3" t="e">
        <f>SUMIF(#REF!,"1-Favorable",Tableau_Lancer_la_requête_à_partir_de_Excel_Files10256[''03''])</f>
        <v>#REF!</v>
      </c>
    </row>
    <row r="38" spans="4:6" hidden="1" x14ac:dyDescent="0.25">
      <c r="D38" t="s">
        <v>33</v>
      </c>
      <c r="E38" s="3">
        <f>SUMIF(Tableau_Lancer_la_requête_à_partir_de_Excel_Files10256[Avis Prog],"1-Favorable",Tableau_Lancer_la_requête_à_partir_de_Excel_Files10256[''07''])</f>
        <v>0</v>
      </c>
      <c r="F38" s="3" t="e">
        <f>SUMIF(#REF!,"1-Favorable",Tableau_Lancer_la_requête_à_partir_de_Excel_Files10256[''07''])</f>
        <v>#REF!</v>
      </c>
    </row>
    <row r="39" spans="4:6" hidden="1" x14ac:dyDescent="0.25">
      <c r="D39" t="s">
        <v>34</v>
      </c>
      <c r="E39" s="3">
        <f>SUMIF(Tableau_Lancer_la_requête_à_partir_de_Excel_Files10256[Avis Prog],"1-Favorable",Tableau_Lancer_la_requête_à_partir_de_Excel_Files10256[''11''])</f>
        <v>0</v>
      </c>
      <c r="F39" s="3" t="e">
        <f>SUMIF(#REF!,"1-Favorable",Tableau_Lancer_la_requête_à_partir_de_Excel_Files10256[''11''])</f>
        <v>#REF!</v>
      </c>
    </row>
    <row r="40" spans="4:6" hidden="1" x14ac:dyDescent="0.25">
      <c r="D40" t="s">
        <v>35</v>
      </c>
      <c r="E40" s="3">
        <f>SUMIF(Tableau_Lancer_la_requête_à_partir_de_Excel_Files10256[Avis Prog],"1-Favorable",Tableau_Lancer_la_requête_à_partir_de_Excel_Files10256[''12''])</f>
        <v>0</v>
      </c>
      <c r="F40" s="3" t="e">
        <f>SUMIF(#REF!,"1-Favorable",Tableau_Lancer_la_requête_à_partir_de_Excel_Files10256[''12''])</f>
        <v>#REF!</v>
      </c>
    </row>
    <row r="41" spans="4:6" hidden="1" x14ac:dyDescent="0.25">
      <c r="D41" t="s">
        <v>36</v>
      </c>
      <c r="E41" s="3">
        <f>SUMIF(Tableau_Lancer_la_requête_à_partir_de_Excel_Files10256[Avis Prog],"1-Favorable",Tableau_Lancer_la_requête_à_partir_de_Excel_Files10256[''15''])</f>
        <v>0</v>
      </c>
      <c r="F41" s="3" t="e">
        <f>SUMIF(#REF!,"1-Favorable",Tableau_Lancer_la_requête_à_partir_de_Excel_Files10256[''15''])</f>
        <v>#REF!</v>
      </c>
    </row>
    <row r="42" spans="4:6" hidden="1" x14ac:dyDescent="0.25">
      <c r="D42" t="s">
        <v>37</v>
      </c>
      <c r="E42" s="3">
        <f>SUMIF(Tableau_Lancer_la_requête_à_partir_de_Excel_Files10256[Avis Prog],"1-Favorable",Tableau_Lancer_la_requête_à_partir_de_Excel_Files10256[''19''])</f>
        <v>4000</v>
      </c>
      <c r="F42" s="3" t="e">
        <f>SUMIF(#REF!,"1-Favorable",Tableau_Lancer_la_requête_à_partir_de_Excel_Files10256[''19''])</f>
        <v>#REF!</v>
      </c>
    </row>
    <row r="43" spans="4:6" hidden="1" x14ac:dyDescent="0.25">
      <c r="D43" t="s">
        <v>38</v>
      </c>
      <c r="E43" s="3">
        <f>SUMIF(Tableau_Lancer_la_requête_à_partir_de_Excel_Files10256[Avis Prog],"1-Favorable",Tableau_Lancer_la_requête_à_partir_de_Excel_Files10256[''21''])</f>
        <v>0</v>
      </c>
      <c r="F43" s="3" t="e">
        <f>SUMIF(#REF!,"1-Favorable",Tableau_Lancer_la_requête_à_partir_de_Excel_Files10256[''21''])</f>
        <v>#REF!</v>
      </c>
    </row>
    <row r="44" spans="4:6" hidden="1" x14ac:dyDescent="0.25">
      <c r="D44" t="s">
        <v>39</v>
      </c>
      <c r="E44" s="3">
        <f>SUMIF(Tableau_Lancer_la_requête_à_partir_de_Excel_Files10256[Avis Prog],"1-Favorable",Tableau_Lancer_la_requête_à_partir_de_Excel_Files10256[''23''])</f>
        <v>0</v>
      </c>
      <c r="F44" s="3" t="e">
        <f>SUMIF(#REF!,"1-Favorable",Tableau_Lancer_la_requête_à_partir_de_Excel_Files10256[''23''])</f>
        <v>#REF!</v>
      </c>
    </row>
    <row r="45" spans="4:6" hidden="1" x14ac:dyDescent="0.25">
      <c r="D45" t="s">
        <v>40</v>
      </c>
      <c r="E45" s="3">
        <f>SUMIF(Tableau_Lancer_la_requête_à_partir_de_Excel_Files10256[Avis Prog],"1-Favorable",Tableau_Lancer_la_requête_à_partir_de_Excel_Files10256[''30''])</f>
        <v>0</v>
      </c>
      <c r="F45" s="3" t="e">
        <f>SUMIF(#REF!,"1-Favorable",Tableau_Lancer_la_requête_à_partir_de_Excel_Files10256[''30''])</f>
        <v>#REF!</v>
      </c>
    </row>
    <row r="46" spans="4:6" hidden="1" x14ac:dyDescent="0.25">
      <c r="D46" t="s">
        <v>41</v>
      </c>
      <c r="E46" s="3">
        <f>SUMIF(Tableau_Lancer_la_requête_à_partir_de_Excel_Files10256[Avis Prog],"1-Favorable",Tableau_Lancer_la_requête_à_partir_de_Excel_Files10256[''34''])</f>
        <v>0</v>
      </c>
      <c r="F46" s="3" t="e">
        <f>SUMIF(#REF!,"1-Favorable",Tableau_Lancer_la_requête_à_partir_de_Excel_Files10256[''34''])</f>
        <v>#REF!</v>
      </c>
    </row>
    <row r="47" spans="4:6" hidden="1" x14ac:dyDescent="0.25">
      <c r="D47" t="s">
        <v>42</v>
      </c>
      <c r="E47" s="3">
        <f>SUMIF(Tableau_Lancer_la_requête_à_partir_de_Excel_Files10256[Avis Prog],"1-Favorable",Tableau_Lancer_la_requête_à_partir_de_Excel_Files10256[''42''])</f>
        <v>0</v>
      </c>
      <c r="F47" s="3" t="e">
        <f>SUMIF(#REF!,"1-Favorable",Tableau_Lancer_la_requête_à_partir_de_Excel_Files10256[''42''])</f>
        <v>#REF!</v>
      </c>
    </row>
    <row r="48" spans="4:6" hidden="1" x14ac:dyDescent="0.25">
      <c r="D48" t="s">
        <v>43</v>
      </c>
      <c r="E48" s="3">
        <f>SUMIF(Tableau_Lancer_la_requête_à_partir_de_Excel_Files10256[Avis Prog],"1-Favorable",Tableau_Lancer_la_requête_à_partir_de_Excel_Files10256[''43''])</f>
        <v>0</v>
      </c>
      <c r="F48" s="3" t="e">
        <f>SUMIF(#REF!,"1-Favorable",Tableau_Lancer_la_requête_à_partir_de_Excel_Files10256[''43''])</f>
        <v>#REF!</v>
      </c>
    </row>
    <row r="49" spans="4:6" hidden="1" x14ac:dyDescent="0.25">
      <c r="D49" t="s">
        <v>44</v>
      </c>
      <c r="E49" s="3">
        <f>SUMIF(Tableau_Lancer_la_requête_à_partir_de_Excel_Files10256[Avis Prog],"1-Favorable",Tableau_Lancer_la_requête_à_partir_de_Excel_Files10256[''46''])</f>
        <v>16500</v>
      </c>
      <c r="F49" s="3" t="e">
        <f>SUMIF(#REF!,"1-Favorable",Tableau_Lancer_la_requête_à_partir_de_Excel_Files10256[''46''])</f>
        <v>#REF!</v>
      </c>
    </row>
    <row r="50" spans="4:6" hidden="1" x14ac:dyDescent="0.25">
      <c r="D50" t="s">
        <v>45</v>
      </c>
      <c r="E50" s="3">
        <f>SUMIF(Tableau_Lancer_la_requête_à_partir_de_Excel_Files10256[Avis Prog],"1-Favorable",Tableau_Lancer_la_requête_à_partir_de_Excel_Files10256[''48''])</f>
        <v>0</v>
      </c>
      <c r="F50" s="3" t="e">
        <f>SUMIF(#REF!,"1-Favorable",Tableau_Lancer_la_requête_à_partir_de_Excel_Files10256[''48''])</f>
        <v>#REF!</v>
      </c>
    </row>
    <row r="51" spans="4:6" hidden="1" x14ac:dyDescent="0.25">
      <c r="D51" t="s">
        <v>46</v>
      </c>
      <c r="E51" s="3">
        <f>SUMIF(Tableau_Lancer_la_requête_à_partir_de_Excel_Files10256[Avis Prog],"1-Favorable",Tableau_Lancer_la_requête_à_partir_de_Excel_Files10256[''58''])</f>
        <v>0</v>
      </c>
      <c r="F51" s="3" t="e">
        <f>SUMIF(#REF!,"1-Favorable",Tableau_Lancer_la_requête_à_partir_de_Excel_Files10256[''58''])</f>
        <v>#REF!</v>
      </c>
    </row>
    <row r="52" spans="4:6" hidden="1" x14ac:dyDescent="0.25">
      <c r="D52" t="s">
        <v>47</v>
      </c>
      <c r="E52" s="3">
        <f>SUMIF(Tableau_Lancer_la_requête_à_partir_de_Excel_Files10256[Avis Prog],"1-Favorable",Tableau_Lancer_la_requête_à_partir_de_Excel_Files10256[''63''])</f>
        <v>0</v>
      </c>
      <c r="F52" s="3" t="e">
        <f>SUMIF(#REF!,"1-Favorable",Tableau_Lancer_la_requête_à_partir_de_Excel_Files10256[''63''])</f>
        <v>#REF!</v>
      </c>
    </row>
    <row r="53" spans="4:6" hidden="1" x14ac:dyDescent="0.25">
      <c r="D53" t="s">
        <v>48</v>
      </c>
      <c r="E53" s="3">
        <f>SUMIF(Tableau_Lancer_la_requête_à_partir_de_Excel_Files10256[Avis Prog],"1-Favorable",Tableau_Lancer_la_requête_à_partir_de_Excel_Files10256[''69''])</f>
        <v>0</v>
      </c>
      <c r="F53" s="3" t="e">
        <f>SUMIF(#REF!,"1-Favorable",Tableau_Lancer_la_requête_à_partir_de_Excel_Files10256[''69''])</f>
        <v>#REF!</v>
      </c>
    </row>
    <row r="54" spans="4:6" hidden="1" x14ac:dyDescent="0.25">
      <c r="D54" t="s">
        <v>49</v>
      </c>
      <c r="E54" s="3">
        <f>SUMIF(Tableau_Lancer_la_requête_à_partir_de_Excel_Files10256[Avis Prog],"1-Favorable",Tableau_Lancer_la_requête_à_partir_de_Excel_Files10256[''71''])</f>
        <v>0</v>
      </c>
      <c r="F54" s="3" t="e">
        <f>SUMIF(#REF!,"1-Favorable",Tableau_Lancer_la_requête_à_partir_de_Excel_Files10256[''71''])</f>
        <v>#REF!</v>
      </c>
    </row>
    <row r="55" spans="4:6" hidden="1" x14ac:dyDescent="0.25">
      <c r="D55" t="s">
        <v>50</v>
      </c>
      <c r="E55" s="3">
        <f>SUMIF(Tableau_Lancer_la_requête_à_partir_de_Excel_Files10256[Avis Prog],"1-Favorable",Tableau_Lancer_la_requête_à_partir_de_Excel_Files10256[''81''])</f>
        <v>6000</v>
      </c>
      <c r="F55" s="3" t="e">
        <f>SUMIF(#REF!,"1-Favorable",Tableau_Lancer_la_requête_à_partir_de_Excel_Files10256[''81''])</f>
        <v>#REF!</v>
      </c>
    </row>
    <row r="56" spans="4:6" hidden="1" x14ac:dyDescent="0.25">
      <c r="D56" t="s">
        <v>51</v>
      </c>
      <c r="E56" s="3">
        <f>SUMIF(Tableau_Lancer_la_requête_à_partir_de_Excel_Files10256[Avis Prog],"1-Favorable",Tableau_Lancer_la_requête_à_partir_de_Excel_Files10256[''82''])</f>
        <v>954</v>
      </c>
      <c r="F56" s="3" t="e">
        <f>SUMIF(#REF!,"1-Favorable",Tableau_Lancer_la_requête_à_partir_de_Excel_Files10256[''82''])</f>
        <v>#REF!</v>
      </c>
    </row>
    <row r="57" spans="4:6" hidden="1" x14ac:dyDescent="0.25">
      <c r="D57" t="s">
        <v>52</v>
      </c>
      <c r="E57" s="3">
        <f>SUMIF(Tableau_Lancer_la_requête_à_partir_de_Excel_Files10256[Avis Prog],"1-Favorable",Tableau_Lancer_la_requête_à_partir_de_Excel_Files10256[''87''])</f>
        <v>0</v>
      </c>
      <c r="F57" s="3" t="e">
        <f>SUMIF(#REF!,"1-Favorable",Tableau_Lancer_la_requête_à_partir_de_Excel_Files10256[''87''])</f>
        <v>#REF!</v>
      </c>
    </row>
    <row r="58" spans="4:6" hidden="1" x14ac:dyDescent="0.25">
      <c r="D58" t="s">
        <v>53</v>
      </c>
      <c r="E58" s="3">
        <f>SUMIF(Tableau_Lancer_la_requête_à_partir_de_Excel_Files10256[Avis Prog],"1-Favorable",Tableau_Lancer_la_requête_à_partir_de_Excel_Files10256[''89''])</f>
        <v>0</v>
      </c>
      <c r="F58" s="3" t="e">
        <f>SUMIF(#REF!,"1-Favorable",Tableau_Lancer_la_requête_à_partir_de_Excel_Files10256[''89''])</f>
        <v>#REF!</v>
      </c>
    </row>
  </sheetData>
  <conditionalFormatting sqref="K7:K17 AP7:AP17">
    <cfRule type="cellIs" dxfId="652" priority="5" operator="equal">
      <formula>"6-Retiré/Abandon"</formula>
    </cfRule>
    <cfRule type="cellIs" dxfId="651" priority="6" operator="equal">
      <formula>"5-Défavorable"</formula>
    </cfRule>
    <cfRule type="cellIs" dxfId="650" priority="7" operator="equal">
      <formula>"4-Ajournement"</formula>
    </cfRule>
    <cfRule type="cellIs" dxfId="649" priority="8" operator="equal">
      <formula>"1-Favorable"</formula>
    </cfRule>
  </conditionalFormatting>
  <conditionalFormatting sqref="AR7 AR16:AR17 AR9:AR13">
    <cfRule type="cellIs" dxfId="648" priority="1" operator="equal">
      <formula>"6-Retiré/Abandon"</formula>
    </cfRule>
    <cfRule type="cellIs" dxfId="647" priority="2" operator="equal">
      <formula>"5-Défavorable"</formula>
    </cfRule>
    <cfRule type="cellIs" dxfId="646" priority="3" operator="equal">
      <formula>"4-Ajournement"</formula>
    </cfRule>
    <cfRule type="cellIs" dxfId="645" priority="4" operator="equal">
      <formula>"1-Favorable"</formula>
    </cfRule>
  </conditionalFormatting>
  <dataValidations count="1">
    <dataValidation type="list" allowBlank="1" showInputMessage="1" showErrorMessage="1" sqref="AP7:AP17">
      <formula1>"1-Favorable,4-Ajournement,5-Défavorable,6-Retiré/Abandon"</formula1>
    </dataValidation>
  </dataValidations>
  <printOptions horizontalCentered="1" verticalCentered="1"/>
  <pageMargins left="0.25" right="0.25" top="0.75" bottom="0.75" header="0.3" footer="0.3"/>
  <pageSetup paperSize="8" scale="63" fitToHeight="0" orientation="landscape" r:id="rId1"/>
  <drawing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D62"/>
  <sheetViews>
    <sheetView view="pageBreakPreview" topLeftCell="E3" zoomScale="80" zoomScaleNormal="60" zoomScaleSheetLayoutView="80" workbookViewId="0">
      <selection activeCell="AS14" sqref="AS14"/>
    </sheetView>
  </sheetViews>
  <sheetFormatPr baseColWidth="10" defaultRowHeight="15" outlineLevelCol="1" x14ac:dyDescent="0.25"/>
  <cols>
    <col min="1" max="1" width="17" style="3" customWidth="1"/>
    <col min="2" max="2" width="15.85546875" style="4" customWidth="1"/>
    <col min="3" max="3" width="48" style="5" customWidth="1"/>
    <col min="4" max="4" width="63.140625" style="3" customWidth="1"/>
    <col min="5" max="5" width="19.85546875" style="3" customWidth="1"/>
    <col min="6" max="6" width="19.7109375" style="6" bestFit="1" customWidth="1"/>
    <col min="7" max="7" width="13.5703125" style="3" customWidth="1"/>
    <col min="8" max="8" width="18.42578125" style="6" customWidth="1"/>
    <col min="9" max="9" width="14.5703125" style="3" customWidth="1"/>
    <col min="10" max="10" width="15" style="3" bestFit="1" customWidth="1"/>
    <col min="11" max="11" width="21.85546875" style="3" bestFit="1" customWidth="1"/>
    <col min="12" max="12" width="16.5703125" style="3" hidden="1" customWidth="1" outlineLevel="1"/>
    <col min="13" max="13" width="13.7109375" style="3" hidden="1" customWidth="1" outlineLevel="1"/>
    <col min="14" max="14" width="19.42578125" style="3" bestFit="1" customWidth="1" collapsed="1"/>
    <col min="15" max="15" width="18.28515625" style="3" hidden="1" customWidth="1" outlineLevel="1"/>
    <col min="16" max="16" width="18.42578125" style="3" hidden="1" customWidth="1" outlineLevel="1"/>
    <col min="17" max="17" width="11.7109375" style="3" hidden="1" customWidth="1" outlineLevel="1"/>
    <col min="18" max="18" width="16.140625" style="3" hidden="1" customWidth="1" outlineLevel="1"/>
    <col min="19" max="19" width="16.140625" style="3" bestFit="1" customWidth="1" collapsed="1"/>
    <col min="20" max="40" width="8.7109375" style="3" hidden="1" customWidth="1" outlineLevel="1"/>
    <col min="41" max="41" width="14.7109375" style="3" hidden="1" customWidth="1" outlineLevel="1"/>
    <col min="42" max="42" width="15.85546875" style="3" customWidth="1" collapsed="1"/>
    <col min="43" max="43" width="11.5703125" style="3" customWidth="1"/>
    <col min="44" max="44" width="15.42578125" style="3" hidden="1" customWidth="1"/>
    <col min="45" max="45" width="70.42578125" style="3" customWidth="1"/>
    <col min="46" max="46" width="15.42578125" style="3" bestFit="1" customWidth="1"/>
    <col min="47" max="47" width="17.28515625" style="3" bestFit="1" customWidth="1"/>
    <col min="48" max="48" width="9.42578125" style="3" customWidth="1"/>
    <col min="49" max="63" width="9.7109375" style="3" customWidth="1"/>
    <col min="64" max="64" width="15.140625" style="3" customWidth="1"/>
    <col min="65" max="65" width="14.5703125" style="3" customWidth="1"/>
    <col min="66" max="66" width="18.5703125" style="3" customWidth="1"/>
    <col min="67" max="67" width="12.5703125" style="3" customWidth="1"/>
    <col min="68" max="68" width="20.42578125" style="3" customWidth="1"/>
    <col min="69" max="69" width="12.7109375" style="3" customWidth="1"/>
    <col min="70" max="70" width="9.28515625" style="3" customWidth="1"/>
    <col min="71" max="71" width="14.28515625" style="3" customWidth="1"/>
    <col min="72" max="72" width="11.42578125" style="3" customWidth="1"/>
    <col min="73" max="73" width="9" style="3" customWidth="1"/>
    <col min="74" max="74" width="9.5703125" style="3" customWidth="1"/>
    <col min="75" max="75" width="11" style="3" customWidth="1"/>
    <col min="76" max="76" width="12.7109375" style="3" customWidth="1"/>
    <col min="77" max="79" width="9.7109375" style="3" customWidth="1"/>
    <col min="80" max="80" width="15.140625" style="3" customWidth="1"/>
    <col min="81" max="81" width="17.28515625" style="3" customWidth="1"/>
    <col min="82" max="82" width="49.28515625" style="4" customWidth="1"/>
    <col min="83" max="83" width="17.28515625" style="3" customWidth="1"/>
    <col min="84" max="16384" width="11.42578125" style="3"/>
  </cols>
  <sheetData>
    <row r="1" spans="1:82" ht="18.75" x14ac:dyDescent="0.3">
      <c r="A1" s="107" t="s">
        <v>250</v>
      </c>
      <c r="B1" s="107"/>
      <c r="C1" s="22">
        <v>42523</v>
      </c>
    </row>
    <row r="5" spans="1:82" x14ac:dyDescent="0.25">
      <c r="A5" s="1" t="s">
        <v>246</v>
      </c>
      <c r="B5" s="2"/>
    </row>
    <row r="6" spans="1:82" s="7" customFormat="1" ht="30" x14ac:dyDescent="0.25">
      <c r="A6" s="7" t="s">
        <v>261</v>
      </c>
      <c r="B6" s="7" t="s">
        <v>10</v>
      </c>
      <c r="C6" s="7" t="s">
        <v>1</v>
      </c>
      <c r="D6" s="7" t="s">
        <v>2</v>
      </c>
      <c r="E6" s="7" t="s">
        <v>72</v>
      </c>
      <c r="F6" s="7" t="s">
        <v>108</v>
      </c>
      <c r="G6" s="7" t="s">
        <v>73</v>
      </c>
      <c r="H6" s="7" t="s">
        <v>70</v>
      </c>
      <c r="I6" s="7" t="s">
        <v>109</v>
      </c>
      <c r="J6" s="7" t="s">
        <v>54</v>
      </c>
      <c r="K6" s="7" t="s">
        <v>129</v>
      </c>
      <c r="L6" s="7" t="s">
        <v>159</v>
      </c>
      <c r="M6" s="7" t="s">
        <v>27</v>
      </c>
      <c r="N6" s="7" t="s">
        <v>130</v>
      </c>
      <c r="O6" s="7" t="s">
        <v>30</v>
      </c>
      <c r="P6" s="7" t="s">
        <v>28</v>
      </c>
      <c r="Q6" s="7" t="s">
        <v>29</v>
      </c>
      <c r="R6" s="7" t="s">
        <v>31</v>
      </c>
      <c r="S6" s="7" t="s">
        <v>131</v>
      </c>
      <c r="T6" s="7" t="s">
        <v>32</v>
      </c>
      <c r="U6" s="7" t="s">
        <v>33</v>
      </c>
      <c r="V6" s="7" t="s">
        <v>34</v>
      </c>
      <c r="W6" s="7" t="s">
        <v>35</v>
      </c>
      <c r="X6" s="7" t="s">
        <v>36</v>
      </c>
      <c r="Y6" s="7" t="s">
        <v>37</v>
      </c>
      <c r="Z6" s="7" t="s">
        <v>38</v>
      </c>
      <c r="AA6" s="7" t="s">
        <v>39</v>
      </c>
      <c r="AB6" s="7" t="s">
        <v>40</v>
      </c>
      <c r="AC6" s="7" t="s">
        <v>41</v>
      </c>
      <c r="AD6" s="7" t="s">
        <v>42</v>
      </c>
      <c r="AE6" s="7" t="s">
        <v>43</v>
      </c>
      <c r="AF6" s="7" t="s">
        <v>44</v>
      </c>
      <c r="AG6" s="7" t="s">
        <v>45</v>
      </c>
      <c r="AH6" s="7" t="s">
        <v>46</v>
      </c>
      <c r="AI6" s="7" t="s">
        <v>47</v>
      </c>
      <c r="AJ6" s="7" t="s">
        <v>48</v>
      </c>
      <c r="AK6" s="7" t="s">
        <v>49</v>
      </c>
      <c r="AL6" s="7" t="s">
        <v>50</v>
      </c>
      <c r="AM6" s="7" t="s">
        <v>51</v>
      </c>
      <c r="AN6" s="7" t="s">
        <v>52</v>
      </c>
      <c r="AO6" s="7" t="s">
        <v>53</v>
      </c>
      <c r="AP6" s="7" t="s">
        <v>55</v>
      </c>
      <c r="AQ6" s="17" t="s">
        <v>110</v>
      </c>
      <c r="AS6" s="31" t="s">
        <v>128</v>
      </c>
    </row>
    <row r="7" spans="1:82" s="10" customFormat="1" ht="30" x14ac:dyDescent="0.25">
      <c r="A7" s="68" t="s">
        <v>258</v>
      </c>
      <c r="B7" s="13" t="s">
        <v>185</v>
      </c>
      <c r="C7" s="12" t="s">
        <v>186</v>
      </c>
      <c r="D7" s="12" t="s">
        <v>187</v>
      </c>
      <c r="E7" s="15">
        <v>212389.26</v>
      </c>
      <c r="F7" s="15">
        <f>Tableau_Lancer_la_requête_à_partir_de_Excel_Files102567[[#This Row],[Aide Massif]]+Tableau_Lancer_la_requête_à_partir_de_Excel_Files102567[[#This Row],[''Autre Public'']]</f>
        <v>186521.95</v>
      </c>
      <c r="G7" s="16">
        <f>Tableau_Lancer_la_requête_à_partir_de_Excel_Files102567[[#This Row],[Aide 
publique]]/Tableau_Lancer_la_requête_à_partir_de_Excel_Files102567[[#This Row],[''Coût total éligible'']]</f>
        <v>0.87820801296638074</v>
      </c>
      <c r="H7" s="15">
        <f>Tableau_Lancer_la_requête_à_partir_de_Excel_Files102567[[#This Row],[''FEDER'']]+Tableau_Lancer_la_requête_à_partir_de_Excel_Files102567[[#This Row],[Total Etat]]+Tableau_Lancer_la_requête_à_partir_de_Excel_Files102567[[#This Row],[Total Régions]]+Tableau_Lancer_la_requête_à_partir_de_Excel_Files102567[[#This Row],[Total Dpts]]</f>
        <v>186521.95</v>
      </c>
      <c r="I7" s="16">
        <f>Tableau_Lancer_la_requête_à_partir_de_Excel_Files102567[[#This Row],[Aide Massif]]/Tableau_Lancer_la_requête_à_partir_de_Excel_Files102567[[#This Row],[''Coût total éligible'']]</f>
        <v>0.87820801296638074</v>
      </c>
      <c r="J7" s="15">
        <v>104519.63</v>
      </c>
      <c r="K7" s="15">
        <f>Tableau_Lancer_la_requête_à_partir_de_Excel_Files102567[[#This Row],[''FNADT '']]+Tableau_Lancer_la_requête_à_partir_de_Excel_Files102567[[#This Row],[''Agriculture'']]</f>
        <v>19500</v>
      </c>
      <c r="L7" s="11">
        <v>19500</v>
      </c>
      <c r="M7" s="15"/>
      <c r="N7" s="15">
        <f>Tableau_Lancer_la_requête_à_partir_de_Excel_Files102567[[#This Row],[''ALPC'']]+Tableau_Lancer_la_requête_à_partir_de_Excel_Files102567[[#This Row],[''AURA'']]+Tableau_Lancer_la_requête_à_partir_de_Excel_Files102567[[#This Row],[''BFC'']]+Tableau_Lancer_la_requête_à_partir_de_Excel_Files102567[[#This Row],[''LRMP'']]</f>
        <v>50502.32</v>
      </c>
      <c r="O7" s="15"/>
      <c r="P7" s="15">
        <v>50502.32</v>
      </c>
      <c r="Q7" s="15"/>
      <c r="R7" s="15"/>
      <c r="S7" s="15">
        <f>Tableau_Lancer_la_requête_à_partir_de_Excel_Files102567[[#This Row],[''03'']]+Tableau_Lancer_la_requête_à_partir_de_Excel_Files102567[[#This Row],[''07'']]+Tableau_Lancer_la_requête_à_partir_de_Excel_Files102567[[#This Row],[''11'']]+Tableau_Lancer_la_requête_à_partir_de_Excel_Files102567[[#This Row],[''12'']]+Tableau_Lancer_la_requête_à_partir_de_Excel_Files102567[[#This Row],[''15'']]+Tableau_Lancer_la_requête_à_partir_de_Excel_Files102567[[#This Row],[''19'']]+Tableau_Lancer_la_requête_à_partir_de_Excel_Files102567[[#This Row],[''21'']]+Tableau_Lancer_la_requête_à_partir_de_Excel_Files102567[[#This Row],[''23'']]+Tableau_Lancer_la_requête_à_partir_de_Excel_Files102567[[#This Row],[''30'']]+Tableau_Lancer_la_requête_à_partir_de_Excel_Files102567[[#This Row],[''34'']]+Tableau_Lancer_la_requête_à_partir_de_Excel_Files102567[[#This Row],[''42'']]+Tableau_Lancer_la_requête_à_partir_de_Excel_Files102567[[#This Row],[''43'']]+Tableau_Lancer_la_requête_à_partir_de_Excel_Files102567[[#This Row],[''46'']]+Tableau_Lancer_la_requête_à_partir_de_Excel_Files102567[[#This Row],[''48'']]+Tableau_Lancer_la_requête_à_partir_de_Excel_Files102567[[#This Row],[''58'']]+Tableau_Lancer_la_requête_à_partir_de_Excel_Files102567[[#This Row],[''63'']]+Tableau_Lancer_la_requête_à_partir_de_Excel_Files102567[[#This Row],[''69'']]+Tableau_Lancer_la_requête_à_partir_de_Excel_Files102567[[#This Row],[''71'']]+Tableau_Lancer_la_requête_à_partir_de_Excel_Files102567[[#This Row],[''81'']]+Tableau_Lancer_la_requête_à_partir_de_Excel_Files102567[[#This Row],[''82'']]+Tableau_Lancer_la_requête_à_partir_de_Excel_Files102567[[#This Row],[''87'']]+Tableau_Lancer_la_requête_à_partir_de_Excel_Files102567[[#This Row],[''89'']]</f>
        <v>12000</v>
      </c>
      <c r="T7" s="15"/>
      <c r="U7" s="15">
        <v>12000</v>
      </c>
      <c r="V7" s="15"/>
      <c r="W7" s="15"/>
      <c r="X7" s="15"/>
      <c r="Y7" s="15"/>
      <c r="Z7" s="15"/>
      <c r="AA7" s="15"/>
      <c r="AB7" s="15"/>
      <c r="AC7" s="15"/>
      <c r="AD7" s="15"/>
      <c r="AE7" s="15"/>
      <c r="AF7" s="15"/>
      <c r="AG7" s="15"/>
      <c r="AH7" s="15"/>
      <c r="AI7" s="15"/>
      <c r="AJ7" s="15"/>
      <c r="AK7" s="15"/>
      <c r="AL7" s="15"/>
      <c r="AM7" s="15"/>
      <c r="AN7" s="15"/>
      <c r="AO7" s="15"/>
      <c r="AP7" s="15">
        <v>0</v>
      </c>
      <c r="AQ7" s="11" t="s">
        <v>77</v>
      </c>
      <c r="AS7" s="24" t="s">
        <v>415</v>
      </c>
    </row>
    <row r="8" spans="1:82" s="10" customFormat="1" ht="30" x14ac:dyDescent="0.25">
      <c r="A8" s="69" t="s">
        <v>258</v>
      </c>
      <c r="B8" s="6" t="s">
        <v>185</v>
      </c>
      <c r="C8" s="5" t="s">
        <v>188</v>
      </c>
      <c r="D8" s="5" t="s">
        <v>189</v>
      </c>
      <c r="E8" s="8">
        <v>24998.12</v>
      </c>
      <c r="F8" s="8">
        <f>Tableau_Lancer_la_requête_à_partir_de_Excel_Files102567[[#This Row],[Aide Massif]]+Tableau_Lancer_la_requête_à_partir_de_Excel_Files102567[[#This Row],[''Autre Public'']]</f>
        <v>19748.059999999998</v>
      </c>
      <c r="G8" s="9">
        <f>Tableau_Lancer_la_requête_à_partir_de_Excel_Files102567[[#This Row],[Aide 
publique]]/Tableau_Lancer_la_requête_à_partir_de_Excel_Files102567[[#This Row],[''Coût total éligible'']]</f>
        <v>0.78998180663185869</v>
      </c>
      <c r="H8" s="15">
        <f>Tableau_Lancer_la_requête_à_partir_de_Excel_Files102567[[#This Row],[''FEDER'']]+Tableau_Lancer_la_requête_à_partir_de_Excel_Files102567[[#This Row],[Total Etat]]+Tableau_Lancer_la_requête_à_partir_de_Excel_Files102567[[#This Row],[Total Régions]]+Tableau_Lancer_la_requête_à_partir_de_Excel_Files102567[[#This Row],[Total Dpts]]</f>
        <v>19748.059999999998</v>
      </c>
      <c r="I8" s="9">
        <f>Tableau_Lancer_la_requête_à_partir_de_Excel_Files102567[[#This Row],[Aide Massif]]/Tableau_Lancer_la_requête_à_partir_de_Excel_Files102567[[#This Row],[''Coût total éligible'']]</f>
        <v>0.78998180663185869</v>
      </c>
      <c r="J8" s="8">
        <v>12249.06</v>
      </c>
      <c r="K8" s="8">
        <f>Tableau_Lancer_la_requête_à_partir_de_Excel_Files102567[[#This Row],[''FNADT '']]+Tableau_Lancer_la_requête_à_partir_de_Excel_Files102567[[#This Row],[''Agriculture'']]</f>
        <v>7499</v>
      </c>
      <c r="L8" s="10">
        <v>7499</v>
      </c>
      <c r="M8" s="8"/>
      <c r="N8" s="8">
        <f>Tableau_Lancer_la_requête_à_partir_de_Excel_Files102567[[#This Row],[''ALPC'']]+Tableau_Lancer_la_requête_à_partir_de_Excel_Files102567[[#This Row],[''AURA'']]+Tableau_Lancer_la_requête_à_partir_de_Excel_Files102567[[#This Row],[''BFC'']]+Tableau_Lancer_la_requête_à_partir_de_Excel_Files102567[[#This Row],[''LRMP'']]</f>
        <v>0</v>
      </c>
      <c r="O8" s="8"/>
      <c r="P8" s="8"/>
      <c r="Q8" s="8"/>
      <c r="R8" s="8"/>
      <c r="S8" s="8">
        <f>Tableau_Lancer_la_requête_à_partir_de_Excel_Files102567[[#This Row],[''03'']]+Tableau_Lancer_la_requête_à_partir_de_Excel_Files102567[[#This Row],[''07'']]+Tableau_Lancer_la_requête_à_partir_de_Excel_Files102567[[#This Row],[''11'']]+Tableau_Lancer_la_requête_à_partir_de_Excel_Files102567[[#This Row],[''12'']]+Tableau_Lancer_la_requête_à_partir_de_Excel_Files102567[[#This Row],[''15'']]+Tableau_Lancer_la_requête_à_partir_de_Excel_Files102567[[#This Row],[''19'']]+Tableau_Lancer_la_requête_à_partir_de_Excel_Files102567[[#This Row],[''21'']]+Tableau_Lancer_la_requête_à_partir_de_Excel_Files102567[[#This Row],[''23'']]+Tableau_Lancer_la_requête_à_partir_de_Excel_Files102567[[#This Row],[''30'']]+Tableau_Lancer_la_requête_à_partir_de_Excel_Files102567[[#This Row],[''34'']]+Tableau_Lancer_la_requête_à_partir_de_Excel_Files102567[[#This Row],[''42'']]+Tableau_Lancer_la_requête_à_partir_de_Excel_Files102567[[#This Row],[''43'']]+Tableau_Lancer_la_requête_à_partir_de_Excel_Files102567[[#This Row],[''46'']]+Tableau_Lancer_la_requête_à_partir_de_Excel_Files102567[[#This Row],[''48'']]+Tableau_Lancer_la_requête_à_partir_de_Excel_Files102567[[#This Row],[''58'']]+Tableau_Lancer_la_requête_à_partir_de_Excel_Files102567[[#This Row],[''63'']]+Tableau_Lancer_la_requête_à_partir_de_Excel_Files102567[[#This Row],[''69'']]+Tableau_Lancer_la_requête_à_partir_de_Excel_Files102567[[#This Row],[''71'']]+Tableau_Lancer_la_requête_à_partir_de_Excel_Files102567[[#This Row],[''81'']]+Tableau_Lancer_la_requête_à_partir_de_Excel_Files102567[[#This Row],[''82'']]+Tableau_Lancer_la_requête_à_partir_de_Excel_Files102567[[#This Row],[''87'']]+Tableau_Lancer_la_requête_à_partir_de_Excel_Files102567[[#This Row],[''89'']]</f>
        <v>0</v>
      </c>
      <c r="T8" s="8"/>
      <c r="U8" s="8"/>
      <c r="V8" s="8"/>
      <c r="W8" s="8"/>
      <c r="X8" s="8"/>
      <c r="Y8" s="8"/>
      <c r="Z8" s="8"/>
      <c r="AA8" s="8"/>
      <c r="AB8" s="8"/>
      <c r="AC8" s="8"/>
      <c r="AD8" s="8"/>
      <c r="AE8" s="8"/>
      <c r="AF8" s="8"/>
      <c r="AG8" s="8"/>
      <c r="AH8" s="8"/>
      <c r="AI8" s="8"/>
      <c r="AJ8" s="8"/>
      <c r="AK8" s="8"/>
      <c r="AL8" s="8"/>
      <c r="AM8" s="8"/>
      <c r="AN8" s="8"/>
      <c r="AO8" s="8"/>
      <c r="AP8" s="8">
        <v>0</v>
      </c>
      <c r="AQ8" s="10" t="s">
        <v>77</v>
      </c>
      <c r="AS8" s="24" t="s">
        <v>415</v>
      </c>
    </row>
    <row r="9" spans="1:82" s="10" customFormat="1" ht="30" x14ac:dyDescent="0.25">
      <c r="A9" s="68" t="s">
        <v>258</v>
      </c>
      <c r="B9" s="13" t="s">
        <v>201</v>
      </c>
      <c r="C9" s="12" t="s">
        <v>202</v>
      </c>
      <c r="D9" s="12" t="s">
        <v>203</v>
      </c>
      <c r="E9" s="15">
        <v>183505.01</v>
      </c>
      <c r="F9" s="15">
        <f>Tableau_Lancer_la_requête_à_partir_de_Excel_Files102567[[#This Row],[Aide Massif]]+Tableau_Lancer_la_requête_à_partir_de_Excel_Files102567[[#This Row],[''Autre Public'']]</f>
        <v>144179.44</v>
      </c>
      <c r="G9" s="16">
        <f>Tableau_Lancer_la_requête_à_partir_de_Excel_Files102567[[#This Row],[Aide 
publique]]/Tableau_Lancer_la_requête_à_partir_de_Excel_Files102567[[#This Row],[''Coût total éligible'']]</f>
        <v>0.78569756760319509</v>
      </c>
      <c r="H9" s="15">
        <f>Tableau_Lancer_la_requête_à_partir_de_Excel_Files102567[[#This Row],[''FEDER'']]+Tableau_Lancer_la_requête_à_partir_de_Excel_Files102567[[#This Row],[Total Etat]]+Tableau_Lancer_la_requête_à_partir_de_Excel_Files102567[[#This Row],[Total Régions]]+Tableau_Lancer_la_requête_à_partir_de_Excel_Files102567[[#This Row],[Total Dpts]]</f>
        <v>144179.44</v>
      </c>
      <c r="I9" s="16">
        <f>Tableau_Lancer_la_requête_à_partir_de_Excel_Files102567[[#This Row],[Aide Massif]]/Tableau_Lancer_la_requête_à_partir_de_Excel_Files102567[[#This Row],[''Coût total éligible'']]</f>
        <v>0.78569756760319509</v>
      </c>
      <c r="J9" s="15">
        <v>91750.5</v>
      </c>
      <c r="K9" s="15">
        <f>Tableau_Lancer_la_requête_à_partir_de_Excel_Files102567[[#This Row],[''FNADT '']]+Tableau_Lancer_la_requête_à_partir_de_Excel_Files102567[[#This Row],[''Agriculture'']]</f>
        <v>20464</v>
      </c>
      <c r="L9" s="11">
        <v>20464</v>
      </c>
      <c r="M9" s="15"/>
      <c r="N9" s="15">
        <f>Tableau_Lancer_la_requête_à_partir_de_Excel_Files102567[[#This Row],[''ALPC'']]+Tableau_Lancer_la_requête_à_partir_de_Excel_Files102567[[#This Row],[''AURA'']]+Tableau_Lancer_la_requête_à_partir_de_Excel_Files102567[[#This Row],[''BFC'']]+Tableau_Lancer_la_requête_à_partir_de_Excel_Files102567[[#This Row],[''LRMP'']]</f>
        <v>31964.94</v>
      </c>
      <c r="O9" s="15">
        <v>31964.94</v>
      </c>
      <c r="P9" s="15"/>
      <c r="Q9" s="15"/>
      <c r="R9" s="15"/>
      <c r="S9" s="15">
        <f>Tableau_Lancer_la_requête_à_partir_de_Excel_Files102567[[#This Row],[''03'']]+Tableau_Lancer_la_requête_à_partir_de_Excel_Files102567[[#This Row],[''07'']]+Tableau_Lancer_la_requête_à_partir_de_Excel_Files102567[[#This Row],[''11'']]+Tableau_Lancer_la_requête_à_partir_de_Excel_Files102567[[#This Row],[''12'']]+Tableau_Lancer_la_requête_à_partir_de_Excel_Files102567[[#This Row],[''15'']]+Tableau_Lancer_la_requête_à_partir_de_Excel_Files102567[[#This Row],[''19'']]+Tableau_Lancer_la_requête_à_partir_de_Excel_Files102567[[#This Row],[''21'']]+Tableau_Lancer_la_requête_à_partir_de_Excel_Files102567[[#This Row],[''23'']]+Tableau_Lancer_la_requête_à_partir_de_Excel_Files102567[[#This Row],[''30'']]+Tableau_Lancer_la_requête_à_partir_de_Excel_Files102567[[#This Row],[''34'']]+Tableau_Lancer_la_requête_à_partir_de_Excel_Files102567[[#This Row],[''42'']]+Tableau_Lancer_la_requête_à_partir_de_Excel_Files102567[[#This Row],[''43'']]+Tableau_Lancer_la_requête_à_partir_de_Excel_Files102567[[#This Row],[''46'']]+Tableau_Lancer_la_requête_à_partir_de_Excel_Files102567[[#This Row],[''48'']]+Tableau_Lancer_la_requête_à_partir_de_Excel_Files102567[[#This Row],[''58'']]+Tableau_Lancer_la_requête_à_partir_de_Excel_Files102567[[#This Row],[''63'']]+Tableau_Lancer_la_requête_à_partir_de_Excel_Files102567[[#This Row],[''69'']]+Tableau_Lancer_la_requête_à_partir_de_Excel_Files102567[[#This Row],[''71'']]+Tableau_Lancer_la_requête_à_partir_de_Excel_Files102567[[#This Row],[''81'']]+Tableau_Lancer_la_requête_à_partir_de_Excel_Files102567[[#This Row],[''82'']]+Tableau_Lancer_la_requête_à_partir_de_Excel_Files102567[[#This Row],[''87'']]+Tableau_Lancer_la_requête_à_partir_de_Excel_Files102567[[#This Row],[''89'']]</f>
        <v>0</v>
      </c>
      <c r="T9" s="15"/>
      <c r="U9" s="15"/>
      <c r="V9" s="15"/>
      <c r="W9" s="15"/>
      <c r="X9" s="15"/>
      <c r="Y9" s="15"/>
      <c r="Z9" s="15"/>
      <c r="AA9" s="15"/>
      <c r="AB9" s="15"/>
      <c r="AC9" s="15"/>
      <c r="AD9" s="15"/>
      <c r="AE9" s="15"/>
      <c r="AF9" s="15"/>
      <c r="AG9" s="15"/>
      <c r="AH9" s="15"/>
      <c r="AI9" s="15"/>
      <c r="AJ9" s="15"/>
      <c r="AK9" s="15"/>
      <c r="AL9" s="15"/>
      <c r="AM9" s="15"/>
      <c r="AN9" s="15"/>
      <c r="AO9" s="15"/>
      <c r="AP9" s="15">
        <v>0</v>
      </c>
      <c r="AQ9" s="11" t="s">
        <v>77</v>
      </c>
      <c r="AS9" s="24" t="s">
        <v>415</v>
      </c>
    </row>
    <row r="10" spans="1:82" s="10" customFormat="1" ht="30" x14ac:dyDescent="0.25">
      <c r="A10" s="69" t="s">
        <v>258</v>
      </c>
      <c r="B10" s="6" t="s">
        <v>207</v>
      </c>
      <c r="C10" s="5" t="s">
        <v>120</v>
      </c>
      <c r="D10" s="5" t="s">
        <v>208</v>
      </c>
      <c r="E10" s="8">
        <v>194470</v>
      </c>
      <c r="F10" s="8">
        <f>Tableau_Lancer_la_requête_à_partir_de_Excel_Files102567[[#This Row],[Aide Massif]]+Tableau_Lancer_la_requête_à_partir_de_Excel_Files102567[[#This Row],[''Autre Public'']]</f>
        <v>0</v>
      </c>
      <c r="G10" s="9">
        <f>Tableau_Lancer_la_requête_à_partir_de_Excel_Files102567[[#This Row],[Aide 
publique]]/Tableau_Lancer_la_requête_à_partir_de_Excel_Files102567[[#This Row],[''Coût total éligible'']]</f>
        <v>0</v>
      </c>
      <c r="H10" s="8">
        <f>Tableau_Lancer_la_requête_à_partir_de_Excel_Files102567[[#This Row],[''FEDER'']]+Tableau_Lancer_la_requête_à_partir_de_Excel_Files102567[[#This Row],[Total Etat]]+Tableau_Lancer_la_requête_à_partir_de_Excel_Files102567[[#This Row],[Total Régions]]+Tableau_Lancer_la_requête_à_partir_de_Excel_Files102567[[#This Row],[Total Dpts]]</f>
        <v>0</v>
      </c>
      <c r="I10" s="9">
        <f>Tableau_Lancer_la_requête_à_partir_de_Excel_Files102567[[#This Row],[Aide Massif]]/Tableau_Lancer_la_requête_à_partir_de_Excel_Files102567[[#This Row],[''Coût total éligible'']]</f>
        <v>0</v>
      </c>
      <c r="J10" s="8">
        <v>0</v>
      </c>
      <c r="K10" s="8">
        <f>Tableau_Lancer_la_requête_à_partir_de_Excel_Files102567[[#This Row],[''FNADT '']]+Tableau_Lancer_la_requête_à_partir_de_Excel_Files102567[[#This Row],[''Agriculture'']]</f>
        <v>0</v>
      </c>
      <c r="L10" s="8"/>
      <c r="M10" s="8"/>
      <c r="N10" s="8">
        <f>Tableau_Lancer_la_requête_à_partir_de_Excel_Files102567[[#This Row],[''ALPC'']]+Tableau_Lancer_la_requête_à_partir_de_Excel_Files102567[[#This Row],[''AURA'']]+Tableau_Lancer_la_requête_à_partir_de_Excel_Files102567[[#This Row],[''BFC'']]+Tableau_Lancer_la_requête_à_partir_de_Excel_Files102567[[#This Row],[''LRMP'']]</f>
        <v>0</v>
      </c>
      <c r="O10" s="8"/>
      <c r="P10" s="8"/>
      <c r="Q10" s="8">
        <v>0</v>
      </c>
      <c r="R10" s="8"/>
      <c r="S10" s="8">
        <f>Tableau_Lancer_la_requête_à_partir_de_Excel_Files102567[[#This Row],[''03'']]+Tableau_Lancer_la_requête_à_partir_de_Excel_Files102567[[#This Row],[''07'']]+Tableau_Lancer_la_requête_à_partir_de_Excel_Files102567[[#This Row],[''11'']]+Tableau_Lancer_la_requête_à_partir_de_Excel_Files102567[[#This Row],[''12'']]+Tableau_Lancer_la_requête_à_partir_de_Excel_Files102567[[#This Row],[''15'']]+Tableau_Lancer_la_requête_à_partir_de_Excel_Files102567[[#This Row],[''19'']]+Tableau_Lancer_la_requête_à_partir_de_Excel_Files102567[[#This Row],[''21'']]+Tableau_Lancer_la_requête_à_partir_de_Excel_Files102567[[#This Row],[''23'']]+Tableau_Lancer_la_requête_à_partir_de_Excel_Files102567[[#This Row],[''30'']]+Tableau_Lancer_la_requête_à_partir_de_Excel_Files102567[[#This Row],[''34'']]+Tableau_Lancer_la_requête_à_partir_de_Excel_Files102567[[#This Row],[''42'']]+Tableau_Lancer_la_requête_à_partir_de_Excel_Files102567[[#This Row],[''43'']]+Tableau_Lancer_la_requête_à_partir_de_Excel_Files102567[[#This Row],[''46'']]+Tableau_Lancer_la_requête_à_partir_de_Excel_Files102567[[#This Row],[''48'']]+Tableau_Lancer_la_requête_à_partir_de_Excel_Files102567[[#This Row],[''58'']]+Tableau_Lancer_la_requête_à_partir_de_Excel_Files102567[[#This Row],[''63'']]+Tableau_Lancer_la_requête_à_partir_de_Excel_Files102567[[#This Row],[''69'']]+Tableau_Lancer_la_requête_à_partir_de_Excel_Files102567[[#This Row],[''71'']]+Tableau_Lancer_la_requête_à_partir_de_Excel_Files102567[[#This Row],[''81'']]+Tableau_Lancer_la_requête_à_partir_de_Excel_Files102567[[#This Row],[''82'']]+Tableau_Lancer_la_requête_à_partir_de_Excel_Files102567[[#This Row],[''87'']]+Tableau_Lancer_la_requête_à_partir_de_Excel_Files102567[[#This Row],[''89'']]</f>
        <v>0</v>
      </c>
      <c r="T10" s="8"/>
      <c r="U10" s="8"/>
      <c r="V10" s="8"/>
      <c r="W10" s="8"/>
      <c r="X10" s="8"/>
      <c r="Y10" s="8"/>
      <c r="Z10" s="8"/>
      <c r="AA10" s="8"/>
      <c r="AB10" s="8"/>
      <c r="AC10" s="8"/>
      <c r="AD10" s="8"/>
      <c r="AE10" s="8"/>
      <c r="AF10" s="8"/>
      <c r="AG10" s="8"/>
      <c r="AH10" s="8"/>
      <c r="AI10" s="8"/>
      <c r="AJ10" s="8"/>
      <c r="AK10" s="8"/>
      <c r="AL10" s="8"/>
      <c r="AM10" s="8"/>
      <c r="AN10" s="8"/>
      <c r="AO10" s="8"/>
      <c r="AP10" s="8">
        <v>0</v>
      </c>
      <c r="AQ10" s="8" t="s">
        <v>111</v>
      </c>
      <c r="AS10" s="26" t="s">
        <v>252</v>
      </c>
    </row>
    <row r="11" spans="1:82" s="10" customFormat="1" ht="30" x14ac:dyDescent="0.25">
      <c r="A11" s="69" t="s">
        <v>258</v>
      </c>
      <c r="B11" s="6" t="s">
        <v>190</v>
      </c>
      <c r="C11" s="5" t="s">
        <v>191</v>
      </c>
      <c r="D11" s="5" t="s">
        <v>192</v>
      </c>
      <c r="E11" s="8">
        <v>47562.400000000001</v>
      </c>
      <c r="F11" s="8">
        <f>Tableau_Lancer_la_requête_à_partir_de_Excel_Files102567[[#This Row],[Aide Massif]]+Tableau_Lancer_la_requête_à_partir_de_Excel_Files102567[[#This Row],[''Autre Public'']]</f>
        <v>23781.200000000001</v>
      </c>
      <c r="G11" s="9">
        <f>Tableau_Lancer_la_requête_à_partir_de_Excel_Files102567[[#This Row],[Aide 
publique]]/Tableau_Lancer_la_requête_à_partir_de_Excel_Files102567[[#This Row],[''Coût total éligible'']]</f>
        <v>0.5</v>
      </c>
      <c r="H11" s="8">
        <f>Tableau_Lancer_la_requête_à_partir_de_Excel_Files102567[[#This Row],[''FEDER'']]+Tableau_Lancer_la_requête_à_partir_de_Excel_Files102567[[#This Row],[Total Etat]]+Tableau_Lancer_la_requête_à_partir_de_Excel_Files102567[[#This Row],[Total Régions]]+Tableau_Lancer_la_requête_à_partir_de_Excel_Files102567[[#This Row],[Total Dpts]]</f>
        <v>23781.200000000001</v>
      </c>
      <c r="I11" s="9">
        <f>Tableau_Lancer_la_requête_à_partir_de_Excel_Files102567[[#This Row],[Aide Massif]]/Tableau_Lancer_la_requête_à_partir_de_Excel_Files102567[[#This Row],[''Coût total éligible'']]</f>
        <v>0.5</v>
      </c>
      <c r="J11" s="8">
        <v>23781.200000000001</v>
      </c>
      <c r="K11" s="8">
        <f>Tableau_Lancer_la_requête_à_partir_de_Excel_Files102567[[#This Row],[''FNADT '']]+Tableau_Lancer_la_requête_à_partir_de_Excel_Files102567[[#This Row],[''Agriculture'']]</f>
        <v>0</v>
      </c>
      <c r="L11" s="8"/>
      <c r="M11" s="8"/>
      <c r="N11" s="8">
        <f>Tableau_Lancer_la_requête_à_partir_de_Excel_Files102567[[#This Row],[''ALPC'']]+Tableau_Lancer_la_requête_à_partir_de_Excel_Files102567[[#This Row],[''AURA'']]+Tableau_Lancer_la_requête_à_partir_de_Excel_Files102567[[#This Row],[''BFC'']]+Tableau_Lancer_la_requête_à_partir_de_Excel_Files102567[[#This Row],[''LRMP'']]</f>
        <v>0</v>
      </c>
      <c r="O11" s="8"/>
      <c r="P11" s="8"/>
      <c r="Q11" s="8"/>
      <c r="R11" s="8"/>
      <c r="S11" s="8">
        <f>Tableau_Lancer_la_requête_à_partir_de_Excel_Files102567[[#This Row],[''03'']]+Tableau_Lancer_la_requête_à_partir_de_Excel_Files102567[[#This Row],[''07'']]+Tableau_Lancer_la_requête_à_partir_de_Excel_Files102567[[#This Row],[''11'']]+Tableau_Lancer_la_requête_à_partir_de_Excel_Files102567[[#This Row],[''12'']]+Tableau_Lancer_la_requête_à_partir_de_Excel_Files102567[[#This Row],[''15'']]+Tableau_Lancer_la_requête_à_partir_de_Excel_Files102567[[#This Row],[''19'']]+Tableau_Lancer_la_requête_à_partir_de_Excel_Files102567[[#This Row],[''21'']]+Tableau_Lancer_la_requête_à_partir_de_Excel_Files102567[[#This Row],[''23'']]+Tableau_Lancer_la_requête_à_partir_de_Excel_Files102567[[#This Row],[''30'']]+Tableau_Lancer_la_requête_à_partir_de_Excel_Files102567[[#This Row],[''34'']]+Tableau_Lancer_la_requête_à_partir_de_Excel_Files102567[[#This Row],[''42'']]+Tableau_Lancer_la_requête_à_partir_de_Excel_Files102567[[#This Row],[''43'']]+Tableau_Lancer_la_requête_à_partir_de_Excel_Files102567[[#This Row],[''46'']]+Tableau_Lancer_la_requête_à_partir_de_Excel_Files102567[[#This Row],[''48'']]+Tableau_Lancer_la_requête_à_partir_de_Excel_Files102567[[#This Row],[''58'']]+Tableau_Lancer_la_requête_à_partir_de_Excel_Files102567[[#This Row],[''63'']]+Tableau_Lancer_la_requête_à_partir_de_Excel_Files102567[[#This Row],[''69'']]+Tableau_Lancer_la_requête_à_partir_de_Excel_Files102567[[#This Row],[''71'']]+Tableau_Lancer_la_requête_à_partir_de_Excel_Files102567[[#This Row],[''81'']]+Tableau_Lancer_la_requête_à_partir_de_Excel_Files102567[[#This Row],[''82'']]+Tableau_Lancer_la_requête_à_partir_de_Excel_Files102567[[#This Row],[''87'']]+Tableau_Lancer_la_requête_à_partir_de_Excel_Files102567[[#This Row],[''89'']]</f>
        <v>0</v>
      </c>
      <c r="T11" s="8"/>
      <c r="U11" s="8"/>
      <c r="V11" s="8"/>
      <c r="W11" s="8"/>
      <c r="X11" s="8"/>
      <c r="Y11" s="8"/>
      <c r="Z11" s="8"/>
      <c r="AA11" s="8"/>
      <c r="AB11" s="8"/>
      <c r="AC11" s="8"/>
      <c r="AD11" s="8"/>
      <c r="AE11" s="8"/>
      <c r="AF11" s="8"/>
      <c r="AG11" s="8"/>
      <c r="AH11" s="8"/>
      <c r="AI11" s="8"/>
      <c r="AJ11" s="8"/>
      <c r="AK11" s="8"/>
      <c r="AL11" s="8"/>
      <c r="AM11" s="8"/>
      <c r="AN11" s="8"/>
      <c r="AO11" s="8"/>
      <c r="AP11" s="8">
        <v>0</v>
      </c>
      <c r="AQ11" s="8" t="s">
        <v>111</v>
      </c>
      <c r="AS11" s="24" t="s">
        <v>253</v>
      </c>
    </row>
    <row r="12" spans="1:82" ht="30" x14ac:dyDescent="0.25">
      <c r="A12" s="69" t="s">
        <v>258</v>
      </c>
      <c r="B12" s="6" t="s">
        <v>193</v>
      </c>
      <c r="C12" s="5" t="s">
        <v>194</v>
      </c>
      <c r="D12" s="5" t="s">
        <v>195</v>
      </c>
      <c r="E12" s="8">
        <v>112000</v>
      </c>
      <c r="F12" s="8">
        <f>Tableau_Lancer_la_requête_à_partir_de_Excel_Files102567[[#This Row],[Aide Massif]]+Tableau_Lancer_la_requête_à_partir_de_Excel_Files102567[[#This Row],[''Autre Public'']]</f>
        <v>89600</v>
      </c>
      <c r="G12" s="9">
        <f>Tableau_Lancer_la_requête_à_partir_de_Excel_Files102567[[#This Row],[Aide 
publique]]/Tableau_Lancer_la_requête_à_partir_de_Excel_Files102567[[#This Row],[''Coût total éligible'']]</f>
        <v>0.8</v>
      </c>
      <c r="H12" s="8">
        <f>Tableau_Lancer_la_requête_à_partir_de_Excel_Files102567[[#This Row],[''FEDER'']]+Tableau_Lancer_la_requête_à_partir_de_Excel_Files102567[[#This Row],[Total Etat]]+Tableau_Lancer_la_requête_à_partir_de_Excel_Files102567[[#This Row],[Total Régions]]+Tableau_Lancer_la_requête_à_partir_de_Excel_Files102567[[#This Row],[Total Dpts]]</f>
        <v>89600</v>
      </c>
      <c r="I12" s="9">
        <f>Tableau_Lancer_la_requête_à_partir_de_Excel_Files102567[[#This Row],[Aide Massif]]/Tableau_Lancer_la_requête_à_partir_de_Excel_Files102567[[#This Row],[''Coût total éligible'']]</f>
        <v>0.8</v>
      </c>
      <c r="J12" s="8">
        <v>56000</v>
      </c>
      <c r="K12" s="8">
        <f>Tableau_Lancer_la_requête_à_partir_de_Excel_Files102567[[#This Row],[''FNADT '']]+Tableau_Lancer_la_requête_à_partir_de_Excel_Files102567[[#This Row],[''Agriculture'']]</f>
        <v>0</v>
      </c>
      <c r="L12" s="8"/>
      <c r="M12" s="8"/>
      <c r="N12" s="8">
        <f>Tableau_Lancer_la_requête_à_partir_de_Excel_Files102567[[#This Row],[''ALPC'']]+Tableau_Lancer_la_requête_à_partir_de_Excel_Files102567[[#This Row],[''AURA'']]+Tableau_Lancer_la_requête_à_partir_de_Excel_Files102567[[#This Row],[''BFC'']]+Tableau_Lancer_la_requête_à_partir_de_Excel_Files102567[[#This Row],[''LRMP'']]</f>
        <v>33600</v>
      </c>
      <c r="O12" s="8"/>
      <c r="P12" s="8">
        <v>33600</v>
      </c>
      <c r="Q12" s="8"/>
      <c r="R12" s="8"/>
      <c r="S12" s="8">
        <f>Tableau_Lancer_la_requête_à_partir_de_Excel_Files102567[[#This Row],[''03'']]+Tableau_Lancer_la_requête_à_partir_de_Excel_Files102567[[#This Row],[''07'']]+Tableau_Lancer_la_requête_à_partir_de_Excel_Files102567[[#This Row],[''11'']]+Tableau_Lancer_la_requête_à_partir_de_Excel_Files102567[[#This Row],[''12'']]+Tableau_Lancer_la_requête_à_partir_de_Excel_Files102567[[#This Row],[''15'']]+Tableau_Lancer_la_requête_à_partir_de_Excel_Files102567[[#This Row],[''19'']]+Tableau_Lancer_la_requête_à_partir_de_Excel_Files102567[[#This Row],[''21'']]+Tableau_Lancer_la_requête_à_partir_de_Excel_Files102567[[#This Row],[''23'']]+Tableau_Lancer_la_requête_à_partir_de_Excel_Files102567[[#This Row],[''30'']]+Tableau_Lancer_la_requête_à_partir_de_Excel_Files102567[[#This Row],[''34'']]+Tableau_Lancer_la_requête_à_partir_de_Excel_Files102567[[#This Row],[''42'']]+Tableau_Lancer_la_requête_à_partir_de_Excel_Files102567[[#This Row],[''43'']]+Tableau_Lancer_la_requête_à_partir_de_Excel_Files102567[[#This Row],[''46'']]+Tableau_Lancer_la_requête_à_partir_de_Excel_Files102567[[#This Row],[''48'']]+Tableau_Lancer_la_requête_à_partir_de_Excel_Files102567[[#This Row],[''58'']]+Tableau_Lancer_la_requête_à_partir_de_Excel_Files102567[[#This Row],[''63'']]+Tableau_Lancer_la_requête_à_partir_de_Excel_Files102567[[#This Row],[''69'']]+Tableau_Lancer_la_requête_à_partir_de_Excel_Files102567[[#This Row],[''71'']]+Tableau_Lancer_la_requête_à_partir_de_Excel_Files102567[[#This Row],[''81'']]+Tableau_Lancer_la_requête_à_partir_de_Excel_Files102567[[#This Row],[''82'']]+Tableau_Lancer_la_requête_à_partir_de_Excel_Files102567[[#This Row],[''87'']]+Tableau_Lancer_la_requête_à_partir_de_Excel_Files102567[[#This Row],[''89'']]</f>
        <v>0</v>
      </c>
      <c r="T12" s="8"/>
      <c r="U12" s="8"/>
      <c r="V12" s="8"/>
      <c r="W12" s="8"/>
      <c r="X12" s="8"/>
      <c r="Y12" s="8"/>
      <c r="Z12" s="8"/>
      <c r="AA12" s="8"/>
      <c r="AB12" s="8"/>
      <c r="AC12" s="8"/>
      <c r="AD12" s="8"/>
      <c r="AE12" s="8"/>
      <c r="AF12" s="8"/>
      <c r="AG12" s="8"/>
      <c r="AH12" s="8"/>
      <c r="AI12" s="8"/>
      <c r="AJ12" s="8"/>
      <c r="AK12" s="8"/>
      <c r="AL12" s="8"/>
      <c r="AM12" s="8"/>
      <c r="AN12" s="8"/>
      <c r="AO12" s="8"/>
      <c r="AP12" s="8">
        <v>0</v>
      </c>
      <c r="AQ12" s="8" t="s">
        <v>111</v>
      </c>
      <c r="AS12" s="26" t="s">
        <v>253</v>
      </c>
      <c r="BY12" s="4"/>
      <c r="CD12" s="3"/>
    </row>
    <row r="13" spans="1:82" ht="30" x14ac:dyDescent="0.25">
      <c r="A13" s="69" t="s">
        <v>258</v>
      </c>
      <c r="B13" s="6" t="s">
        <v>204</v>
      </c>
      <c r="C13" s="5" t="s">
        <v>205</v>
      </c>
      <c r="D13" s="5" t="s">
        <v>206</v>
      </c>
      <c r="E13" s="8">
        <v>128056.29</v>
      </c>
      <c r="F13" s="8">
        <f>Tableau_Lancer_la_requête_à_partir_de_Excel_Files102567[[#This Row],[Aide Massif]]+Tableau_Lancer_la_requête_à_partir_de_Excel_Files102567[[#This Row],[''Autre Public'']]</f>
        <v>91547.33</v>
      </c>
      <c r="G13" s="9">
        <f>Tableau_Lancer_la_requête_à_partir_de_Excel_Files102567[[#This Row],[Aide 
publique]]/Tableau_Lancer_la_requête_à_partir_de_Excel_Files102567[[#This Row],[''Coût total éligible'']]</f>
        <v>0.71489912756335516</v>
      </c>
      <c r="H13" s="8">
        <f>Tableau_Lancer_la_requête_à_partir_de_Excel_Files102567[[#This Row],[''FEDER'']]+Tableau_Lancer_la_requête_à_partir_de_Excel_Files102567[[#This Row],[Total Etat]]+Tableau_Lancer_la_requête_à_partir_de_Excel_Files102567[[#This Row],[Total Régions]]+Tableau_Lancer_la_requête_à_partir_de_Excel_Files102567[[#This Row],[Total Dpts]]</f>
        <v>91547.33</v>
      </c>
      <c r="I13" s="9">
        <f>Tableau_Lancer_la_requête_à_partir_de_Excel_Files102567[[#This Row],[Aide Massif]]/Tableau_Lancer_la_requête_à_partir_de_Excel_Files102567[[#This Row],[''Coût total éligible'']]</f>
        <v>0.71489912756335516</v>
      </c>
      <c r="J13" s="8">
        <v>53125.33</v>
      </c>
      <c r="K13" s="8">
        <f>Tableau_Lancer_la_requête_à_partir_de_Excel_Files102567[[#This Row],[''FNADT '']]+Tableau_Lancer_la_requête_à_partir_de_Excel_Files102567[[#This Row],[''Agriculture'']]</f>
        <v>20682</v>
      </c>
      <c r="L13" s="8">
        <v>20682</v>
      </c>
      <c r="M13" s="8"/>
      <c r="N13" s="8">
        <f>Tableau_Lancer_la_requête_à_partir_de_Excel_Files102567[[#This Row],[''ALPC'']]+Tableau_Lancer_la_requête_à_partir_de_Excel_Files102567[[#This Row],[''AURA'']]+Tableau_Lancer_la_requête_à_partir_de_Excel_Files102567[[#This Row],[''BFC'']]+Tableau_Lancer_la_requête_à_partir_de_Excel_Files102567[[#This Row],[''LRMP'']]</f>
        <v>17740</v>
      </c>
      <c r="O13" s="8"/>
      <c r="P13" s="8">
        <v>17740</v>
      </c>
      <c r="Q13" s="8"/>
      <c r="R13" s="8"/>
      <c r="S13" s="8">
        <f>Tableau_Lancer_la_requête_à_partir_de_Excel_Files102567[[#This Row],[''03'']]+Tableau_Lancer_la_requête_à_partir_de_Excel_Files102567[[#This Row],[''07'']]+Tableau_Lancer_la_requête_à_partir_de_Excel_Files102567[[#This Row],[''11'']]+Tableau_Lancer_la_requête_à_partir_de_Excel_Files102567[[#This Row],[''12'']]+Tableau_Lancer_la_requête_à_partir_de_Excel_Files102567[[#This Row],[''15'']]+Tableau_Lancer_la_requête_à_partir_de_Excel_Files102567[[#This Row],[''19'']]+Tableau_Lancer_la_requête_à_partir_de_Excel_Files102567[[#This Row],[''21'']]+Tableau_Lancer_la_requête_à_partir_de_Excel_Files102567[[#This Row],[''23'']]+Tableau_Lancer_la_requête_à_partir_de_Excel_Files102567[[#This Row],[''30'']]+Tableau_Lancer_la_requête_à_partir_de_Excel_Files102567[[#This Row],[''34'']]+Tableau_Lancer_la_requête_à_partir_de_Excel_Files102567[[#This Row],[''42'']]+Tableau_Lancer_la_requête_à_partir_de_Excel_Files102567[[#This Row],[''43'']]+Tableau_Lancer_la_requête_à_partir_de_Excel_Files102567[[#This Row],[''46'']]+Tableau_Lancer_la_requête_à_partir_de_Excel_Files102567[[#This Row],[''48'']]+Tableau_Lancer_la_requête_à_partir_de_Excel_Files102567[[#This Row],[''58'']]+Tableau_Lancer_la_requête_à_partir_de_Excel_Files102567[[#This Row],[''63'']]+Tableau_Lancer_la_requête_à_partir_de_Excel_Files102567[[#This Row],[''69'']]+Tableau_Lancer_la_requête_à_partir_de_Excel_Files102567[[#This Row],[''71'']]+Tableau_Lancer_la_requête_à_partir_de_Excel_Files102567[[#This Row],[''81'']]+Tableau_Lancer_la_requête_à_partir_de_Excel_Files102567[[#This Row],[''82'']]+Tableau_Lancer_la_requête_à_partir_de_Excel_Files102567[[#This Row],[''87'']]+Tableau_Lancer_la_requête_à_partir_de_Excel_Files102567[[#This Row],[''89'']]</f>
        <v>0</v>
      </c>
      <c r="T13" s="8"/>
      <c r="U13" s="8"/>
      <c r="V13" s="8"/>
      <c r="W13" s="8"/>
      <c r="X13" s="8"/>
      <c r="Y13" s="8"/>
      <c r="Z13" s="8"/>
      <c r="AA13" s="8"/>
      <c r="AB13" s="8"/>
      <c r="AC13" s="8"/>
      <c r="AD13" s="8"/>
      <c r="AE13" s="8"/>
      <c r="AF13" s="8"/>
      <c r="AG13" s="8"/>
      <c r="AH13" s="8"/>
      <c r="AI13" s="8"/>
      <c r="AJ13" s="8"/>
      <c r="AK13" s="8"/>
      <c r="AL13" s="8"/>
      <c r="AM13" s="8"/>
      <c r="AN13" s="8"/>
      <c r="AO13" s="8"/>
      <c r="AP13" s="8">
        <v>0</v>
      </c>
      <c r="AQ13" s="8" t="s">
        <v>77</v>
      </c>
      <c r="AS13" s="24" t="s">
        <v>415</v>
      </c>
      <c r="BY13" s="4"/>
      <c r="CD13" s="3"/>
    </row>
    <row r="14" spans="1:82" ht="30" x14ac:dyDescent="0.25">
      <c r="A14" s="68" t="s">
        <v>259</v>
      </c>
      <c r="B14" s="13" t="s">
        <v>243</v>
      </c>
      <c r="C14" s="12" t="s">
        <v>244</v>
      </c>
      <c r="D14" s="106" t="s">
        <v>245</v>
      </c>
      <c r="E14" s="65">
        <v>77064.34</v>
      </c>
      <c r="F14" s="65">
        <f>Tableau_Lancer_la_requête_à_partir_de_Excel_Files102567[[#This Row],[Aide Massif]]+Tableau_Lancer_la_requête_à_partir_de_Excel_Files102567[[#This Row],[''Autre Public'']]</f>
        <v>43900</v>
      </c>
      <c r="G14" s="66">
        <f>Tableau_Lancer_la_requête_à_partir_de_Excel_Files102567[[#This Row],[Aide 
publique]]/Tableau_Lancer_la_requête_à_partir_de_Excel_Files102567[[#This Row],[''Coût total éligible'']]</f>
        <v>0.5696538762286163</v>
      </c>
      <c r="H14" s="65">
        <f>Tableau_Lancer_la_requête_à_partir_de_Excel_Files102567[[#This Row],[''FEDER'']]+Tableau_Lancer_la_requête_à_partir_de_Excel_Files102567[[#This Row],[Total Etat]]+Tableau_Lancer_la_requête_à_partir_de_Excel_Files102567[[#This Row],[Total Régions]]+Tableau_Lancer_la_requête_à_partir_de_Excel_Files102567[[#This Row],[Total Dpts]]</f>
        <v>43900</v>
      </c>
      <c r="I14" s="66">
        <f>Tableau_Lancer_la_requête_à_partir_de_Excel_Files102567[[#This Row],[Aide Massif]]/Tableau_Lancer_la_requête_à_partir_de_Excel_Files102567[[#This Row],[''Coût total éligible'']]</f>
        <v>0.5696538762286163</v>
      </c>
      <c r="J14" s="65">
        <v>0</v>
      </c>
      <c r="K14" s="65">
        <f>Tableau_Lancer_la_requête_à_partir_de_Excel_Files102567[[#This Row],[''FNADT '']]+Tableau_Lancer_la_requête_à_partir_de_Excel_Files102567[[#This Row],[''Agriculture'']]</f>
        <v>28900</v>
      </c>
      <c r="L14" s="67">
        <v>28900</v>
      </c>
      <c r="M14" s="65"/>
      <c r="N14" s="65">
        <f>Tableau_Lancer_la_requête_à_partir_de_Excel_Files102567[[#This Row],[''ALPC'']]+Tableau_Lancer_la_requête_à_partir_de_Excel_Files102567[[#This Row],[''AURA'']]+Tableau_Lancer_la_requête_à_partir_de_Excel_Files102567[[#This Row],[''BFC'']]+Tableau_Lancer_la_requête_à_partir_de_Excel_Files102567[[#This Row],[''LRMP'']]</f>
        <v>15000</v>
      </c>
      <c r="O14" s="65">
        <v>5000</v>
      </c>
      <c r="P14" s="65">
        <v>5000</v>
      </c>
      <c r="Q14" s="65"/>
      <c r="R14" s="65">
        <v>5000</v>
      </c>
      <c r="S14" s="65">
        <f>Tableau_Lancer_la_requête_à_partir_de_Excel_Files102567[[#This Row],[''03'']]+Tableau_Lancer_la_requête_à_partir_de_Excel_Files102567[[#This Row],[''07'']]+Tableau_Lancer_la_requête_à_partir_de_Excel_Files102567[[#This Row],[''11'']]+Tableau_Lancer_la_requête_à_partir_de_Excel_Files102567[[#This Row],[''12'']]+Tableau_Lancer_la_requête_à_partir_de_Excel_Files102567[[#This Row],[''15'']]+Tableau_Lancer_la_requête_à_partir_de_Excel_Files102567[[#This Row],[''19'']]+Tableau_Lancer_la_requête_à_partir_de_Excel_Files102567[[#This Row],[''21'']]+Tableau_Lancer_la_requête_à_partir_de_Excel_Files102567[[#This Row],[''23'']]+Tableau_Lancer_la_requête_à_partir_de_Excel_Files102567[[#This Row],[''30'']]+Tableau_Lancer_la_requête_à_partir_de_Excel_Files102567[[#This Row],[''34'']]+Tableau_Lancer_la_requête_à_partir_de_Excel_Files102567[[#This Row],[''42'']]+Tableau_Lancer_la_requête_à_partir_de_Excel_Files102567[[#This Row],[''43'']]+Tableau_Lancer_la_requête_à_partir_de_Excel_Files102567[[#This Row],[''46'']]+Tableau_Lancer_la_requête_à_partir_de_Excel_Files102567[[#This Row],[''48'']]+Tableau_Lancer_la_requête_à_partir_de_Excel_Files102567[[#This Row],[''58'']]+Tableau_Lancer_la_requête_à_partir_de_Excel_Files102567[[#This Row],[''63'']]+Tableau_Lancer_la_requête_à_partir_de_Excel_Files102567[[#This Row],[''69'']]+Tableau_Lancer_la_requête_à_partir_de_Excel_Files102567[[#This Row],[''71'']]+Tableau_Lancer_la_requête_à_partir_de_Excel_Files102567[[#This Row],[''81'']]+Tableau_Lancer_la_requête_à_partir_de_Excel_Files102567[[#This Row],[''82'']]+Tableau_Lancer_la_requête_à_partir_de_Excel_Files102567[[#This Row],[''87'']]+Tableau_Lancer_la_requête_à_partir_de_Excel_Files102567[[#This Row],[''89'']]</f>
        <v>0</v>
      </c>
      <c r="T14" s="65"/>
      <c r="U14" s="65"/>
      <c r="V14" s="65"/>
      <c r="W14" s="65"/>
      <c r="X14" s="65"/>
      <c r="Y14" s="65"/>
      <c r="Z14" s="65"/>
      <c r="AA14" s="65"/>
      <c r="AB14" s="65"/>
      <c r="AC14" s="65"/>
      <c r="AD14" s="65"/>
      <c r="AE14" s="65"/>
      <c r="AF14" s="65"/>
      <c r="AG14" s="65"/>
      <c r="AH14" s="65"/>
      <c r="AI14" s="65"/>
      <c r="AJ14" s="65"/>
      <c r="AK14" s="65"/>
      <c r="AL14" s="65"/>
      <c r="AM14" s="65"/>
      <c r="AN14" s="65"/>
      <c r="AO14" s="65"/>
      <c r="AP14" s="65">
        <v>0</v>
      </c>
      <c r="AQ14" s="11" t="s">
        <v>77</v>
      </c>
      <c r="AS14" s="27"/>
      <c r="AT14" s="3" t="s">
        <v>345</v>
      </c>
      <c r="BY14" s="4"/>
      <c r="CD14" s="3"/>
    </row>
    <row r="15" spans="1:82" ht="30" x14ac:dyDescent="0.25">
      <c r="A15" s="68" t="s">
        <v>259</v>
      </c>
      <c r="B15" s="13" t="s">
        <v>235</v>
      </c>
      <c r="C15" s="12" t="s">
        <v>236</v>
      </c>
      <c r="D15" s="12" t="s">
        <v>237</v>
      </c>
      <c r="E15" s="15">
        <v>65604.92</v>
      </c>
      <c r="F15" s="15">
        <f>Tableau_Lancer_la_requête_à_partir_de_Excel_Files102567[[#This Row],[Aide Massif]]+Tableau_Lancer_la_requête_à_partir_de_Excel_Files102567[[#This Row],[''Autre Public'']]</f>
        <v>47010.46</v>
      </c>
      <c r="G15" s="16">
        <f>Tableau_Lancer_la_requête_à_partir_de_Excel_Files102567[[#This Row],[Aide 
publique]]/Tableau_Lancer_la_requête_à_partir_de_Excel_Files102567[[#This Row],[''Coût total éligible'']]</f>
        <v>0.71656912316942079</v>
      </c>
      <c r="H15" s="15">
        <f>Tableau_Lancer_la_requête_à_partir_de_Excel_Files102567[[#This Row],[''FEDER'']]+Tableau_Lancer_la_requête_à_partir_de_Excel_Files102567[[#This Row],[Total Etat]]+Tableau_Lancer_la_requête_à_partir_de_Excel_Files102567[[#This Row],[Total Régions]]+Tableau_Lancer_la_requête_à_partir_de_Excel_Files102567[[#This Row],[Total Dpts]]</f>
        <v>47010.46</v>
      </c>
      <c r="I15" s="16">
        <f>Tableau_Lancer_la_requête_à_partir_de_Excel_Files102567[[#This Row],[Aide Massif]]/Tableau_Lancer_la_requête_à_partir_de_Excel_Files102567[[#This Row],[''Coût total éligible'']]</f>
        <v>0.71656912316942079</v>
      </c>
      <c r="J15" s="15">
        <v>32802.46</v>
      </c>
      <c r="K15" s="15">
        <f>Tableau_Lancer_la_requête_à_partir_de_Excel_Files102567[[#This Row],[''FNADT '']]+Tableau_Lancer_la_requête_à_partir_de_Excel_Files102567[[#This Row],[''Agriculture'']]</f>
        <v>0</v>
      </c>
      <c r="L15" s="11"/>
      <c r="M15" s="15"/>
      <c r="N15" s="15">
        <f>Tableau_Lancer_la_requête_à_partir_de_Excel_Files102567[[#This Row],[''ALPC'']]+Tableau_Lancer_la_requête_à_partir_de_Excel_Files102567[[#This Row],[''AURA'']]+Tableau_Lancer_la_requête_à_partir_de_Excel_Files102567[[#This Row],[''BFC'']]+Tableau_Lancer_la_requête_à_partir_de_Excel_Files102567[[#This Row],[''LRMP'']]</f>
        <v>14208</v>
      </c>
      <c r="O15" s="15"/>
      <c r="P15" s="15"/>
      <c r="Q15" s="15"/>
      <c r="R15" s="15">
        <v>14208</v>
      </c>
      <c r="S15" s="15">
        <f>Tableau_Lancer_la_requête_à_partir_de_Excel_Files102567[[#This Row],[''03'']]+Tableau_Lancer_la_requête_à_partir_de_Excel_Files102567[[#This Row],[''07'']]+Tableau_Lancer_la_requête_à_partir_de_Excel_Files102567[[#This Row],[''11'']]+Tableau_Lancer_la_requête_à_partir_de_Excel_Files102567[[#This Row],[''12'']]+Tableau_Lancer_la_requête_à_partir_de_Excel_Files102567[[#This Row],[''15'']]+Tableau_Lancer_la_requête_à_partir_de_Excel_Files102567[[#This Row],[''19'']]+Tableau_Lancer_la_requête_à_partir_de_Excel_Files102567[[#This Row],[''21'']]+Tableau_Lancer_la_requête_à_partir_de_Excel_Files102567[[#This Row],[''23'']]+Tableau_Lancer_la_requête_à_partir_de_Excel_Files102567[[#This Row],[''30'']]+Tableau_Lancer_la_requête_à_partir_de_Excel_Files102567[[#This Row],[''34'']]+Tableau_Lancer_la_requête_à_partir_de_Excel_Files102567[[#This Row],[''42'']]+Tableau_Lancer_la_requête_à_partir_de_Excel_Files102567[[#This Row],[''43'']]+Tableau_Lancer_la_requête_à_partir_de_Excel_Files102567[[#This Row],[''46'']]+Tableau_Lancer_la_requête_à_partir_de_Excel_Files102567[[#This Row],[''48'']]+Tableau_Lancer_la_requête_à_partir_de_Excel_Files102567[[#This Row],[''58'']]+Tableau_Lancer_la_requête_à_partir_de_Excel_Files102567[[#This Row],[''63'']]+Tableau_Lancer_la_requête_à_partir_de_Excel_Files102567[[#This Row],[''69'']]+Tableau_Lancer_la_requête_à_partir_de_Excel_Files102567[[#This Row],[''71'']]+Tableau_Lancer_la_requête_à_partir_de_Excel_Files102567[[#This Row],[''81'']]+Tableau_Lancer_la_requête_à_partir_de_Excel_Files102567[[#This Row],[''82'']]+Tableau_Lancer_la_requête_à_partir_de_Excel_Files102567[[#This Row],[''87'']]+Tableau_Lancer_la_requête_à_partir_de_Excel_Files102567[[#This Row],[''89'']]</f>
        <v>0</v>
      </c>
      <c r="T15" s="15"/>
      <c r="U15" s="15"/>
      <c r="V15" s="15"/>
      <c r="W15" s="15"/>
      <c r="X15" s="15"/>
      <c r="Y15" s="15"/>
      <c r="Z15" s="15"/>
      <c r="AA15" s="15"/>
      <c r="AB15" s="15"/>
      <c r="AC15" s="15"/>
      <c r="AD15" s="15"/>
      <c r="AE15" s="15"/>
      <c r="AF15" s="15"/>
      <c r="AG15" s="15"/>
      <c r="AH15" s="15"/>
      <c r="AI15" s="15"/>
      <c r="AJ15" s="15"/>
      <c r="AK15" s="15"/>
      <c r="AL15" s="15"/>
      <c r="AM15" s="15"/>
      <c r="AN15" s="15"/>
      <c r="AO15" s="15"/>
      <c r="AP15" s="15">
        <v>0</v>
      </c>
      <c r="AQ15" s="11" t="s">
        <v>77</v>
      </c>
      <c r="AS15" s="28"/>
      <c r="BY15" s="4"/>
      <c r="CD15" s="3"/>
    </row>
    <row r="16" spans="1:82" ht="45" x14ac:dyDescent="0.25">
      <c r="A16" s="68" t="s">
        <v>259</v>
      </c>
      <c r="B16" s="13" t="s">
        <v>232</v>
      </c>
      <c r="C16" s="12" t="s">
        <v>233</v>
      </c>
      <c r="D16" s="12" t="s">
        <v>234</v>
      </c>
      <c r="E16" s="15">
        <v>32561.43</v>
      </c>
      <c r="F16" s="15">
        <f>Tableau_Lancer_la_requête_à_partir_de_Excel_Files102567[[#This Row],[Aide Massif]]+Tableau_Lancer_la_requête_à_partir_de_Excel_Files102567[[#This Row],[''Autre Public'']]</f>
        <v>30932.93</v>
      </c>
      <c r="G16" s="16">
        <f>Tableau_Lancer_la_requête_à_partir_de_Excel_Files102567[[#This Row],[Aide 
publique]]/Tableau_Lancer_la_requête_à_partir_de_Excel_Files102567[[#This Row],[''Coût total éligible'']]</f>
        <v>0.94998684025855129</v>
      </c>
      <c r="H16" s="15">
        <f>Tableau_Lancer_la_requête_à_partir_de_Excel_Files102567[[#This Row],[''FEDER'']]+Tableau_Lancer_la_requête_à_partir_de_Excel_Files102567[[#This Row],[Total Etat]]+Tableau_Lancer_la_requête_à_partir_de_Excel_Files102567[[#This Row],[Total Régions]]+Tableau_Lancer_la_requête_à_partir_de_Excel_Files102567[[#This Row],[Total Dpts]]</f>
        <v>30932.93</v>
      </c>
      <c r="I16" s="16">
        <f>Tableau_Lancer_la_requête_à_partir_de_Excel_Files102567[[#This Row],[Aide Massif]]/Tableau_Lancer_la_requête_à_partir_de_Excel_Files102567[[#This Row],[''Coût total éligible'']]</f>
        <v>0.94998684025855129</v>
      </c>
      <c r="J16" s="15">
        <v>16280.72</v>
      </c>
      <c r="K16" s="15">
        <f>Tableau_Lancer_la_requête_à_partir_de_Excel_Files102567[[#This Row],[''FNADT '']]+Tableau_Lancer_la_requête_à_partir_de_Excel_Files102567[[#This Row],[''Agriculture'']]</f>
        <v>9768</v>
      </c>
      <c r="L16" s="11">
        <v>9768</v>
      </c>
      <c r="M16" s="15"/>
      <c r="N16" s="15">
        <f>Tableau_Lancer_la_requête_à_partir_de_Excel_Files102567[[#This Row],[''ALPC'']]+Tableau_Lancer_la_requête_à_partir_de_Excel_Files102567[[#This Row],[''AURA'']]+Tableau_Lancer_la_requête_à_partir_de_Excel_Files102567[[#This Row],[''BFC'']]+Tableau_Lancer_la_requête_à_partir_de_Excel_Files102567[[#This Row],[''LRMP'']]</f>
        <v>4884.21</v>
      </c>
      <c r="O16" s="15"/>
      <c r="P16" s="15"/>
      <c r="Q16" s="15"/>
      <c r="R16" s="15">
        <v>4884.21</v>
      </c>
      <c r="S16" s="15">
        <f>Tableau_Lancer_la_requête_à_partir_de_Excel_Files102567[[#This Row],[''03'']]+Tableau_Lancer_la_requête_à_partir_de_Excel_Files102567[[#This Row],[''07'']]+Tableau_Lancer_la_requête_à_partir_de_Excel_Files102567[[#This Row],[''11'']]+Tableau_Lancer_la_requête_à_partir_de_Excel_Files102567[[#This Row],[''12'']]+Tableau_Lancer_la_requête_à_partir_de_Excel_Files102567[[#This Row],[''15'']]+Tableau_Lancer_la_requête_à_partir_de_Excel_Files102567[[#This Row],[''19'']]+Tableau_Lancer_la_requête_à_partir_de_Excel_Files102567[[#This Row],[''21'']]+Tableau_Lancer_la_requête_à_partir_de_Excel_Files102567[[#This Row],[''23'']]+Tableau_Lancer_la_requête_à_partir_de_Excel_Files102567[[#This Row],[''30'']]+Tableau_Lancer_la_requête_à_partir_de_Excel_Files102567[[#This Row],[''34'']]+Tableau_Lancer_la_requête_à_partir_de_Excel_Files102567[[#This Row],[''42'']]+Tableau_Lancer_la_requête_à_partir_de_Excel_Files102567[[#This Row],[''43'']]+Tableau_Lancer_la_requête_à_partir_de_Excel_Files102567[[#This Row],[''46'']]+Tableau_Lancer_la_requête_à_partir_de_Excel_Files102567[[#This Row],[''48'']]+Tableau_Lancer_la_requête_à_partir_de_Excel_Files102567[[#This Row],[''58'']]+Tableau_Lancer_la_requête_à_partir_de_Excel_Files102567[[#This Row],[''63'']]+Tableau_Lancer_la_requête_à_partir_de_Excel_Files102567[[#This Row],[''69'']]+Tableau_Lancer_la_requête_à_partir_de_Excel_Files102567[[#This Row],[''71'']]+Tableau_Lancer_la_requête_à_partir_de_Excel_Files102567[[#This Row],[''81'']]+Tableau_Lancer_la_requête_à_partir_de_Excel_Files102567[[#This Row],[''82'']]+Tableau_Lancer_la_requête_à_partir_de_Excel_Files102567[[#This Row],[''87'']]+Tableau_Lancer_la_requête_à_partir_de_Excel_Files102567[[#This Row],[''89'']]</f>
        <v>0</v>
      </c>
      <c r="T16" s="15"/>
      <c r="U16" s="15"/>
      <c r="V16" s="15"/>
      <c r="W16" s="15"/>
      <c r="X16" s="15"/>
      <c r="Y16" s="15"/>
      <c r="Z16" s="15"/>
      <c r="AA16" s="15"/>
      <c r="AB16" s="15"/>
      <c r="AC16" s="15"/>
      <c r="AD16" s="15"/>
      <c r="AE16" s="15"/>
      <c r="AF16" s="15"/>
      <c r="AG16" s="15"/>
      <c r="AH16" s="15"/>
      <c r="AI16" s="15"/>
      <c r="AJ16" s="15"/>
      <c r="AK16" s="15"/>
      <c r="AL16" s="15"/>
      <c r="AM16" s="15"/>
      <c r="AN16" s="15"/>
      <c r="AO16" s="15"/>
      <c r="AP16" s="15">
        <v>0</v>
      </c>
      <c r="AQ16" s="11" t="s">
        <v>77</v>
      </c>
      <c r="AS16" s="24" t="s">
        <v>415</v>
      </c>
      <c r="BY16" s="4"/>
      <c r="CD16" s="3"/>
    </row>
    <row r="17" spans="1:82" s="7" customFormat="1" ht="30" x14ac:dyDescent="0.25">
      <c r="A17" s="68" t="s">
        <v>259</v>
      </c>
      <c r="B17" s="13" t="s">
        <v>240</v>
      </c>
      <c r="C17" s="12" t="s">
        <v>241</v>
      </c>
      <c r="D17" s="12" t="s">
        <v>242</v>
      </c>
      <c r="E17" s="15">
        <v>54076.697150927139</v>
      </c>
      <c r="F17" s="15">
        <f>Tableau_Lancer_la_requête_à_partir_de_Excel_Files102567[[#This Row],[Aide Massif]]+Tableau_Lancer_la_requête_à_partir_de_Excel_Files102567[[#This Row],[''Autre Public'']]</f>
        <v>43261.36</v>
      </c>
      <c r="G17" s="16">
        <f>Tableau_Lancer_la_requête_à_partir_de_Excel_Files102567[[#This Row],[Aide 
publique]]/Tableau_Lancer_la_requête_à_partir_de_Excel_Files102567[[#This Row],[''Coût total éligible'']]</f>
        <v>0.80000004214862241</v>
      </c>
      <c r="H17" s="15">
        <f>Tableau_Lancer_la_requête_à_partir_de_Excel_Files102567[[#This Row],[''FEDER'']]+Tableau_Lancer_la_requête_à_partir_de_Excel_Files102567[[#This Row],[Total Etat]]+Tableau_Lancer_la_requête_à_partir_de_Excel_Files102567[[#This Row],[Total Régions]]+Tableau_Lancer_la_requête_à_partir_de_Excel_Files102567[[#This Row],[Total Dpts]]</f>
        <v>37853.69</v>
      </c>
      <c r="I17" s="16">
        <f>Tableau_Lancer_la_requête_à_partir_de_Excel_Files102567[[#This Row],[Aide Massif]]/Tableau_Lancer_la_requête_à_partir_de_Excel_Files102567[[#This Row],[''Coût total éligible'']]</f>
        <v>0.70000003688004464</v>
      </c>
      <c r="J17" s="15">
        <v>27038.35</v>
      </c>
      <c r="K17" s="15">
        <f>Tableau_Lancer_la_requête_à_partir_de_Excel_Files102567[[#This Row],[''FNADT '']]+Tableau_Lancer_la_requête_à_partir_de_Excel_Files102567[[#This Row],[''Agriculture'']]</f>
        <v>10815.34</v>
      </c>
      <c r="L17" s="11">
        <v>10815.34</v>
      </c>
      <c r="M17" s="15">
        <v>0</v>
      </c>
      <c r="N17" s="15">
        <f>Tableau_Lancer_la_requête_à_partir_de_Excel_Files102567[[#This Row],[''ALPC'']]+Tableau_Lancer_la_requête_à_partir_de_Excel_Files102567[[#This Row],[''AURA'']]+Tableau_Lancer_la_requête_à_partir_de_Excel_Files102567[[#This Row],[''BFC'']]+Tableau_Lancer_la_requête_à_partir_de_Excel_Files102567[[#This Row],[''LRMP'']]</f>
        <v>0</v>
      </c>
      <c r="O17" s="15"/>
      <c r="P17" s="15"/>
      <c r="Q17" s="15"/>
      <c r="R17" s="15"/>
      <c r="S17" s="15">
        <f>Tableau_Lancer_la_requête_à_partir_de_Excel_Files102567[[#This Row],[''03'']]+Tableau_Lancer_la_requête_à_partir_de_Excel_Files102567[[#This Row],[''07'']]+Tableau_Lancer_la_requête_à_partir_de_Excel_Files102567[[#This Row],[''11'']]+Tableau_Lancer_la_requête_à_partir_de_Excel_Files102567[[#This Row],[''12'']]+Tableau_Lancer_la_requête_à_partir_de_Excel_Files102567[[#This Row],[''15'']]+Tableau_Lancer_la_requête_à_partir_de_Excel_Files102567[[#This Row],[''19'']]+Tableau_Lancer_la_requête_à_partir_de_Excel_Files102567[[#This Row],[''21'']]+Tableau_Lancer_la_requête_à_partir_de_Excel_Files102567[[#This Row],[''23'']]+Tableau_Lancer_la_requête_à_partir_de_Excel_Files102567[[#This Row],[''30'']]+Tableau_Lancer_la_requête_à_partir_de_Excel_Files102567[[#This Row],[''34'']]+Tableau_Lancer_la_requête_à_partir_de_Excel_Files102567[[#This Row],[''42'']]+Tableau_Lancer_la_requête_à_partir_de_Excel_Files102567[[#This Row],[''43'']]+Tableau_Lancer_la_requête_à_partir_de_Excel_Files102567[[#This Row],[''46'']]+Tableau_Lancer_la_requête_à_partir_de_Excel_Files102567[[#This Row],[''48'']]+Tableau_Lancer_la_requête_à_partir_de_Excel_Files102567[[#This Row],[''58'']]+Tableau_Lancer_la_requête_à_partir_de_Excel_Files102567[[#This Row],[''63'']]+Tableau_Lancer_la_requête_à_partir_de_Excel_Files102567[[#This Row],[''69'']]+Tableau_Lancer_la_requête_à_partir_de_Excel_Files102567[[#This Row],[''71'']]+Tableau_Lancer_la_requête_à_partir_de_Excel_Files102567[[#This Row],[''81'']]+Tableau_Lancer_la_requête_à_partir_de_Excel_Files102567[[#This Row],[''82'']]+Tableau_Lancer_la_requête_à_partir_de_Excel_Files102567[[#This Row],[''87'']]+Tableau_Lancer_la_requête_à_partir_de_Excel_Files102567[[#This Row],[''89'']]</f>
        <v>0</v>
      </c>
      <c r="T17" s="15"/>
      <c r="U17" s="15"/>
      <c r="V17" s="15"/>
      <c r="W17" s="15"/>
      <c r="X17" s="15"/>
      <c r="Y17" s="15"/>
      <c r="Z17" s="15"/>
      <c r="AA17" s="15"/>
      <c r="AB17" s="15"/>
      <c r="AC17" s="15"/>
      <c r="AD17" s="15"/>
      <c r="AE17" s="15"/>
      <c r="AF17" s="15"/>
      <c r="AG17" s="15"/>
      <c r="AH17" s="15"/>
      <c r="AI17" s="15"/>
      <c r="AJ17" s="15"/>
      <c r="AK17" s="15"/>
      <c r="AL17" s="15"/>
      <c r="AM17" s="15"/>
      <c r="AN17" s="15"/>
      <c r="AO17" s="15"/>
      <c r="AP17" s="15">
        <v>5407.67</v>
      </c>
      <c r="AQ17" s="11" t="s">
        <v>77</v>
      </c>
      <c r="AS17" s="24" t="s">
        <v>415</v>
      </c>
    </row>
    <row r="18" spans="1:82" s="10" customFormat="1" ht="30" x14ac:dyDescent="0.25">
      <c r="A18" s="68" t="s">
        <v>259</v>
      </c>
      <c r="B18" s="13" t="s">
        <v>238</v>
      </c>
      <c r="C18" s="12" t="s">
        <v>205</v>
      </c>
      <c r="D18" s="12" t="s">
        <v>239</v>
      </c>
      <c r="E18" s="15">
        <v>45000</v>
      </c>
      <c r="F18" s="15">
        <f>Tableau_Lancer_la_requête_à_partir_de_Excel_Files102567[[#This Row],[Aide Massif]]+Tableau_Lancer_la_requête_à_partir_de_Excel_Files102567[[#This Row],[''Autre Public'']]</f>
        <v>40500</v>
      </c>
      <c r="G18" s="16">
        <f>Tableau_Lancer_la_requête_à_partir_de_Excel_Files102567[[#This Row],[Aide 
publique]]/Tableau_Lancer_la_requête_à_partir_de_Excel_Files102567[[#This Row],[''Coût total éligible'']]</f>
        <v>0.9</v>
      </c>
      <c r="H18" s="15">
        <f>Tableau_Lancer_la_requête_à_partir_de_Excel_Files102567[[#This Row],[''FEDER'']]+Tableau_Lancer_la_requête_à_partir_de_Excel_Files102567[[#This Row],[Total Etat]]+Tableau_Lancer_la_requête_à_partir_de_Excel_Files102567[[#This Row],[Total Régions]]+Tableau_Lancer_la_requête_à_partir_de_Excel_Files102567[[#This Row],[Total Dpts]]</f>
        <v>40500</v>
      </c>
      <c r="I18" s="16">
        <f>Tableau_Lancer_la_requête_à_partir_de_Excel_Files102567[[#This Row],[Aide Massif]]/Tableau_Lancer_la_requête_à_partir_de_Excel_Files102567[[#This Row],[''Coût total éligible'']]</f>
        <v>0.9</v>
      </c>
      <c r="J18" s="15">
        <v>18000</v>
      </c>
      <c r="K18" s="15">
        <f>Tableau_Lancer_la_requête_à_partir_de_Excel_Files102567[[#This Row],[''FNADT '']]+Tableau_Lancer_la_requête_à_partir_de_Excel_Files102567[[#This Row],[''Agriculture'']]</f>
        <v>0</v>
      </c>
      <c r="L18" s="11"/>
      <c r="M18" s="15"/>
      <c r="N18" s="15">
        <f>Tableau_Lancer_la_requête_à_partir_de_Excel_Files102567[[#This Row],[''ALPC'']]+Tableau_Lancer_la_requête_à_partir_de_Excel_Files102567[[#This Row],[''AURA'']]+Tableau_Lancer_la_requête_à_partir_de_Excel_Files102567[[#This Row],[''BFC'']]+Tableau_Lancer_la_requête_à_partir_de_Excel_Files102567[[#This Row],[''LRMP'']]</f>
        <v>22500</v>
      </c>
      <c r="O18" s="15"/>
      <c r="P18" s="15">
        <v>22500</v>
      </c>
      <c r="Q18" s="15"/>
      <c r="R18" s="15"/>
      <c r="S18" s="15">
        <f>Tableau_Lancer_la_requête_à_partir_de_Excel_Files102567[[#This Row],[''03'']]+Tableau_Lancer_la_requête_à_partir_de_Excel_Files102567[[#This Row],[''07'']]+Tableau_Lancer_la_requête_à_partir_de_Excel_Files102567[[#This Row],[''11'']]+Tableau_Lancer_la_requête_à_partir_de_Excel_Files102567[[#This Row],[''12'']]+Tableau_Lancer_la_requête_à_partir_de_Excel_Files102567[[#This Row],[''15'']]+Tableau_Lancer_la_requête_à_partir_de_Excel_Files102567[[#This Row],[''19'']]+Tableau_Lancer_la_requête_à_partir_de_Excel_Files102567[[#This Row],[''21'']]+Tableau_Lancer_la_requête_à_partir_de_Excel_Files102567[[#This Row],[''23'']]+Tableau_Lancer_la_requête_à_partir_de_Excel_Files102567[[#This Row],[''30'']]+Tableau_Lancer_la_requête_à_partir_de_Excel_Files102567[[#This Row],[''34'']]+Tableau_Lancer_la_requête_à_partir_de_Excel_Files102567[[#This Row],[''42'']]+Tableau_Lancer_la_requête_à_partir_de_Excel_Files102567[[#This Row],[''43'']]+Tableau_Lancer_la_requête_à_partir_de_Excel_Files102567[[#This Row],[''46'']]+Tableau_Lancer_la_requête_à_partir_de_Excel_Files102567[[#This Row],[''48'']]+Tableau_Lancer_la_requête_à_partir_de_Excel_Files102567[[#This Row],[''58'']]+Tableau_Lancer_la_requête_à_partir_de_Excel_Files102567[[#This Row],[''63'']]+Tableau_Lancer_la_requête_à_partir_de_Excel_Files102567[[#This Row],[''69'']]+Tableau_Lancer_la_requête_à_partir_de_Excel_Files102567[[#This Row],[''71'']]+Tableau_Lancer_la_requête_à_partir_de_Excel_Files102567[[#This Row],[''81'']]+Tableau_Lancer_la_requête_à_partir_de_Excel_Files102567[[#This Row],[''82'']]+Tableau_Lancer_la_requête_à_partir_de_Excel_Files102567[[#This Row],[''87'']]+Tableau_Lancer_la_requête_à_partir_de_Excel_Files102567[[#This Row],[''89'']]</f>
        <v>0</v>
      </c>
      <c r="T18" s="15"/>
      <c r="U18" s="15"/>
      <c r="V18" s="15"/>
      <c r="W18" s="15"/>
      <c r="X18" s="15"/>
      <c r="Y18" s="15"/>
      <c r="Z18" s="15"/>
      <c r="AA18" s="15"/>
      <c r="AB18" s="15"/>
      <c r="AC18" s="15"/>
      <c r="AD18" s="15"/>
      <c r="AE18" s="15"/>
      <c r="AF18" s="15"/>
      <c r="AG18" s="15"/>
      <c r="AH18" s="15"/>
      <c r="AI18" s="15"/>
      <c r="AJ18" s="15"/>
      <c r="AK18" s="15"/>
      <c r="AL18" s="15"/>
      <c r="AM18" s="15"/>
      <c r="AN18" s="15"/>
      <c r="AO18" s="15"/>
      <c r="AP18" s="15">
        <v>0</v>
      </c>
      <c r="AQ18" s="11" t="s">
        <v>77</v>
      </c>
      <c r="AS18" s="26"/>
    </row>
    <row r="19" spans="1:82" ht="30" x14ac:dyDescent="0.25">
      <c r="A19" s="69" t="s">
        <v>259</v>
      </c>
      <c r="B19" s="6" t="s">
        <v>229</v>
      </c>
      <c r="C19" s="5" t="s">
        <v>230</v>
      </c>
      <c r="D19" s="5" t="s">
        <v>231</v>
      </c>
      <c r="E19" s="8">
        <v>155950.94652229047</v>
      </c>
      <c r="F19" s="8">
        <f>Tableau_Lancer_la_requête_à_partir_de_Excel_Files102567[[#This Row],[Aide Massif]]+Tableau_Lancer_la_requête_à_partir_de_Excel_Files102567[[#This Row],[''Autre Public'']]</f>
        <v>77975.47</v>
      </c>
      <c r="G19" s="9">
        <f>Tableau_Lancer_la_requête_à_partir_de_Excel_Files102567[[#This Row],[Aide 
publique]]/Tableau_Lancer_la_requête_à_partir_de_Excel_Files102567[[#This Row],[''Coût total éligible'']]</f>
        <v>0.49999997908864741</v>
      </c>
      <c r="H19" s="8">
        <f>Tableau_Lancer_la_requête_à_partir_de_Excel_Files102567[[#This Row],[''FEDER'']]+Tableau_Lancer_la_requête_à_partir_de_Excel_Files102567[[#This Row],[Total Etat]]+Tableau_Lancer_la_requête_à_partir_de_Excel_Files102567[[#This Row],[Total Régions]]+Tableau_Lancer_la_requête_à_partir_de_Excel_Files102567[[#This Row],[Total Dpts]]</f>
        <v>77975.47</v>
      </c>
      <c r="I19" s="9">
        <f>Tableau_Lancer_la_requête_à_partir_de_Excel_Files102567[[#This Row],[Aide Massif]]/Tableau_Lancer_la_requête_à_partir_de_Excel_Files102567[[#This Row],[''Coût total éligible'']]</f>
        <v>0.49999997908864741</v>
      </c>
      <c r="J19" s="8">
        <v>77975.47</v>
      </c>
      <c r="K19" s="8">
        <f>Tableau_Lancer_la_requête_à_partir_de_Excel_Files102567[[#This Row],[''FNADT '']]+Tableau_Lancer_la_requête_à_partir_de_Excel_Files102567[[#This Row],[''Agriculture'']]</f>
        <v>0</v>
      </c>
      <c r="L19" s="8"/>
      <c r="M19" s="8"/>
      <c r="N19" s="8">
        <f>Tableau_Lancer_la_requête_à_partir_de_Excel_Files102567[[#This Row],[''ALPC'']]+Tableau_Lancer_la_requête_à_partir_de_Excel_Files102567[[#This Row],[''AURA'']]+Tableau_Lancer_la_requête_à_partir_de_Excel_Files102567[[#This Row],[''BFC'']]+Tableau_Lancer_la_requête_à_partir_de_Excel_Files102567[[#This Row],[''LRMP'']]</f>
        <v>0</v>
      </c>
      <c r="O19" s="8"/>
      <c r="P19" s="8"/>
      <c r="Q19" s="8"/>
      <c r="R19" s="8"/>
      <c r="S19" s="8">
        <f>Tableau_Lancer_la_requête_à_partir_de_Excel_Files102567[[#This Row],[''03'']]+Tableau_Lancer_la_requête_à_partir_de_Excel_Files102567[[#This Row],[''07'']]+Tableau_Lancer_la_requête_à_partir_de_Excel_Files102567[[#This Row],[''11'']]+Tableau_Lancer_la_requête_à_partir_de_Excel_Files102567[[#This Row],[''12'']]+Tableau_Lancer_la_requête_à_partir_de_Excel_Files102567[[#This Row],[''15'']]+Tableau_Lancer_la_requête_à_partir_de_Excel_Files102567[[#This Row],[''19'']]+Tableau_Lancer_la_requête_à_partir_de_Excel_Files102567[[#This Row],[''21'']]+Tableau_Lancer_la_requête_à_partir_de_Excel_Files102567[[#This Row],[''23'']]+Tableau_Lancer_la_requête_à_partir_de_Excel_Files102567[[#This Row],[''30'']]+Tableau_Lancer_la_requête_à_partir_de_Excel_Files102567[[#This Row],[''34'']]+Tableau_Lancer_la_requête_à_partir_de_Excel_Files102567[[#This Row],[''42'']]+Tableau_Lancer_la_requête_à_partir_de_Excel_Files102567[[#This Row],[''43'']]+Tableau_Lancer_la_requête_à_partir_de_Excel_Files102567[[#This Row],[''46'']]+Tableau_Lancer_la_requête_à_partir_de_Excel_Files102567[[#This Row],[''48'']]+Tableau_Lancer_la_requête_à_partir_de_Excel_Files102567[[#This Row],[''58'']]+Tableau_Lancer_la_requête_à_partir_de_Excel_Files102567[[#This Row],[''63'']]+Tableau_Lancer_la_requête_à_partir_de_Excel_Files102567[[#This Row],[''69'']]+Tableau_Lancer_la_requête_à_partir_de_Excel_Files102567[[#This Row],[''71'']]+Tableau_Lancer_la_requête_à_partir_de_Excel_Files102567[[#This Row],[''81'']]+Tableau_Lancer_la_requête_à_partir_de_Excel_Files102567[[#This Row],[''82'']]+Tableau_Lancer_la_requête_à_partir_de_Excel_Files102567[[#This Row],[''87'']]+Tableau_Lancer_la_requête_à_partir_de_Excel_Files102567[[#This Row],[''89'']]</f>
        <v>0</v>
      </c>
      <c r="T19" s="8"/>
      <c r="U19" s="8"/>
      <c r="V19" s="8"/>
      <c r="W19" s="8"/>
      <c r="X19" s="8"/>
      <c r="Y19" s="8"/>
      <c r="Z19" s="8"/>
      <c r="AA19" s="8"/>
      <c r="AB19" s="8"/>
      <c r="AC19" s="8"/>
      <c r="AD19" s="8"/>
      <c r="AE19" s="8"/>
      <c r="AF19" s="8"/>
      <c r="AG19" s="8"/>
      <c r="AH19" s="8"/>
      <c r="AI19" s="8"/>
      <c r="AJ19" s="8"/>
      <c r="AK19" s="8"/>
      <c r="AL19" s="8"/>
      <c r="AM19" s="8"/>
      <c r="AN19" s="8"/>
      <c r="AO19" s="8"/>
      <c r="AP19" s="8">
        <v>0</v>
      </c>
      <c r="AQ19" s="8" t="s">
        <v>77</v>
      </c>
      <c r="AS19" s="24"/>
      <c r="CA19" s="4"/>
      <c r="CD19" s="3"/>
    </row>
    <row r="20" spans="1:82" ht="45" x14ac:dyDescent="0.25">
      <c r="A20" s="68" t="s">
        <v>260</v>
      </c>
      <c r="B20" s="13" t="s">
        <v>196</v>
      </c>
      <c r="C20" s="12" t="s">
        <v>197</v>
      </c>
      <c r="D20" s="12" t="s">
        <v>198</v>
      </c>
      <c r="E20" s="15">
        <v>55233.630000000005</v>
      </c>
      <c r="F20" s="15">
        <f>Tableau_Lancer_la_requête_à_partir_de_Excel_Files102567[[#This Row],[Aide Massif]]+Tableau_Lancer_la_requête_à_partir_de_Excel_Files102567[[#This Row],[''Autre Public'']]</f>
        <v>54843.630000000005</v>
      </c>
      <c r="G20" s="16">
        <f>Tableau_Lancer_la_requête_à_partir_de_Excel_Files102567[[#This Row],[Aide 
publique]]/Tableau_Lancer_la_requête_à_partir_de_Excel_Files102567[[#This Row],[''Coût total éligible'']]</f>
        <v>0.99293908439477907</v>
      </c>
      <c r="H20" s="15">
        <f>Tableau_Lancer_la_requête_à_partir_de_Excel_Files102567[[#This Row],[''FEDER'']]+Tableau_Lancer_la_requête_à_partir_de_Excel_Files102567[[#This Row],[Total Etat]]+Tableau_Lancer_la_requête_à_partir_de_Excel_Files102567[[#This Row],[Total Régions]]+Tableau_Lancer_la_requête_à_partir_de_Excel_Files102567[[#This Row],[Total Dpts]]</f>
        <v>25086.57</v>
      </c>
      <c r="I20" s="16">
        <f>Tableau_Lancer_la_requête_à_partir_de_Excel_Files102567[[#This Row],[Aide Massif]]/Tableau_Lancer_la_requête_à_partir_de_Excel_Files102567[[#This Row],[''Coût total éligible'']]</f>
        <v>0.45419013742171205</v>
      </c>
      <c r="J20" s="15">
        <v>25086.57</v>
      </c>
      <c r="K20" s="15">
        <f>Tableau_Lancer_la_requête_à_partir_de_Excel_Files102567[[#This Row],[''FNADT '']]+Tableau_Lancer_la_requête_à_partir_de_Excel_Files102567[[#This Row],[''Agriculture'']]</f>
        <v>0</v>
      </c>
      <c r="L20" s="11"/>
      <c r="M20" s="15"/>
      <c r="N20" s="15">
        <f>Tableau_Lancer_la_requête_à_partir_de_Excel_Files102567[[#This Row],[''ALPC'']]+Tableau_Lancer_la_requête_à_partir_de_Excel_Files102567[[#This Row],[''AURA'']]+Tableau_Lancer_la_requête_à_partir_de_Excel_Files102567[[#This Row],[''BFC'']]+Tableau_Lancer_la_requête_à_partir_de_Excel_Files102567[[#This Row],[''LRMP'']]</f>
        <v>0</v>
      </c>
      <c r="O20" s="15"/>
      <c r="P20" s="15"/>
      <c r="Q20" s="15"/>
      <c r="R20" s="15"/>
      <c r="S20" s="15">
        <f>Tableau_Lancer_la_requête_à_partir_de_Excel_Files102567[[#This Row],[''03'']]+Tableau_Lancer_la_requête_à_partir_de_Excel_Files102567[[#This Row],[''07'']]+Tableau_Lancer_la_requête_à_partir_de_Excel_Files102567[[#This Row],[''11'']]+Tableau_Lancer_la_requête_à_partir_de_Excel_Files102567[[#This Row],[''12'']]+Tableau_Lancer_la_requête_à_partir_de_Excel_Files102567[[#This Row],[''15'']]+Tableau_Lancer_la_requête_à_partir_de_Excel_Files102567[[#This Row],[''19'']]+Tableau_Lancer_la_requête_à_partir_de_Excel_Files102567[[#This Row],[''21'']]+Tableau_Lancer_la_requête_à_partir_de_Excel_Files102567[[#This Row],[''23'']]+Tableau_Lancer_la_requête_à_partir_de_Excel_Files102567[[#This Row],[''30'']]+Tableau_Lancer_la_requête_à_partir_de_Excel_Files102567[[#This Row],[''34'']]+Tableau_Lancer_la_requête_à_partir_de_Excel_Files102567[[#This Row],[''42'']]+Tableau_Lancer_la_requête_à_partir_de_Excel_Files102567[[#This Row],[''43'']]+Tableau_Lancer_la_requête_à_partir_de_Excel_Files102567[[#This Row],[''46'']]+Tableau_Lancer_la_requête_à_partir_de_Excel_Files102567[[#This Row],[''48'']]+Tableau_Lancer_la_requête_à_partir_de_Excel_Files102567[[#This Row],[''58'']]+Tableau_Lancer_la_requête_à_partir_de_Excel_Files102567[[#This Row],[''63'']]+Tableau_Lancer_la_requête_à_partir_de_Excel_Files102567[[#This Row],[''69'']]+Tableau_Lancer_la_requête_à_partir_de_Excel_Files102567[[#This Row],[''71'']]+Tableau_Lancer_la_requête_à_partir_de_Excel_Files102567[[#This Row],[''81'']]+Tableau_Lancer_la_requête_à_partir_de_Excel_Files102567[[#This Row],[''82'']]+Tableau_Lancer_la_requête_à_partir_de_Excel_Files102567[[#This Row],[''87'']]+Tableau_Lancer_la_requête_à_partir_de_Excel_Files102567[[#This Row],[''89'']]</f>
        <v>0</v>
      </c>
      <c r="T20" s="15"/>
      <c r="U20" s="15"/>
      <c r="V20" s="15"/>
      <c r="W20" s="15"/>
      <c r="X20" s="15"/>
      <c r="Y20" s="15"/>
      <c r="Z20" s="15"/>
      <c r="AA20" s="15"/>
      <c r="AB20" s="15"/>
      <c r="AC20" s="15"/>
      <c r="AD20" s="15"/>
      <c r="AE20" s="15"/>
      <c r="AF20" s="15"/>
      <c r="AG20" s="15"/>
      <c r="AH20" s="15"/>
      <c r="AI20" s="15"/>
      <c r="AJ20" s="15"/>
      <c r="AK20" s="15"/>
      <c r="AL20" s="15"/>
      <c r="AM20" s="15"/>
      <c r="AN20" s="15"/>
      <c r="AO20" s="15"/>
      <c r="AP20" s="15">
        <v>29757.06</v>
      </c>
      <c r="AQ20" s="11" t="s">
        <v>77</v>
      </c>
      <c r="AS20" s="26"/>
      <c r="CB20" s="4"/>
      <c r="CD20" s="3"/>
    </row>
    <row r="21" spans="1:82" ht="30.75" thickBot="1" x14ac:dyDescent="0.3">
      <c r="A21" s="69" t="s">
        <v>260</v>
      </c>
      <c r="B21" s="6" t="s">
        <v>199</v>
      </c>
      <c r="C21" s="5" t="s">
        <v>197</v>
      </c>
      <c r="D21" s="5" t="s">
        <v>200</v>
      </c>
      <c r="E21" s="8">
        <v>141100.63</v>
      </c>
      <c r="F21" s="8">
        <f>Tableau_Lancer_la_requête_à_partir_de_Excel_Files102567[[#This Row],[Aide Massif]]+Tableau_Lancer_la_requête_à_partir_de_Excel_Files102567[[#This Row],[''Autre Public'']]</f>
        <v>128529.2</v>
      </c>
      <c r="G21" s="9">
        <f>Tableau_Lancer_la_requête_à_partir_de_Excel_Files102567[[#This Row],[Aide 
publique]]/Tableau_Lancer_la_requête_à_partir_de_Excel_Files102567[[#This Row],[''Coût total éligible'']]</f>
        <v>0.91090450836399517</v>
      </c>
      <c r="H21" s="8">
        <f>Tableau_Lancer_la_requête_à_partir_de_Excel_Files102567[[#This Row],[''FEDER'']]+Tableau_Lancer_la_requête_à_partir_de_Excel_Files102567[[#This Row],[Total Etat]]+Tableau_Lancer_la_requête_à_partir_de_Excel_Files102567[[#This Row],[Total Régions]]+Tableau_Lancer_la_requête_à_partir_de_Excel_Files102567[[#This Row],[Total Dpts]]</f>
        <v>53136.2</v>
      </c>
      <c r="I21" s="9">
        <f>Tableau_Lancer_la_requête_à_partir_de_Excel_Files102567[[#This Row],[Aide Massif]]/Tableau_Lancer_la_requête_à_partir_de_Excel_Files102567[[#This Row],[''Coût total éligible'']]</f>
        <v>0.37658371900961746</v>
      </c>
      <c r="J21" s="8">
        <v>51136.2</v>
      </c>
      <c r="K21" s="8">
        <f>Tableau_Lancer_la_requête_à_partir_de_Excel_Files102567[[#This Row],[''FNADT '']]+Tableau_Lancer_la_requête_à_partir_de_Excel_Files102567[[#This Row],[''Agriculture'']]</f>
        <v>0</v>
      </c>
      <c r="L21" s="8"/>
      <c r="M21" s="8"/>
      <c r="N21" s="8">
        <f>Tableau_Lancer_la_requête_à_partir_de_Excel_Files102567[[#This Row],[''ALPC'']]+Tableau_Lancer_la_requête_à_partir_de_Excel_Files102567[[#This Row],[''AURA'']]+Tableau_Lancer_la_requête_à_partir_de_Excel_Files102567[[#This Row],[''BFC'']]+Tableau_Lancer_la_requête_à_partir_de_Excel_Files102567[[#This Row],[''LRMP'']]</f>
        <v>0</v>
      </c>
      <c r="O21" s="8"/>
      <c r="P21" s="8"/>
      <c r="Q21" s="8"/>
      <c r="R21" s="8"/>
      <c r="S21" s="8">
        <f>Tableau_Lancer_la_requête_à_partir_de_Excel_Files102567[[#This Row],[''03'']]+Tableau_Lancer_la_requête_à_partir_de_Excel_Files102567[[#This Row],[''07'']]+Tableau_Lancer_la_requête_à_partir_de_Excel_Files102567[[#This Row],[''11'']]+Tableau_Lancer_la_requête_à_partir_de_Excel_Files102567[[#This Row],[''12'']]+Tableau_Lancer_la_requête_à_partir_de_Excel_Files102567[[#This Row],[''15'']]+Tableau_Lancer_la_requête_à_partir_de_Excel_Files102567[[#This Row],[''19'']]+Tableau_Lancer_la_requête_à_partir_de_Excel_Files102567[[#This Row],[''21'']]+Tableau_Lancer_la_requête_à_partir_de_Excel_Files102567[[#This Row],[''23'']]+Tableau_Lancer_la_requête_à_partir_de_Excel_Files102567[[#This Row],[''30'']]+Tableau_Lancer_la_requête_à_partir_de_Excel_Files102567[[#This Row],[''34'']]+Tableau_Lancer_la_requête_à_partir_de_Excel_Files102567[[#This Row],[''42'']]+Tableau_Lancer_la_requête_à_partir_de_Excel_Files102567[[#This Row],[''43'']]+Tableau_Lancer_la_requête_à_partir_de_Excel_Files102567[[#This Row],[''46'']]+Tableau_Lancer_la_requête_à_partir_de_Excel_Files102567[[#This Row],[''48'']]+Tableau_Lancer_la_requête_à_partir_de_Excel_Files102567[[#This Row],[''58'']]+Tableau_Lancer_la_requête_à_partir_de_Excel_Files102567[[#This Row],[''63'']]+Tableau_Lancer_la_requête_à_partir_de_Excel_Files102567[[#This Row],[''69'']]+Tableau_Lancer_la_requête_à_partir_de_Excel_Files102567[[#This Row],[''71'']]+Tableau_Lancer_la_requête_à_partir_de_Excel_Files102567[[#This Row],[''81'']]+Tableau_Lancer_la_requête_à_partir_de_Excel_Files102567[[#This Row],[''82'']]+Tableau_Lancer_la_requête_à_partir_de_Excel_Files102567[[#This Row],[''87'']]+Tableau_Lancer_la_requête_à_partir_de_Excel_Files102567[[#This Row],[''89'']]</f>
        <v>2000</v>
      </c>
      <c r="T21" s="8"/>
      <c r="U21" s="8"/>
      <c r="V21" s="8"/>
      <c r="W21" s="8"/>
      <c r="X21" s="8"/>
      <c r="Y21" s="8"/>
      <c r="Z21" s="8"/>
      <c r="AA21" s="8"/>
      <c r="AB21" s="8"/>
      <c r="AC21" s="8"/>
      <c r="AD21" s="8"/>
      <c r="AE21" s="8"/>
      <c r="AF21" s="8"/>
      <c r="AG21" s="8">
        <v>2000</v>
      </c>
      <c r="AH21" s="8"/>
      <c r="AI21" s="8"/>
      <c r="AJ21" s="8"/>
      <c r="AK21" s="8"/>
      <c r="AL21" s="8"/>
      <c r="AM21" s="8"/>
      <c r="AN21" s="8"/>
      <c r="AO21" s="8"/>
      <c r="AP21" s="8">
        <v>75393</v>
      </c>
      <c r="AQ21" s="8" t="s">
        <v>77</v>
      </c>
      <c r="AS21" s="24"/>
      <c r="CB21" s="4"/>
      <c r="CD21" s="3"/>
    </row>
    <row r="22" spans="1:82" ht="15.75" thickTop="1" x14ac:dyDescent="0.25">
      <c r="A22" s="70"/>
      <c r="B22" s="70" t="s">
        <v>11</v>
      </c>
      <c r="C22" s="71">
        <f>SUBTOTAL(103,Tableau_Lancer_la_requête_à_partir_de_Excel_Files102567[Nom_MO])</f>
        <v>15</v>
      </c>
      <c r="D22" s="71"/>
      <c r="E22" s="72">
        <f>SUBTOTAL(109,Tableau_Lancer_la_requête_à_partir_de_Excel_Files102567[''Coût total éligible''])</f>
        <v>1529573.6736732172</v>
      </c>
      <c r="F22" s="72">
        <f>SUBTOTAL(109,Tableau_Lancer_la_requête_à_partir_de_Excel_Files102567[Aide 
publique])</f>
        <v>1022331.0299999999</v>
      </c>
      <c r="G22" s="73"/>
      <c r="H22" s="72">
        <f>SUBTOTAL(109,Tableau_Lancer_la_requête_à_partir_de_Excel_Files102567[Aide Massif])</f>
        <v>911773.29999999993</v>
      </c>
      <c r="I22" s="73"/>
      <c r="J22" s="72">
        <f>SUBTOTAL(109,Tableau_Lancer_la_requête_à_partir_de_Excel_Files102567[''FEDER''])</f>
        <v>589745.48999999987</v>
      </c>
      <c r="K22" s="72">
        <f>SUBTOTAL(109,Tableau_Lancer_la_requête_à_partir_de_Excel_Files102567[Total Etat])</f>
        <v>117628.34</v>
      </c>
      <c r="L22" s="70"/>
      <c r="M22" s="72">
        <f>SUBTOTAL(109,Tableau_Lancer_la_requête_à_partir_de_Excel_Files102567[''Agriculture''])</f>
        <v>0</v>
      </c>
      <c r="N22" s="72">
        <f>SUBTOTAL(109,Tableau_Lancer_la_requête_à_partir_de_Excel_Files102567[Total Régions])</f>
        <v>190399.47</v>
      </c>
      <c r="O22" s="72">
        <f>SUBTOTAL(109,Tableau_Lancer_la_requête_à_partir_de_Excel_Files102567[''ALPC''])</f>
        <v>36964.94</v>
      </c>
      <c r="P22" s="72">
        <f>SUBTOTAL(109,Tableau_Lancer_la_requête_à_partir_de_Excel_Files102567[''AURA''])</f>
        <v>129342.32</v>
      </c>
      <c r="Q22" s="72">
        <f>SUBTOTAL(109,Tableau_Lancer_la_requête_à_partir_de_Excel_Files102567[''BFC''])</f>
        <v>0</v>
      </c>
      <c r="R22" s="72">
        <f>SUBTOTAL(109,Tableau_Lancer_la_requête_à_partir_de_Excel_Files102567[''LRMP''])</f>
        <v>24092.21</v>
      </c>
      <c r="S22" s="72">
        <f>SUBTOTAL(109,Tableau_Lancer_la_requête_à_partir_de_Excel_Files102567[Total Dpts])</f>
        <v>14000</v>
      </c>
      <c r="T22" s="72">
        <f>SUBTOTAL(109,Tableau_Lancer_la_requête_à_partir_de_Excel_Files102567[''03''])</f>
        <v>0</v>
      </c>
      <c r="U22" s="72">
        <f>SUBTOTAL(109,Tableau_Lancer_la_requête_à_partir_de_Excel_Files102567[''07''])</f>
        <v>12000</v>
      </c>
      <c r="V22" s="72">
        <f>SUBTOTAL(109,Tableau_Lancer_la_requête_à_partir_de_Excel_Files102567[''11''])</f>
        <v>0</v>
      </c>
      <c r="W22" s="72">
        <f>SUBTOTAL(109,Tableau_Lancer_la_requête_à_partir_de_Excel_Files102567[''12''])</f>
        <v>0</v>
      </c>
      <c r="X22" s="72">
        <f>SUBTOTAL(109,Tableau_Lancer_la_requête_à_partir_de_Excel_Files102567[''15''])</f>
        <v>0</v>
      </c>
      <c r="Y22" s="72">
        <f>SUBTOTAL(109,Tableau_Lancer_la_requête_à_partir_de_Excel_Files102567[''19''])</f>
        <v>0</v>
      </c>
      <c r="Z22" s="72">
        <f>SUBTOTAL(109,Tableau_Lancer_la_requête_à_partir_de_Excel_Files102567[''21''])</f>
        <v>0</v>
      </c>
      <c r="AA22" s="72">
        <f>SUBTOTAL(109,Tableau_Lancer_la_requête_à_partir_de_Excel_Files102567[''23''])</f>
        <v>0</v>
      </c>
      <c r="AB22" s="72">
        <f>SUBTOTAL(109,Tableau_Lancer_la_requête_à_partir_de_Excel_Files102567[''30''])</f>
        <v>0</v>
      </c>
      <c r="AC22" s="72">
        <f>SUBTOTAL(109,Tableau_Lancer_la_requête_à_partir_de_Excel_Files102567[''34''])</f>
        <v>0</v>
      </c>
      <c r="AD22" s="72">
        <f>SUBTOTAL(109,Tableau_Lancer_la_requête_à_partir_de_Excel_Files102567[''42''])</f>
        <v>0</v>
      </c>
      <c r="AE22" s="72">
        <f>SUBTOTAL(109,Tableau_Lancer_la_requête_à_partir_de_Excel_Files102567[''43''])</f>
        <v>0</v>
      </c>
      <c r="AF22" s="72">
        <f>SUBTOTAL(109,Tableau_Lancer_la_requête_à_partir_de_Excel_Files102567[''46''])</f>
        <v>0</v>
      </c>
      <c r="AG22" s="72">
        <f>SUBTOTAL(109,Tableau_Lancer_la_requête_à_partir_de_Excel_Files102567[''48''])</f>
        <v>2000</v>
      </c>
      <c r="AH22" s="72">
        <f>SUBTOTAL(109,Tableau_Lancer_la_requête_à_partir_de_Excel_Files102567[''58''])</f>
        <v>0</v>
      </c>
      <c r="AI22" s="72">
        <f>SUBTOTAL(109,Tableau_Lancer_la_requête_à_partir_de_Excel_Files102567[''63''])</f>
        <v>0</v>
      </c>
      <c r="AJ22" s="72">
        <f>SUBTOTAL(109,Tableau_Lancer_la_requête_à_partir_de_Excel_Files102567[''69''])</f>
        <v>0</v>
      </c>
      <c r="AK22" s="72">
        <f>SUBTOTAL(109,Tableau_Lancer_la_requête_à_partir_de_Excel_Files102567[''71''])</f>
        <v>0</v>
      </c>
      <c r="AL22" s="72">
        <f>SUBTOTAL(109,Tableau_Lancer_la_requête_à_partir_de_Excel_Files102567[''81''])</f>
        <v>0</v>
      </c>
      <c r="AM22" s="72">
        <f>SUBTOTAL(109,Tableau_Lancer_la_requête_à_partir_de_Excel_Files102567[''82''])</f>
        <v>0</v>
      </c>
      <c r="AN22" s="72">
        <f>SUBTOTAL(109,Tableau_Lancer_la_requête_à_partir_de_Excel_Files102567[''87''])</f>
        <v>0</v>
      </c>
      <c r="AO22" s="72">
        <f>SUBTOTAL(109,Tableau_Lancer_la_requête_à_partir_de_Excel_Files102567[''89''])</f>
        <v>0</v>
      </c>
      <c r="AP22" s="72">
        <f>SUBTOTAL(109,Tableau_Lancer_la_requête_à_partir_de_Excel_Files102567[''Autre Public''])</f>
        <v>110557.73000000001</v>
      </c>
      <c r="AQ22" s="74"/>
      <c r="AS22" s="29"/>
      <c r="CB22" s="4"/>
      <c r="CD22" s="3"/>
    </row>
    <row r="32" spans="1:82" x14ac:dyDescent="0.25">
      <c r="E32" s="3" t="s">
        <v>353</v>
      </c>
      <c r="F32" s="6" t="s">
        <v>354</v>
      </c>
    </row>
    <row r="33" spans="4:6" x14ac:dyDescent="0.25">
      <c r="D33" t="s">
        <v>112</v>
      </c>
      <c r="E33" s="3">
        <f>SUMIF(Tableau_Lancer_la_requête_à_partir_de_Excel_Files102567[Avis Prog],"1-Favorable",Tableau_Lancer_la_requête_à_partir_de_Excel_Files102567[''FEDER''])</f>
        <v>509964.29000000004</v>
      </c>
      <c r="F33" s="3" t="e">
        <f>SUMIF(#REF!,"1-Favorable",Tableau_Lancer_la_requête_à_partir_de_Excel_Files102567[''FEDER''])</f>
        <v>#REF!</v>
      </c>
    </row>
    <row r="34" spans="4:6" x14ac:dyDescent="0.25">
      <c r="D34" t="s">
        <v>56</v>
      </c>
      <c r="E34" s="3">
        <f>SUMIF(Tableau_Lancer_la_requête_à_partir_de_Excel_Files102567[Avis Prog],"1-Favorable",Tableau_Lancer_la_requête_à_partir_de_Excel_Files102567[Total Etat])</f>
        <v>117628.34</v>
      </c>
      <c r="F34" s="3" t="e">
        <f>SUMIF(#REF!,"1-Favorable",Tableau_Lancer_la_requête_à_partir_de_Excel_Files102567[Total Etat])</f>
        <v>#REF!</v>
      </c>
    </row>
    <row r="35" spans="4:6" x14ac:dyDescent="0.25">
      <c r="D35" t="s">
        <v>57</v>
      </c>
      <c r="E35" s="3">
        <f>SUMIF(Tableau_Lancer_la_requête_à_partir_de_Excel_Files102567[Avis Prog],"1-Favorable",Tableau_Lancer_la_requête_à_partir_de_Excel_Files102567[Total Régions])</f>
        <v>156799.47</v>
      </c>
      <c r="F35" s="3" t="e">
        <f>SUMIF(#REF!,"1-Favorable",Tableau_Lancer_la_requête_à_partir_de_Excel_Files102567[Total Régions])</f>
        <v>#REF!</v>
      </c>
    </row>
    <row r="36" spans="4:6" x14ac:dyDescent="0.25">
      <c r="D36" s="3" t="s">
        <v>113</v>
      </c>
      <c r="E36" s="3">
        <f>SUMIF(Tableau_Lancer_la_requête_à_partir_de_Excel_Files102567[Avis Prog],"1-Favorable",Tableau_Lancer_la_requête_à_partir_de_Excel_Files102567[''ALPC''])</f>
        <v>36964.94</v>
      </c>
      <c r="F36" s="3" t="e">
        <f>SUMIF(#REF!,"1-Favorable",Tableau_Lancer_la_requête_à_partir_de_Excel_Files102567[''ALPC''])</f>
        <v>#REF!</v>
      </c>
    </row>
    <row r="37" spans="4:6" x14ac:dyDescent="0.25">
      <c r="D37" s="3" t="s">
        <v>114</v>
      </c>
      <c r="E37" s="3">
        <f>SUMIF(Tableau_Lancer_la_requête_à_partir_de_Excel_Files102567[Avis Prog],"1-Favorable",Tableau_Lancer_la_requête_à_partir_de_Excel_Files102567[''AURA''])</f>
        <v>95742.32</v>
      </c>
      <c r="F37" s="3" t="e">
        <f>SUMIF(#REF!,"1-Favorable",Tableau_Lancer_la_requête_à_partir_de_Excel_Files102567[''AURA''])</f>
        <v>#REF!</v>
      </c>
    </row>
    <row r="38" spans="4:6" x14ac:dyDescent="0.25">
      <c r="D38" s="3" t="s">
        <v>115</v>
      </c>
      <c r="E38" s="3">
        <f>SUMIF(Tableau_Lancer_la_requête_à_partir_de_Excel_Files102567[Avis Prog],"1-Favorable",Tableau_Lancer_la_requête_à_partir_de_Excel_Files102567[''BFC''])</f>
        <v>0</v>
      </c>
      <c r="F38" s="3" t="e">
        <f>SUMIF(#REF!,"1-Favorable",Tableau_Lancer_la_requête_à_partir_de_Excel_Files102567[''BFC''])</f>
        <v>#REF!</v>
      </c>
    </row>
    <row r="39" spans="4:6" x14ac:dyDescent="0.25">
      <c r="D39" s="3" t="s">
        <v>116</v>
      </c>
      <c r="E39" s="3">
        <f>SUMIF(Tableau_Lancer_la_requête_à_partir_de_Excel_Files102567[Avis Prog],"1-Favorable",Tableau_Lancer_la_requête_à_partir_de_Excel_Files102567[''LRMP''])</f>
        <v>24092.21</v>
      </c>
      <c r="F39" s="3" t="e">
        <f>SUMIF(#REF!,"1-Favorable",Tableau_Lancer_la_requête_à_partir_de_Excel_Files102567[''LRMP''])</f>
        <v>#REF!</v>
      </c>
    </row>
    <row r="40" spans="4:6" x14ac:dyDescent="0.25">
      <c r="D40" t="s">
        <v>58</v>
      </c>
      <c r="E40" s="3">
        <f>SUMIF(Tableau_Lancer_la_requête_à_partir_de_Excel_Files102567[Avis Prog],"1-Favorable",Tableau_Lancer_la_requête_à_partir_de_Excel_Files102567[Total Dpts])</f>
        <v>14000</v>
      </c>
      <c r="F40" s="3" t="e">
        <f>SUMIF(#REF!,"1-Favorable",Tableau_Lancer_la_requête_à_partir_de_Excel_Files102567[Total Dpts])</f>
        <v>#REF!</v>
      </c>
    </row>
    <row r="41" spans="4:6" x14ac:dyDescent="0.25">
      <c r="D41" t="s">
        <v>32</v>
      </c>
      <c r="E41" s="3">
        <f>SUMIF(Tableau_Lancer_la_requête_à_partir_de_Excel_Files102567[Avis Prog],"1-Favorable",Tableau_Lancer_la_requête_à_partir_de_Excel_Files102567[''03''])</f>
        <v>0</v>
      </c>
      <c r="F41" s="3" t="e">
        <f>SUMIF(#REF!,"1-Favorable",Tableau_Lancer_la_requête_à_partir_de_Excel_Files102567[''03''])</f>
        <v>#REF!</v>
      </c>
    </row>
    <row r="42" spans="4:6" x14ac:dyDescent="0.25">
      <c r="D42" t="s">
        <v>33</v>
      </c>
      <c r="E42" s="3">
        <f>SUMIF(Tableau_Lancer_la_requête_à_partir_de_Excel_Files102567[Avis Prog],"1-Favorable",Tableau_Lancer_la_requête_à_partir_de_Excel_Files102567[''07''])</f>
        <v>12000</v>
      </c>
      <c r="F42" s="3" t="e">
        <f>SUMIF(#REF!,"1-Favorable",Tableau_Lancer_la_requête_à_partir_de_Excel_Files102567[''07''])</f>
        <v>#REF!</v>
      </c>
    </row>
    <row r="43" spans="4:6" x14ac:dyDescent="0.25">
      <c r="D43" t="s">
        <v>34</v>
      </c>
      <c r="E43" s="3">
        <f>SUMIF(Tableau_Lancer_la_requête_à_partir_de_Excel_Files102567[Avis Prog],"1-Favorable",Tableau_Lancer_la_requête_à_partir_de_Excel_Files102567[''11''])</f>
        <v>0</v>
      </c>
      <c r="F43" s="3" t="e">
        <f>SUMIF(#REF!,"1-Favorable",Tableau_Lancer_la_requête_à_partir_de_Excel_Files102567[''11''])</f>
        <v>#REF!</v>
      </c>
    </row>
    <row r="44" spans="4:6" x14ac:dyDescent="0.25">
      <c r="D44" t="s">
        <v>35</v>
      </c>
      <c r="E44" s="3">
        <f>SUMIF(Tableau_Lancer_la_requête_à_partir_de_Excel_Files102567[Avis Prog],"1-Favorable",Tableau_Lancer_la_requête_à_partir_de_Excel_Files102567[''12''])</f>
        <v>0</v>
      </c>
      <c r="F44" s="3" t="e">
        <f>SUMIF(#REF!,"1-Favorable",Tableau_Lancer_la_requête_à_partir_de_Excel_Files102567[''12''])</f>
        <v>#REF!</v>
      </c>
    </row>
    <row r="45" spans="4:6" x14ac:dyDescent="0.25">
      <c r="D45" t="s">
        <v>36</v>
      </c>
      <c r="E45" s="3">
        <f>SUMIF(Tableau_Lancer_la_requête_à_partir_de_Excel_Files102567[Avis Prog],"1-Favorable",Tableau_Lancer_la_requête_à_partir_de_Excel_Files102567[''15''])</f>
        <v>0</v>
      </c>
      <c r="F45" s="3" t="e">
        <f>SUMIF(#REF!,"1-Favorable",Tableau_Lancer_la_requête_à_partir_de_Excel_Files102567[''15''])</f>
        <v>#REF!</v>
      </c>
    </row>
    <row r="46" spans="4:6" x14ac:dyDescent="0.25">
      <c r="D46" t="s">
        <v>37</v>
      </c>
      <c r="E46" s="3">
        <f>SUMIF(Tableau_Lancer_la_requête_à_partir_de_Excel_Files102567[Avis Prog],"1-Favorable",Tableau_Lancer_la_requête_à_partir_de_Excel_Files102567[''19''])</f>
        <v>0</v>
      </c>
      <c r="F46" s="3" t="e">
        <f>SUMIF(#REF!,"1-Favorable",Tableau_Lancer_la_requête_à_partir_de_Excel_Files102567[''19''])</f>
        <v>#REF!</v>
      </c>
    </row>
    <row r="47" spans="4:6" x14ac:dyDescent="0.25">
      <c r="D47" t="s">
        <v>38</v>
      </c>
      <c r="E47" s="3">
        <f>SUMIF(Tableau_Lancer_la_requête_à_partir_de_Excel_Files102567[Avis Prog],"1-Favorable",Tableau_Lancer_la_requête_à_partir_de_Excel_Files102567[''21''])</f>
        <v>0</v>
      </c>
      <c r="F47" s="3" t="e">
        <f>SUMIF(#REF!,"1-Favorable",Tableau_Lancer_la_requête_à_partir_de_Excel_Files102567[''21''])</f>
        <v>#REF!</v>
      </c>
    </row>
    <row r="48" spans="4:6" x14ac:dyDescent="0.25">
      <c r="D48" t="s">
        <v>39</v>
      </c>
      <c r="E48" s="3">
        <f>SUMIF(Tableau_Lancer_la_requête_à_partir_de_Excel_Files102567[Avis Prog],"1-Favorable",Tableau_Lancer_la_requête_à_partir_de_Excel_Files102567[''23''])</f>
        <v>0</v>
      </c>
      <c r="F48" s="3" t="e">
        <f>SUMIF(#REF!,"1-Favorable",Tableau_Lancer_la_requête_à_partir_de_Excel_Files102567[''23''])</f>
        <v>#REF!</v>
      </c>
    </row>
    <row r="49" spans="4:6" x14ac:dyDescent="0.25">
      <c r="D49" t="s">
        <v>40</v>
      </c>
      <c r="E49" s="3">
        <f>SUMIF(Tableau_Lancer_la_requête_à_partir_de_Excel_Files102567[Avis Prog],"1-Favorable",Tableau_Lancer_la_requête_à_partir_de_Excel_Files102567[''30''])</f>
        <v>0</v>
      </c>
      <c r="F49" s="3" t="e">
        <f>SUMIF(#REF!,"1-Favorable",Tableau_Lancer_la_requête_à_partir_de_Excel_Files102567[''30''])</f>
        <v>#REF!</v>
      </c>
    </row>
    <row r="50" spans="4:6" x14ac:dyDescent="0.25">
      <c r="D50" t="s">
        <v>41</v>
      </c>
      <c r="E50" s="3">
        <f>SUMIF(Tableau_Lancer_la_requête_à_partir_de_Excel_Files102567[Avis Prog],"1-Favorable",Tableau_Lancer_la_requête_à_partir_de_Excel_Files102567[''34''])</f>
        <v>0</v>
      </c>
      <c r="F50" s="3" t="e">
        <f>SUMIF(#REF!,"1-Favorable",Tableau_Lancer_la_requête_à_partir_de_Excel_Files102567[''34''])</f>
        <v>#REF!</v>
      </c>
    </row>
    <row r="51" spans="4:6" x14ac:dyDescent="0.25">
      <c r="D51" t="s">
        <v>42</v>
      </c>
      <c r="E51" s="3">
        <f>SUMIF(Tableau_Lancer_la_requête_à_partir_de_Excel_Files102567[Avis Prog],"1-Favorable",Tableau_Lancer_la_requête_à_partir_de_Excel_Files102567[''42''])</f>
        <v>0</v>
      </c>
      <c r="F51" s="3" t="e">
        <f>SUMIF(#REF!,"1-Favorable",Tableau_Lancer_la_requête_à_partir_de_Excel_Files102567[''42''])</f>
        <v>#REF!</v>
      </c>
    </row>
    <row r="52" spans="4:6" x14ac:dyDescent="0.25">
      <c r="D52" t="s">
        <v>43</v>
      </c>
      <c r="E52" s="3">
        <f>SUMIF(Tableau_Lancer_la_requête_à_partir_de_Excel_Files102567[Avis Prog],"1-Favorable",Tableau_Lancer_la_requête_à_partir_de_Excel_Files102567[''43''])</f>
        <v>0</v>
      </c>
      <c r="F52" s="3" t="e">
        <f>SUMIF(#REF!,"1-Favorable",Tableau_Lancer_la_requête_à_partir_de_Excel_Files102567[''43''])</f>
        <v>#REF!</v>
      </c>
    </row>
    <row r="53" spans="4:6" x14ac:dyDescent="0.25">
      <c r="D53" t="s">
        <v>44</v>
      </c>
      <c r="E53" s="3">
        <f>SUMIF(Tableau_Lancer_la_requête_à_partir_de_Excel_Files102567[Avis Prog],"1-Favorable",Tableau_Lancer_la_requête_à_partir_de_Excel_Files102567[''46''])</f>
        <v>0</v>
      </c>
      <c r="F53" s="3" t="e">
        <f>SUMIF(#REF!,"1-Favorable",Tableau_Lancer_la_requête_à_partir_de_Excel_Files102567[''46''])</f>
        <v>#REF!</v>
      </c>
    </row>
    <row r="54" spans="4:6" x14ac:dyDescent="0.25">
      <c r="D54" t="s">
        <v>45</v>
      </c>
      <c r="E54" s="3">
        <f>SUMIF(Tableau_Lancer_la_requête_à_partir_de_Excel_Files102567[Avis Prog],"1-Favorable",Tableau_Lancer_la_requête_à_partir_de_Excel_Files102567[''48''])</f>
        <v>2000</v>
      </c>
      <c r="F54" s="3" t="e">
        <f>SUMIF(#REF!,"1-Favorable",Tableau_Lancer_la_requête_à_partir_de_Excel_Files102567[''48''])</f>
        <v>#REF!</v>
      </c>
    </row>
    <row r="55" spans="4:6" x14ac:dyDescent="0.25">
      <c r="D55" t="s">
        <v>46</v>
      </c>
      <c r="E55" s="3">
        <f>SUMIF(Tableau_Lancer_la_requête_à_partir_de_Excel_Files102567[Avis Prog],"1-Favorable",Tableau_Lancer_la_requête_à_partir_de_Excel_Files102567[''58''])</f>
        <v>0</v>
      </c>
      <c r="F55" s="3" t="e">
        <f>SUMIF(#REF!,"1-Favorable",Tableau_Lancer_la_requête_à_partir_de_Excel_Files102567[''58''])</f>
        <v>#REF!</v>
      </c>
    </row>
    <row r="56" spans="4:6" x14ac:dyDescent="0.25">
      <c r="D56" t="s">
        <v>47</v>
      </c>
      <c r="E56" s="3">
        <f>SUMIF(Tableau_Lancer_la_requête_à_partir_de_Excel_Files102567[Avis Prog],"1-Favorable",Tableau_Lancer_la_requête_à_partir_de_Excel_Files102567[''63''])</f>
        <v>0</v>
      </c>
      <c r="F56" s="3" t="e">
        <f>SUMIF(#REF!,"1-Favorable",Tableau_Lancer_la_requête_à_partir_de_Excel_Files102567[''63''])</f>
        <v>#REF!</v>
      </c>
    </row>
    <row r="57" spans="4:6" x14ac:dyDescent="0.25">
      <c r="D57" t="s">
        <v>48</v>
      </c>
      <c r="E57" s="3">
        <f>SUMIF(Tableau_Lancer_la_requête_à_partir_de_Excel_Files102567[Avis Prog],"1-Favorable",Tableau_Lancer_la_requête_à_partir_de_Excel_Files102567[''69''])</f>
        <v>0</v>
      </c>
      <c r="F57" s="3" t="e">
        <f>SUMIF(#REF!,"1-Favorable",Tableau_Lancer_la_requête_à_partir_de_Excel_Files102567[''69''])</f>
        <v>#REF!</v>
      </c>
    </row>
    <row r="58" spans="4:6" x14ac:dyDescent="0.25">
      <c r="D58" t="s">
        <v>49</v>
      </c>
      <c r="E58" s="3">
        <f>SUMIF(Tableau_Lancer_la_requête_à_partir_de_Excel_Files102567[Avis Prog],"1-Favorable",Tableau_Lancer_la_requête_à_partir_de_Excel_Files102567[''71''])</f>
        <v>0</v>
      </c>
      <c r="F58" s="3" t="e">
        <f>SUMIF(#REF!,"1-Favorable",Tableau_Lancer_la_requête_à_partir_de_Excel_Files102567[''71''])</f>
        <v>#REF!</v>
      </c>
    </row>
    <row r="59" spans="4:6" x14ac:dyDescent="0.25">
      <c r="D59" t="s">
        <v>50</v>
      </c>
      <c r="E59" s="3">
        <f>SUMIF(Tableau_Lancer_la_requête_à_partir_de_Excel_Files102567[Avis Prog],"1-Favorable",Tableau_Lancer_la_requête_à_partir_de_Excel_Files102567[''81''])</f>
        <v>0</v>
      </c>
      <c r="F59" s="3" t="e">
        <f>SUMIF(#REF!,"1-Favorable",Tableau_Lancer_la_requête_à_partir_de_Excel_Files102567[''81''])</f>
        <v>#REF!</v>
      </c>
    </row>
    <row r="60" spans="4:6" x14ac:dyDescent="0.25">
      <c r="D60" t="s">
        <v>51</v>
      </c>
      <c r="E60" s="3">
        <f>SUMIF(Tableau_Lancer_la_requête_à_partir_de_Excel_Files102567[Avis Prog],"1-Favorable",Tableau_Lancer_la_requête_à_partir_de_Excel_Files102567[''82''])</f>
        <v>0</v>
      </c>
      <c r="F60" s="3" t="e">
        <f>SUMIF(#REF!,"1-Favorable",Tableau_Lancer_la_requête_à_partir_de_Excel_Files102567[''82''])</f>
        <v>#REF!</v>
      </c>
    </row>
    <row r="61" spans="4:6" x14ac:dyDescent="0.25">
      <c r="D61" t="s">
        <v>52</v>
      </c>
      <c r="E61" s="3">
        <f>SUMIF(Tableau_Lancer_la_requête_à_partir_de_Excel_Files102567[Avis Prog],"1-Favorable",Tableau_Lancer_la_requête_à_partir_de_Excel_Files102567[''87''])</f>
        <v>0</v>
      </c>
      <c r="F61" s="3" t="e">
        <f>SUMIF(#REF!,"1-Favorable",Tableau_Lancer_la_requête_à_partir_de_Excel_Files102567[''87''])</f>
        <v>#REF!</v>
      </c>
    </row>
    <row r="62" spans="4:6" x14ac:dyDescent="0.25">
      <c r="D62" t="s">
        <v>53</v>
      </c>
      <c r="E62" s="3">
        <f>SUMIF(Tableau_Lancer_la_requête_à_partir_de_Excel_Files102567[Avis Prog],"1-Favorable",Tableau_Lancer_la_requête_à_partir_de_Excel_Files102567[''89''])</f>
        <v>0</v>
      </c>
      <c r="F62" s="3" t="e">
        <f>SUMIF(#REF!,"1-Favorable",Tableau_Lancer_la_requête_à_partir_de_Excel_Files102567[''89''])</f>
        <v>#REF!</v>
      </c>
    </row>
  </sheetData>
  <mergeCells count="1">
    <mergeCell ref="A1:B1"/>
  </mergeCells>
  <conditionalFormatting sqref="L7:L21 A7:A21 AQ7:AQ21">
    <cfRule type="cellIs" dxfId="557" priority="5" operator="equal">
      <formula>"6-Retiré/Abandon"</formula>
    </cfRule>
    <cfRule type="cellIs" dxfId="556" priority="6" operator="equal">
      <formula>"5-Défavorable"</formula>
    </cfRule>
    <cfRule type="cellIs" dxfId="555" priority="7" operator="equal">
      <formula>"4-Ajournement"</formula>
    </cfRule>
    <cfRule type="cellIs" dxfId="554" priority="8" operator="equal">
      <formula>"1-Favorable"</formula>
    </cfRule>
  </conditionalFormatting>
  <conditionalFormatting sqref="AS7:AS13 AS16:AS21">
    <cfRule type="cellIs" dxfId="553" priority="1" operator="equal">
      <formula>"6-Retiré/Abandon"</formula>
    </cfRule>
    <cfRule type="cellIs" dxfId="552" priority="2" operator="equal">
      <formula>"5-Défavorable"</formula>
    </cfRule>
    <cfRule type="cellIs" dxfId="551" priority="3" operator="equal">
      <formula>"4-Ajournement"</formula>
    </cfRule>
    <cfRule type="cellIs" dxfId="550" priority="4" operator="equal">
      <formula>"1-Favorable"</formula>
    </cfRule>
  </conditionalFormatting>
  <dataValidations count="1">
    <dataValidation type="list" allowBlank="1" showInputMessage="1" showErrorMessage="1" sqref="AQ7:AQ21">
      <formula1>"1-Favorable,4-Ajournement,5-Défavorable,6-Retiré/Abandon"</formula1>
    </dataValidation>
  </dataValidations>
  <printOptions horizontalCentered="1" verticalCentered="1"/>
  <pageMargins left="0.25" right="0.25" top="0.75" bottom="0.75" header="0.3" footer="0.3"/>
  <pageSetup paperSize="8" scale="51" fitToHeight="0" orientation="landscape" r:id="rId1"/>
  <drawing r:id="rId2"/>
  <tableParts count="1">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C48"/>
  <sheetViews>
    <sheetView view="pageBreakPreview" zoomScale="80" zoomScaleNormal="60" zoomScaleSheetLayoutView="80" workbookViewId="0"/>
  </sheetViews>
  <sheetFormatPr baseColWidth="10" defaultRowHeight="15" outlineLevelCol="1" x14ac:dyDescent="0.25"/>
  <cols>
    <col min="1" max="1" width="13.85546875" style="3" customWidth="1"/>
    <col min="2" max="2" width="35" style="4" customWidth="1"/>
    <col min="3" max="3" width="48" style="5" customWidth="1"/>
    <col min="4" max="4" width="14.85546875" style="3" bestFit="1" customWidth="1"/>
    <col min="5" max="5" width="13.5703125" style="3" bestFit="1" customWidth="1"/>
    <col min="6" max="6" width="12" style="6" customWidth="1"/>
    <col min="7" max="7" width="16" style="3" bestFit="1" customWidth="1"/>
    <col min="8" max="8" width="11.28515625" style="6" customWidth="1"/>
    <col min="9" max="9" width="13.85546875" style="3" bestFit="1" customWidth="1"/>
    <col min="10" max="10" width="15" style="3" bestFit="1" customWidth="1"/>
    <col min="11" max="11" width="11.5703125" style="3" hidden="1" customWidth="1" outlineLevel="1"/>
    <col min="12" max="12" width="16.5703125" style="3" hidden="1" customWidth="1" outlineLevel="1"/>
    <col min="13" max="13" width="13.7109375" style="3" bestFit="1" customWidth="1" collapsed="1"/>
    <col min="14" max="14" width="11.140625" style="3" hidden="1" customWidth="1" outlineLevel="1"/>
    <col min="15" max="15" width="11.85546875" style="3" hidden="1" customWidth="1" outlineLevel="1"/>
    <col min="16" max="16" width="10" style="3" hidden="1" customWidth="1" outlineLevel="1"/>
    <col min="17" max="17" width="11.7109375" style="3" hidden="1" customWidth="1" outlineLevel="1"/>
    <col min="18" max="18" width="16.140625" style="3" bestFit="1" customWidth="1" collapsed="1"/>
    <col min="19" max="40" width="8.7109375" style="3" hidden="1" customWidth="1" outlineLevel="1"/>
    <col min="41" max="41" width="11.5703125" style="3" bestFit="1" customWidth="1" collapsed="1"/>
    <col min="42" max="42" width="15.42578125" style="3" bestFit="1" customWidth="1"/>
    <col min="43" max="43" width="15.42578125" style="3" hidden="1" customWidth="1"/>
    <col min="44" max="44" width="61.85546875" style="3" customWidth="1"/>
    <col min="45" max="45" width="15.42578125" style="3" bestFit="1" customWidth="1"/>
    <col min="46" max="46" width="17.28515625" style="3" bestFit="1" customWidth="1"/>
    <col min="47" max="47" width="9.42578125" style="3" customWidth="1"/>
    <col min="48" max="62" width="9.7109375" style="3" customWidth="1"/>
    <col min="63" max="63" width="15.140625" style="3" customWidth="1"/>
    <col min="64" max="64" width="14.5703125" style="3" customWidth="1"/>
    <col min="65" max="65" width="18.5703125" style="3" customWidth="1"/>
    <col min="66" max="66" width="12.5703125" style="3" customWidth="1"/>
    <col min="67" max="67" width="20.42578125" style="3" customWidth="1"/>
    <col min="68" max="68" width="12.7109375" style="3" customWidth="1"/>
    <col min="69" max="69" width="9.28515625" style="3" customWidth="1"/>
    <col min="70" max="70" width="14.28515625" style="3" customWidth="1"/>
    <col min="71" max="71" width="11.42578125" style="3" customWidth="1"/>
    <col min="72" max="72" width="9" style="3" customWidth="1"/>
    <col min="73" max="73" width="9.5703125" style="3" customWidth="1"/>
    <col min="74" max="74" width="11" style="3" customWidth="1"/>
    <col min="75" max="75" width="12.7109375" style="3" customWidth="1"/>
    <col min="76" max="78" width="9.7109375" style="3" customWidth="1"/>
    <col min="79" max="79" width="15.140625" style="3" customWidth="1"/>
    <col min="80" max="80" width="17.28515625" style="3" customWidth="1"/>
    <col min="81" max="81" width="49.28515625" style="4" customWidth="1"/>
    <col min="82" max="82" width="17.28515625" style="3" customWidth="1"/>
    <col min="83" max="16384" width="11.42578125" style="3"/>
  </cols>
  <sheetData>
    <row r="1" spans="1:81" ht="18.75" x14ac:dyDescent="0.3">
      <c r="B1" s="21" t="s">
        <v>250</v>
      </c>
      <c r="C1" s="22">
        <v>42523</v>
      </c>
    </row>
    <row r="5" spans="1:81" x14ac:dyDescent="0.25">
      <c r="A5" s="1" t="s">
        <v>217</v>
      </c>
      <c r="B5" s="2"/>
    </row>
    <row r="6" spans="1:81" s="7" customFormat="1" ht="30" x14ac:dyDescent="0.25">
      <c r="A6" s="7" t="s">
        <v>10</v>
      </c>
      <c r="B6" s="7" t="s">
        <v>1</v>
      </c>
      <c r="C6" s="7" t="s">
        <v>2</v>
      </c>
      <c r="D6" s="7" t="s">
        <v>72</v>
      </c>
      <c r="E6" s="7" t="s">
        <v>108</v>
      </c>
      <c r="F6" s="7" t="s">
        <v>73</v>
      </c>
      <c r="G6" s="7" t="s">
        <v>70</v>
      </c>
      <c r="H6" s="7" t="s">
        <v>109</v>
      </c>
      <c r="I6" s="7" t="s">
        <v>54</v>
      </c>
      <c r="J6" s="7" t="s">
        <v>129</v>
      </c>
      <c r="K6" s="7" t="s">
        <v>159</v>
      </c>
      <c r="L6" s="7" t="s">
        <v>27</v>
      </c>
      <c r="M6" s="7" t="s">
        <v>130</v>
      </c>
      <c r="N6" s="7" t="s">
        <v>30</v>
      </c>
      <c r="O6" s="7" t="s">
        <v>28</v>
      </c>
      <c r="P6" s="7" t="s">
        <v>29</v>
      </c>
      <c r="Q6" s="7" t="s">
        <v>31</v>
      </c>
      <c r="R6" s="7" t="s">
        <v>131</v>
      </c>
      <c r="S6" s="7" t="s">
        <v>32</v>
      </c>
      <c r="T6" s="7" t="s">
        <v>33</v>
      </c>
      <c r="U6" s="7" t="s">
        <v>34</v>
      </c>
      <c r="V6" s="7" t="s">
        <v>35</v>
      </c>
      <c r="W6" s="7" t="s">
        <v>36</v>
      </c>
      <c r="X6" s="7" t="s">
        <v>37</v>
      </c>
      <c r="Y6" s="7" t="s">
        <v>38</v>
      </c>
      <c r="Z6" s="7" t="s">
        <v>39</v>
      </c>
      <c r="AA6" s="7" t="s">
        <v>40</v>
      </c>
      <c r="AB6" s="7" t="s">
        <v>41</v>
      </c>
      <c r="AC6" s="7" t="s">
        <v>42</v>
      </c>
      <c r="AD6" s="7" t="s">
        <v>43</v>
      </c>
      <c r="AE6" s="7" t="s">
        <v>44</v>
      </c>
      <c r="AF6" s="7" t="s">
        <v>45</v>
      </c>
      <c r="AG6" s="7" t="s">
        <v>46</v>
      </c>
      <c r="AH6" s="7" t="s">
        <v>47</v>
      </c>
      <c r="AI6" s="7" t="s">
        <v>48</v>
      </c>
      <c r="AJ6" s="7" t="s">
        <v>49</v>
      </c>
      <c r="AK6" s="7" t="s">
        <v>50</v>
      </c>
      <c r="AL6" s="7" t="s">
        <v>51</v>
      </c>
      <c r="AM6" s="7" t="s">
        <v>52</v>
      </c>
      <c r="AN6" s="7" t="s">
        <v>53</v>
      </c>
      <c r="AO6" s="7" t="s">
        <v>55</v>
      </c>
      <c r="AP6" s="17" t="s">
        <v>110</v>
      </c>
      <c r="AR6" s="31" t="s">
        <v>128</v>
      </c>
    </row>
    <row r="7" spans="1:81" s="10" customFormat="1" ht="30.75" thickBot="1" x14ac:dyDescent="0.3">
      <c r="A7" s="13" t="s">
        <v>223</v>
      </c>
      <c r="B7" s="12" t="s">
        <v>224</v>
      </c>
      <c r="C7" s="12" t="s">
        <v>225</v>
      </c>
      <c r="D7" s="15">
        <v>128659.76582278483</v>
      </c>
      <c r="E7" s="15">
        <f>Tableau_Lancer_la_requête_à_partir_de_Excel_Files1025678[[#This Row],[Aide Massif]]+Tableau_Lancer_la_requête_à_partir_de_Excel_Files1025678[[#This Row],[''Autre Public'']]</f>
        <v>90061.84</v>
      </c>
      <c r="F7" s="16">
        <f>Tableau_Lancer_la_requête_à_partir_de_Excel_Files1025678[[#This Row],[Aide 
publique]]/Tableau_Lancer_la_requête_à_partir_de_Excel_Files1025678[[#This Row],[''Coût total éligible'']]</f>
        <v>0.70000003049943849</v>
      </c>
      <c r="G7" s="15">
        <f>Tableau_Lancer_la_requête_à_partir_de_Excel_Files1025678[[#This Row],[''FEDER'']]+Tableau_Lancer_la_requête_à_partir_de_Excel_Files1025678[[#This Row],[Total Etat]]+Tableau_Lancer_la_requête_à_partir_de_Excel_Files1025678[[#This Row],[Total Régions]]+Tableau_Lancer_la_requête_à_partir_de_Excel_Files1025678[[#This Row],[Total Dpts]]</f>
        <v>90061.84</v>
      </c>
      <c r="H7" s="16">
        <f>Tableau_Lancer_la_requête_à_partir_de_Excel_Files1025678[[#This Row],[Aide Massif]]/Tableau_Lancer_la_requête_à_partir_de_Excel_Files1025678[[#This Row],[''Coût total éligible'']]</f>
        <v>0.70000003049943849</v>
      </c>
      <c r="I7" s="15">
        <v>0</v>
      </c>
      <c r="J7" s="15">
        <f>Tableau_Lancer_la_requête_à_partir_de_Excel_Files1025678[[#This Row],[''FNADT '']]+Tableau_Lancer_la_requête_à_partir_de_Excel_Files1025678[[#This Row],[''Agriculture'']]</f>
        <v>90061.84</v>
      </c>
      <c r="K7" s="11"/>
      <c r="L7" s="15">
        <v>90061.84</v>
      </c>
      <c r="M7" s="15">
        <f>Tableau_Lancer_la_requête_à_partir_de_Excel_Files1025678[[#This Row],[''ALPC'']]+Tableau_Lancer_la_requête_à_partir_de_Excel_Files1025678[[#This Row],[''AURA'']]+Tableau_Lancer_la_requête_à_partir_de_Excel_Files1025678[[#This Row],[''BFC'']]+Tableau_Lancer_la_requête_à_partir_de_Excel_Files1025678[[#This Row],[''LRMP'']]</f>
        <v>0</v>
      </c>
      <c r="N7" s="15"/>
      <c r="O7" s="15"/>
      <c r="P7" s="15"/>
      <c r="Q7" s="15"/>
      <c r="R7" s="15">
        <f>Tableau_Lancer_la_requête_à_partir_de_Excel_Files1025678[[#This Row],[''03'']]+Tableau_Lancer_la_requête_à_partir_de_Excel_Files1025678[[#This Row],[''07'']]+Tableau_Lancer_la_requête_à_partir_de_Excel_Files1025678[[#This Row],[''11'']]+Tableau_Lancer_la_requête_à_partir_de_Excel_Files1025678[[#This Row],[''12'']]+Tableau_Lancer_la_requête_à_partir_de_Excel_Files1025678[[#This Row],[''15'']]+Tableau_Lancer_la_requête_à_partir_de_Excel_Files1025678[[#This Row],[''19'']]+Tableau_Lancer_la_requête_à_partir_de_Excel_Files1025678[[#This Row],[''21'']]+Tableau_Lancer_la_requête_à_partir_de_Excel_Files1025678[[#This Row],[''23'']]+Tableau_Lancer_la_requête_à_partir_de_Excel_Files1025678[[#This Row],[''30'']]+Tableau_Lancer_la_requête_à_partir_de_Excel_Files1025678[[#This Row],[''34'']]+Tableau_Lancer_la_requête_à_partir_de_Excel_Files1025678[[#This Row],[''42'']]+Tableau_Lancer_la_requête_à_partir_de_Excel_Files1025678[[#This Row],[''43'']]+Tableau_Lancer_la_requête_à_partir_de_Excel_Files1025678[[#This Row],[''46'']]+Tableau_Lancer_la_requête_à_partir_de_Excel_Files1025678[[#This Row],[''48'']]+Tableau_Lancer_la_requête_à_partir_de_Excel_Files1025678[[#This Row],[''58'']]+Tableau_Lancer_la_requête_à_partir_de_Excel_Files1025678[[#This Row],[''63'']]+Tableau_Lancer_la_requête_à_partir_de_Excel_Files1025678[[#This Row],[''69'']]+Tableau_Lancer_la_requête_à_partir_de_Excel_Files1025678[[#This Row],[''71'']]+Tableau_Lancer_la_requête_à_partir_de_Excel_Files1025678[[#This Row],[''81'']]+Tableau_Lancer_la_requête_à_partir_de_Excel_Files1025678[[#This Row],[''82'']]+Tableau_Lancer_la_requête_à_partir_de_Excel_Files1025678[[#This Row],[''87'']]+Tableau_Lancer_la_requête_à_partir_de_Excel_Files1025678[[#This Row],[''89'']]</f>
        <v>0</v>
      </c>
      <c r="S7" s="15"/>
      <c r="T7" s="15"/>
      <c r="U7" s="15"/>
      <c r="V7" s="15"/>
      <c r="W7" s="15"/>
      <c r="X7" s="15"/>
      <c r="Y7" s="15"/>
      <c r="Z7" s="15"/>
      <c r="AA7" s="15"/>
      <c r="AB7" s="15"/>
      <c r="AC7" s="15"/>
      <c r="AD7" s="15"/>
      <c r="AE7" s="15"/>
      <c r="AF7" s="15"/>
      <c r="AG7" s="15"/>
      <c r="AH7" s="15"/>
      <c r="AI7" s="15"/>
      <c r="AJ7" s="15"/>
      <c r="AK7" s="15"/>
      <c r="AL7" s="15"/>
      <c r="AM7" s="15"/>
      <c r="AN7" s="15"/>
      <c r="AO7" s="15">
        <v>0</v>
      </c>
      <c r="AP7" s="11" t="s">
        <v>77</v>
      </c>
      <c r="AR7" s="24" t="s">
        <v>257</v>
      </c>
      <c r="AS7" s="10" t="s">
        <v>346</v>
      </c>
    </row>
    <row r="8" spans="1:81" s="10" customFormat="1" ht="15.75" thickTop="1" x14ac:dyDescent="0.25">
      <c r="A8" s="70" t="s">
        <v>11</v>
      </c>
      <c r="B8" s="71">
        <f>SUBTOTAL(103,Tableau_Lancer_la_requête_à_partir_de_Excel_Files1025678[Nom_MO])</f>
        <v>1</v>
      </c>
      <c r="C8" s="71"/>
      <c r="D8" s="72">
        <f>SUBTOTAL(109,Tableau_Lancer_la_requête_à_partir_de_Excel_Files1025678[''Coût total éligible''])</f>
        <v>128659.76582278483</v>
      </c>
      <c r="E8" s="72">
        <f>SUBTOTAL(109,Tableau_Lancer_la_requête_à_partir_de_Excel_Files1025678[Aide 
publique])</f>
        <v>90061.84</v>
      </c>
      <c r="F8" s="73"/>
      <c r="G8" s="72">
        <f>SUBTOTAL(109,Tableau_Lancer_la_requête_à_partir_de_Excel_Files1025678[Aide Massif])</f>
        <v>90061.84</v>
      </c>
      <c r="H8" s="73"/>
      <c r="I8" s="72">
        <f>SUBTOTAL(109,Tableau_Lancer_la_requête_à_partir_de_Excel_Files1025678[''FEDER''])</f>
        <v>0</v>
      </c>
      <c r="J8" s="72">
        <f>SUBTOTAL(109,Tableau_Lancer_la_requête_à_partir_de_Excel_Files1025678[Total Etat])</f>
        <v>90061.84</v>
      </c>
      <c r="K8" s="70"/>
      <c r="L8" s="72">
        <f>SUBTOTAL(109,Tableau_Lancer_la_requête_à_partir_de_Excel_Files1025678[''Agriculture''])</f>
        <v>90061.84</v>
      </c>
      <c r="M8" s="72">
        <f>SUBTOTAL(109,Tableau_Lancer_la_requête_à_partir_de_Excel_Files1025678[Total Régions])</f>
        <v>0</v>
      </c>
      <c r="N8" s="72">
        <f>SUBTOTAL(109,Tableau_Lancer_la_requête_à_partir_de_Excel_Files1025678[''ALPC''])</f>
        <v>0</v>
      </c>
      <c r="O8" s="72">
        <f>SUBTOTAL(109,Tableau_Lancer_la_requête_à_partir_de_Excel_Files1025678[''AURA''])</f>
        <v>0</v>
      </c>
      <c r="P8" s="72">
        <f>SUBTOTAL(109,Tableau_Lancer_la_requête_à_partir_de_Excel_Files1025678[''BFC''])</f>
        <v>0</v>
      </c>
      <c r="Q8" s="72">
        <f>SUBTOTAL(109,Tableau_Lancer_la_requête_à_partir_de_Excel_Files1025678[''LRMP''])</f>
        <v>0</v>
      </c>
      <c r="R8" s="72">
        <f>SUBTOTAL(109,Tableau_Lancer_la_requête_à_partir_de_Excel_Files1025678[Total Dpts])</f>
        <v>0</v>
      </c>
      <c r="S8" s="72">
        <f>SUBTOTAL(109,Tableau_Lancer_la_requête_à_partir_de_Excel_Files1025678[''03''])</f>
        <v>0</v>
      </c>
      <c r="T8" s="72">
        <f>SUBTOTAL(109,Tableau_Lancer_la_requête_à_partir_de_Excel_Files1025678[''07''])</f>
        <v>0</v>
      </c>
      <c r="U8" s="72">
        <f>SUBTOTAL(109,Tableau_Lancer_la_requête_à_partir_de_Excel_Files1025678[''11''])</f>
        <v>0</v>
      </c>
      <c r="V8" s="72">
        <f>SUBTOTAL(109,Tableau_Lancer_la_requête_à_partir_de_Excel_Files1025678[''12''])</f>
        <v>0</v>
      </c>
      <c r="W8" s="72">
        <f>SUBTOTAL(109,Tableau_Lancer_la_requête_à_partir_de_Excel_Files1025678[''15''])</f>
        <v>0</v>
      </c>
      <c r="X8" s="72">
        <f>SUBTOTAL(109,Tableau_Lancer_la_requête_à_partir_de_Excel_Files1025678[''19''])</f>
        <v>0</v>
      </c>
      <c r="Y8" s="72">
        <f>SUBTOTAL(109,Tableau_Lancer_la_requête_à_partir_de_Excel_Files1025678[''21''])</f>
        <v>0</v>
      </c>
      <c r="Z8" s="72">
        <f>SUBTOTAL(109,Tableau_Lancer_la_requête_à_partir_de_Excel_Files1025678[''23''])</f>
        <v>0</v>
      </c>
      <c r="AA8" s="72">
        <f>SUBTOTAL(109,Tableau_Lancer_la_requête_à_partir_de_Excel_Files1025678[''30''])</f>
        <v>0</v>
      </c>
      <c r="AB8" s="72">
        <f>SUBTOTAL(109,Tableau_Lancer_la_requête_à_partir_de_Excel_Files1025678[''34''])</f>
        <v>0</v>
      </c>
      <c r="AC8" s="72">
        <f>SUBTOTAL(109,Tableau_Lancer_la_requête_à_partir_de_Excel_Files1025678[''42''])</f>
        <v>0</v>
      </c>
      <c r="AD8" s="72">
        <f>SUBTOTAL(109,Tableau_Lancer_la_requête_à_partir_de_Excel_Files1025678[''43''])</f>
        <v>0</v>
      </c>
      <c r="AE8" s="72">
        <f>SUBTOTAL(109,Tableau_Lancer_la_requête_à_partir_de_Excel_Files1025678[''46''])</f>
        <v>0</v>
      </c>
      <c r="AF8" s="72">
        <f>SUBTOTAL(109,Tableau_Lancer_la_requête_à_partir_de_Excel_Files1025678[''48''])</f>
        <v>0</v>
      </c>
      <c r="AG8" s="72">
        <f>SUBTOTAL(109,Tableau_Lancer_la_requête_à_partir_de_Excel_Files1025678[''58''])</f>
        <v>0</v>
      </c>
      <c r="AH8" s="72">
        <f>SUBTOTAL(109,Tableau_Lancer_la_requête_à_partir_de_Excel_Files1025678[''63''])</f>
        <v>0</v>
      </c>
      <c r="AI8" s="72">
        <f>SUBTOTAL(109,Tableau_Lancer_la_requête_à_partir_de_Excel_Files1025678[''69''])</f>
        <v>0</v>
      </c>
      <c r="AJ8" s="72">
        <f>SUBTOTAL(109,Tableau_Lancer_la_requête_à_partir_de_Excel_Files1025678[''71''])</f>
        <v>0</v>
      </c>
      <c r="AK8" s="72">
        <f>SUBTOTAL(109,Tableau_Lancer_la_requête_à_partir_de_Excel_Files1025678[''81''])</f>
        <v>0</v>
      </c>
      <c r="AL8" s="72">
        <f>SUBTOTAL(109,Tableau_Lancer_la_requête_à_partir_de_Excel_Files1025678[''82''])</f>
        <v>0</v>
      </c>
      <c r="AM8" s="72">
        <f>SUBTOTAL(109,Tableau_Lancer_la_requête_à_partir_de_Excel_Files1025678[''87''])</f>
        <v>0</v>
      </c>
      <c r="AN8" s="72">
        <f>SUBTOTAL(109,Tableau_Lancer_la_requête_à_partir_de_Excel_Files1025678[''89''])</f>
        <v>0</v>
      </c>
      <c r="AO8" s="72">
        <f>SUBTOTAL(109,Tableau_Lancer_la_requête_à_partir_de_Excel_Files1025678[''Autre Public''])</f>
        <v>0</v>
      </c>
      <c r="AP8" s="74"/>
      <c r="AR8" s="29"/>
    </row>
    <row r="9" spans="1:81" s="10" customFormat="1" x14ac:dyDescent="0.25">
      <c r="A9" s="3"/>
      <c r="B9" s="4"/>
      <c r="C9" s="5"/>
      <c r="D9" s="3"/>
      <c r="E9" s="3"/>
      <c r="F9" s="6"/>
      <c r="G9" s="3"/>
      <c r="H9" s="6"/>
      <c r="I9" s="3"/>
      <c r="J9" s="3"/>
      <c r="K9" s="3"/>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row>
    <row r="10" spans="1:81" s="10" customFormat="1" x14ac:dyDescent="0.25">
      <c r="A10" s="3"/>
      <c r="B10" s="4"/>
      <c r="C10" s="5"/>
      <c r="D10" s="3"/>
      <c r="E10" s="3"/>
      <c r="F10" s="6"/>
      <c r="G10" s="3"/>
      <c r="H10" s="6"/>
      <c r="I10" s="3"/>
      <c r="J10" s="3"/>
      <c r="K10" s="3"/>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row>
    <row r="11" spans="1:81" s="10" customFormat="1" x14ac:dyDescent="0.25">
      <c r="A11" s="3"/>
      <c r="B11" s="4"/>
      <c r="C11" s="5"/>
      <c r="D11" s="3"/>
      <c r="E11" s="3"/>
      <c r="F11" s="6"/>
      <c r="G11" s="3"/>
      <c r="H11" s="6"/>
      <c r="I11" s="3"/>
      <c r="J11" s="3"/>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row>
    <row r="12" spans="1:81" x14ac:dyDescent="0.25">
      <c r="BZ12" s="4"/>
      <c r="CC12" s="3"/>
    </row>
    <row r="13" spans="1:81" x14ac:dyDescent="0.25">
      <c r="BZ13" s="4"/>
      <c r="CC13" s="3"/>
    </row>
    <row r="14" spans="1:81" x14ac:dyDescent="0.25">
      <c r="BZ14" s="4"/>
      <c r="CC14" s="3"/>
    </row>
    <row r="15" spans="1:81" x14ac:dyDescent="0.25">
      <c r="BZ15" s="4"/>
      <c r="CC15" s="3"/>
    </row>
    <row r="16" spans="1:81" x14ac:dyDescent="0.25">
      <c r="BZ16" s="4"/>
      <c r="CC16" s="3"/>
    </row>
    <row r="17" spans="1:81" s="7" customFormat="1" x14ac:dyDescent="0.25">
      <c r="A17" s="3"/>
      <c r="B17" s="4"/>
      <c r="C17" s="5"/>
      <c r="D17" s="3"/>
      <c r="E17" s="3"/>
      <c r="F17" s="6"/>
      <c r="G17" s="3"/>
      <c r="H17" s="6"/>
      <c r="I17" s="3"/>
      <c r="J17" s="3"/>
      <c r="K17" s="3"/>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row>
    <row r="18" spans="1:81" s="10" customFormat="1" hidden="1" x14ac:dyDescent="0.25">
      <c r="A18" s="3"/>
      <c r="B18" s="4"/>
      <c r="C18" s="5"/>
      <c r="D18" s="3"/>
      <c r="E18" s="3" t="s">
        <v>353</v>
      </c>
      <c r="F18" s="6" t="s">
        <v>354</v>
      </c>
      <c r="G18" s="3"/>
      <c r="H18" s="6"/>
      <c r="I18" s="3"/>
      <c r="J18" s="3"/>
      <c r="K18" s="3"/>
      <c r="L18" s="3"/>
      <c r="M18" s="3"/>
      <c r="N18" s="3"/>
      <c r="O18" s="3"/>
      <c r="P18" s="3"/>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row>
    <row r="19" spans="1:81" hidden="1" x14ac:dyDescent="0.25">
      <c r="D19" t="s">
        <v>112</v>
      </c>
      <c r="E19" s="3">
        <f>SUMIF(Tableau_Lancer_la_requête_à_partir_de_Excel_Files1025678[Avis Prog],"1-Favorable",Tableau_Lancer_la_requête_à_partir_de_Excel_Files1025678[''FEDER''])</f>
        <v>0</v>
      </c>
      <c r="F19" s="3" t="e">
        <f>SUMIF(#REF!,"1-Favorable",Tableau_Lancer_la_requête_à_partir_de_Excel_Files1025678[''FEDER''])</f>
        <v>#REF!</v>
      </c>
      <c r="CB19" s="4"/>
      <c r="CC19" s="3"/>
    </row>
    <row r="20" spans="1:81" hidden="1" x14ac:dyDescent="0.25">
      <c r="D20" t="s">
        <v>56</v>
      </c>
      <c r="E20" s="3">
        <f>SUMIF(Tableau_Lancer_la_requête_à_partir_de_Excel_Files1025678[Avis Prog],"1-Favorable",Tableau_Lancer_la_requête_à_partir_de_Excel_Files1025678[Total Etat])</f>
        <v>90061.84</v>
      </c>
      <c r="F20" s="3" t="e">
        <f>SUMIF(#REF!,"1-Favorable",Tableau_Lancer_la_requête_à_partir_de_Excel_Files1025678[Total Etat])</f>
        <v>#REF!</v>
      </c>
    </row>
    <row r="21" spans="1:81" hidden="1" x14ac:dyDescent="0.25">
      <c r="D21" t="s">
        <v>57</v>
      </c>
      <c r="E21" s="3">
        <f>SUMIF(Tableau_Lancer_la_requête_à_partir_de_Excel_Files1025678[Avis Prog],"1-Favorable",Tableau_Lancer_la_requête_à_partir_de_Excel_Files1025678[Total Régions])</f>
        <v>0</v>
      </c>
      <c r="F21" s="3" t="e">
        <f>SUMIF(#REF!,"1-Favorable",Tableau_Lancer_la_requête_à_partir_de_Excel_Files1025678[Total Régions])</f>
        <v>#REF!</v>
      </c>
    </row>
    <row r="22" spans="1:81" hidden="1" x14ac:dyDescent="0.25">
      <c r="D22" s="3" t="s">
        <v>113</v>
      </c>
      <c r="E22" s="3">
        <f>SUMIF(Tableau_Lancer_la_requête_à_partir_de_Excel_Files1025678[Avis Prog],"1-Favorable",Tableau_Lancer_la_requête_à_partir_de_Excel_Files1025678[''ALPC''])</f>
        <v>0</v>
      </c>
      <c r="F22" s="3" t="e">
        <f>SUMIF(#REF!,"1-Favorable",Tableau_Lancer_la_requête_à_partir_de_Excel_Files1025678[''ALPC''])</f>
        <v>#REF!</v>
      </c>
    </row>
    <row r="23" spans="1:81" hidden="1" x14ac:dyDescent="0.25">
      <c r="D23" s="3" t="s">
        <v>114</v>
      </c>
      <c r="E23" s="3">
        <f>SUMIF(Tableau_Lancer_la_requête_à_partir_de_Excel_Files1025678[Avis Prog],"1-Favorable",Tableau_Lancer_la_requête_à_partir_de_Excel_Files1025678[''AURA''])</f>
        <v>0</v>
      </c>
      <c r="F23" s="3" t="e">
        <f>SUMIF(#REF!,"1-Favorable",Tableau_Lancer_la_requête_à_partir_de_Excel_Files1025678[''AURA''])</f>
        <v>#REF!</v>
      </c>
    </row>
    <row r="24" spans="1:81" hidden="1" x14ac:dyDescent="0.25">
      <c r="D24" s="3" t="s">
        <v>115</v>
      </c>
      <c r="E24" s="3">
        <f>SUMIF(Tableau_Lancer_la_requête_à_partir_de_Excel_Files1025678[Avis Prog],"1-Favorable",Tableau_Lancer_la_requête_à_partir_de_Excel_Files1025678[''BFC''])</f>
        <v>0</v>
      </c>
      <c r="F24" s="3" t="e">
        <f>SUMIF(#REF!,"1-Favorable",Tableau_Lancer_la_requête_à_partir_de_Excel_Files1025678[''BFC''])</f>
        <v>#REF!</v>
      </c>
    </row>
    <row r="25" spans="1:81" hidden="1" x14ac:dyDescent="0.25">
      <c r="D25" s="3" t="s">
        <v>116</v>
      </c>
      <c r="E25" s="3">
        <f>SUMIF(Tableau_Lancer_la_requête_à_partir_de_Excel_Files1025678[Avis Prog],"1-Favorable",Tableau_Lancer_la_requête_à_partir_de_Excel_Files1025678[''LRMP''])</f>
        <v>0</v>
      </c>
      <c r="F25" s="3" t="e">
        <f>SUMIF(#REF!,"1-Favorable",Tableau_Lancer_la_requête_à_partir_de_Excel_Files1025678[''LRMP''])</f>
        <v>#REF!</v>
      </c>
    </row>
    <row r="26" spans="1:81" hidden="1" x14ac:dyDescent="0.25">
      <c r="D26" t="s">
        <v>58</v>
      </c>
      <c r="E26" s="3">
        <f>SUMIF(Tableau_Lancer_la_requête_à_partir_de_Excel_Files1025678[Avis Prog],"1-Favorable",Tableau_Lancer_la_requête_à_partir_de_Excel_Files1025678[Total Dpts])</f>
        <v>0</v>
      </c>
      <c r="F26" s="3" t="e">
        <f>SUMIF(#REF!,"1-Favorable",Tableau_Lancer_la_requête_à_partir_de_Excel_Files1025678[Total Dpts])</f>
        <v>#REF!</v>
      </c>
    </row>
    <row r="27" spans="1:81" hidden="1" x14ac:dyDescent="0.25">
      <c r="D27" t="s">
        <v>32</v>
      </c>
      <c r="E27" s="3">
        <f>SUMIF(Tableau_Lancer_la_requête_à_partir_de_Excel_Files1025678[Avis Prog],"1-Favorable",Tableau_Lancer_la_requête_à_partir_de_Excel_Files1025678[''03''])</f>
        <v>0</v>
      </c>
      <c r="F27" s="3" t="e">
        <f>SUMIF(#REF!,"1-Favorable",Tableau_Lancer_la_requête_à_partir_de_Excel_Files1025678[''03''])</f>
        <v>#REF!</v>
      </c>
    </row>
    <row r="28" spans="1:81" hidden="1" x14ac:dyDescent="0.25">
      <c r="D28" t="s">
        <v>33</v>
      </c>
      <c r="E28" s="3">
        <f>SUMIF(Tableau_Lancer_la_requête_à_partir_de_Excel_Files1025678[Avis Prog],"1-Favorable",Tableau_Lancer_la_requête_à_partir_de_Excel_Files1025678[''07''])</f>
        <v>0</v>
      </c>
      <c r="F28" s="3" t="e">
        <f>SUMIF(#REF!,"1-Favorable",Tableau_Lancer_la_requête_à_partir_de_Excel_Files1025678[''07''])</f>
        <v>#REF!</v>
      </c>
    </row>
    <row r="29" spans="1:81" hidden="1" x14ac:dyDescent="0.25">
      <c r="D29" t="s">
        <v>34</v>
      </c>
      <c r="E29" s="3">
        <f>SUMIF(Tableau_Lancer_la_requête_à_partir_de_Excel_Files1025678[Avis Prog],"1-Favorable",Tableau_Lancer_la_requête_à_partir_de_Excel_Files1025678[''11''])</f>
        <v>0</v>
      </c>
      <c r="F29" s="3" t="e">
        <f>SUMIF(#REF!,"1-Favorable",Tableau_Lancer_la_requête_à_partir_de_Excel_Files1025678[''11''])</f>
        <v>#REF!</v>
      </c>
    </row>
    <row r="30" spans="1:81" hidden="1" x14ac:dyDescent="0.25">
      <c r="D30" t="s">
        <v>35</v>
      </c>
      <c r="E30" s="3">
        <f>SUMIF(Tableau_Lancer_la_requête_à_partir_de_Excel_Files1025678[Avis Prog],"1-Favorable",Tableau_Lancer_la_requête_à_partir_de_Excel_Files1025678[''12''])</f>
        <v>0</v>
      </c>
      <c r="F30" s="3" t="e">
        <f>SUMIF(#REF!,"1-Favorable",Tableau_Lancer_la_requête_à_partir_de_Excel_Files1025678[''12''])</f>
        <v>#REF!</v>
      </c>
    </row>
    <row r="31" spans="1:81" hidden="1" x14ac:dyDescent="0.25">
      <c r="D31" t="s">
        <v>36</v>
      </c>
      <c r="E31" s="3">
        <f>SUMIF(Tableau_Lancer_la_requête_à_partir_de_Excel_Files1025678[Avis Prog],"1-Favorable",Tableau_Lancer_la_requête_à_partir_de_Excel_Files1025678[''15''])</f>
        <v>0</v>
      </c>
      <c r="F31" s="3" t="e">
        <f>SUMIF(#REF!,"1-Favorable",Tableau_Lancer_la_requête_à_partir_de_Excel_Files1025678[''15''])</f>
        <v>#REF!</v>
      </c>
    </row>
    <row r="32" spans="1:81" hidden="1" x14ac:dyDescent="0.25">
      <c r="D32" t="s">
        <v>37</v>
      </c>
      <c r="E32" s="3">
        <f>SUMIF(Tableau_Lancer_la_requête_à_partir_de_Excel_Files1025678[Avis Prog],"1-Favorable",Tableau_Lancer_la_requête_à_partir_de_Excel_Files1025678[''19''])</f>
        <v>0</v>
      </c>
      <c r="F32" s="3" t="e">
        <f>SUMIF(#REF!,"1-Favorable",Tableau_Lancer_la_requête_à_partir_de_Excel_Files1025678[''19''])</f>
        <v>#REF!</v>
      </c>
    </row>
    <row r="33" spans="4:6" hidden="1" x14ac:dyDescent="0.25">
      <c r="D33" t="s">
        <v>38</v>
      </c>
      <c r="E33" s="3">
        <f>SUMIF(Tableau_Lancer_la_requête_à_partir_de_Excel_Files1025678[Avis Prog],"1-Favorable",Tableau_Lancer_la_requête_à_partir_de_Excel_Files1025678[''21''])</f>
        <v>0</v>
      </c>
      <c r="F33" s="3" t="e">
        <f>SUMIF(#REF!,"1-Favorable",Tableau_Lancer_la_requête_à_partir_de_Excel_Files1025678[''21''])</f>
        <v>#REF!</v>
      </c>
    </row>
    <row r="34" spans="4:6" hidden="1" x14ac:dyDescent="0.25">
      <c r="D34" t="s">
        <v>39</v>
      </c>
      <c r="E34" s="3">
        <f>SUMIF(Tableau_Lancer_la_requête_à_partir_de_Excel_Files1025678[Avis Prog],"1-Favorable",Tableau_Lancer_la_requête_à_partir_de_Excel_Files1025678[''23''])</f>
        <v>0</v>
      </c>
      <c r="F34" s="3" t="e">
        <f>SUMIF(#REF!,"1-Favorable",Tableau_Lancer_la_requête_à_partir_de_Excel_Files1025678[''23''])</f>
        <v>#REF!</v>
      </c>
    </row>
    <row r="35" spans="4:6" hidden="1" x14ac:dyDescent="0.25">
      <c r="D35" t="s">
        <v>40</v>
      </c>
      <c r="E35" s="3">
        <f>SUMIF(Tableau_Lancer_la_requête_à_partir_de_Excel_Files1025678[Avis Prog],"1-Favorable",Tableau_Lancer_la_requête_à_partir_de_Excel_Files1025678[''30''])</f>
        <v>0</v>
      </c>
      <c r="F35" s="3" t="e">
        <f>SUMIF(#REF!,"1-Favorable",Tableau_Lancer_la_requête_à_partir_de_Excel_Files1025678[''30''])</f>
        <v>#REF!</v>
      </c>
    </row>
    <row r="36" spans="4:6" hidden="1" x14ac:dyDescent="0.25">
      <c r="D36" t="s">
        <v>41</v>
      </c>
      <c r="E36" s="3">
        <f>SUMIF(Tableau_Lancer_la_requête_à_partir_de_Excel_Files1025678[Avis Prog],"1-Favorable",Tableau_Lancer_la_requête_à_partir_de_Excel_Files1025678[''34''])</f>
        <v>0</v>
      </c>
      <c r="F36" s="3" t="e">
        <f>SUMIF(#REF!,"1-Favorable",Tableau_Lancer_la_requête_à_partir_de_Excel_Files1025678[''34''])</f>
        <v>#REF!</v>
      </c>
    </row>
    <row r="37" spans="4:6" hidden="1" x14ac:dyDescent="0.25">
      <c r="D37" t="s">
        <v>42</v>
      </c>
      <c r="E37" s="3">
        <f>SUMIF(Tableau_Lancer_la_requête_à_partir_de_Excel_Files1025678[Avis Prog],"1-Favorable",Tableau_Lancer_la_requête_à_partir_de_Excel_Files1025678[''42''])</f>
        <v>0</v>
      </c>
      <c r="F37" s="3" t="e">
        <f>SUMIF(#REF!,"1-Favorable",Tableau_Lancer_la_requête_à_partir_de_Excel_Files1025678[''42''])</f>
        <v>#REF!</v>
      </c>
    </row>
    <row r="38" spans="4:6" hidden="1" x14ac:dyDescent="0.25">
      <c r="D38" t="s">
        <v>43</v>
      </c>
      <c r="E38" s="3">
        <f>SUMIF(Tableau_Lancer_la_requête_à_partir_de_Excel_Files1025678[Avis Prog],"1-Favorable",Tableau_Lancer_la_requête_à_partir_de_Excel_Files1025678[''43''])</f>
        <v>0</v>
      </c>
      <c r="F38" s="3" t="e">
        <f>SUMIF(#REF!,"1-Favorable",Tableau_Lancer_la_requête_à_partir_de_Excel_Files1025678[''43''])</f>
        <v>#REF!</v>
      </c>
    </row>
    <row r="39" spans="4:6" hidden="1" x14ac:dyDescent="0.25">
      <c r="D39" t="s">
        <v>44</v>
      </c>
      <c r="E39" s="3">
        <f>SUMIF(Tableau_Lancer_la_requête_à_partir_de_Excel_Files1025678[Avis Prog],"1-Favorable",Tableau_Lancer_la_requête_à_partir_de_Excel_Files1025678[''46''])</f>
        <v>0</v>
      </c>
      <c r="F39" s="3" t="e">
        <f>SUMIF(#REF!,"1-Favorable",Tableau_Lancer_la_requête_à_partir_de_Excel_Files1025678[''46''])</f>
        <v>#REF!</v>
      </c>
    </row>
    <row r="40" spans="4:6" hidden="1" x14ac:dyDescent="0.25">
      <c r="D40" t="s">
        <v>45</v>
      </c>
      <c r="E40" s="3">
        <f>SUMIF(Tableau_Lancer_la_requête_à_partir_de_Excel_Files1025678[Avis Prog],"1-Favorable",Tableau_Lancer_la_requête_à_partir_de_Excel_Files1025678[''48''])</f>
        <v>0</v>
      </c>
      <c r="F40" s="3" t="e">
        <f>SUMIF(#REF!,"1-Favorable",Tableau_Lancer_la_requête_à_partir_de_Excel_Files1025678[''48''])</f>
        <v>#REF!</v>
      </c>
    </row>
    <row r="41" spans="4:6" hidden="1" x14ac:dyDescent="0.25">
      <c r="D41" t="s">
        <v>46</v>
      </c>
      <c r="E41" s="3">
        <f>SUMIF(Tableau_Lancer_la_requête_à_partir_de_Excel_Files1025678[Avis Prog],"1-Favorable",Tableau_Lancer_la_requête_à_partir_de_Excel_Files1025678[''58''])</f>
        <v>0</v>
      </c>
      <c r="F41" s="3" t="e">
        <f>SUMIF(#REF!,"1-Favorable",Tableau_Lancer_la_requête_à_partir_de_Excel_Files1025678[''58''])</f>
        <v>#REF!</v>
      </c>
    </row>
    <row r="42" spans="4:6" hidden="1" x14ac:dyDescent="0.25">
      <c r="D42" t="s">
        <v>47</v>
      </c>
      <c r="E42" s="3">
        <f>SUMIF(Tableau_Lancer_la_requête_à_partir_de_Excel_Files1025678[Avis Prog],"1-Favorable",Tableau_Lancer_la_requête_à_partir_de_Excel_Files1025678[''63''])</f>
        <v>0</v>
      </c>
      <c r="F42" s="3" t="e">
        <f>SUMIF(#REF!,"1-Favorable",Tableau_Lancer_la_requête_à_partir_de_Excel_Files1025678[''63''])</f>
        <v>#REF!</v>
      </c>
    </row>
    <row r="43" spans="4:6" hidden="1" x14ac:dyDescent="0.25">
      <c r="D43" t="s">
        <v>48</v>
      </c>
      <c r="E43" s="3">
        <f>SUMIF(Tableau_Lancer_la_requête_à_partir_de_Excel_Files1025678[Avis Prog],"1-Favorable",Tableau_Lancer_la_requête_à_partir_de_Excel_Files1025678[''69''])</f>
        <v>0</v>
      </c>
      <c r="F43" s="3" t="e">
        <f>SUMIF(#REF!,"1-Favorable",Tableau_Lancer_la_requête_à_partir_de_Excel_Files1025678[''69''])</f>
        <v>#REF!</v>
      </c>
    </row>
    <row r="44" spans="4:6" hidden="1" x14ac:dyDescent="0.25">
      <c r="D44" t="s">
        <v>49</v>
      </c>
      <c r="E44" s="3">
        <f>SUMIF(Tableau_Lancer_la_requête_à_partir_de_Excel_Files1025678[Avis Prog],"1-Favorable",Tableau_Lancer_la_requête_à_partir_de_Excel_Files1025678[''71''])</f>
        <v>0</v>
      </c>
      <c r="F44" s="3" t="e">
        <f>SUMIF(#REF!,"1-Favorable",Tableau_Lancer_la_requête_à_partir_de_Excel_Files1025678[''71''])</f>
        <v>#REF!</v>
      </c>
    </row>
    <row r="45" spans="4:6" hidden="1" x14ac:dyDescent="0.25">
      <c r="D45" t="s">
        <v>50</v>
      </c>
      <c r="E45" s="3">
        <f>SUMIF(Tableau_Lancer_la_requête_à_partir_de_Excel_Files1025678[Avis Prog],"1-Favorable",Tableau_Lancer_la_requête_à_partir_de_Excel_Files1025678[''81''])</f>
        <v>0</v>
      </c>
      <c r="F45" s="3" t="e">
        <f>SUMIF(#REF!,"1-Favorable",Tableau_Lancer_la_requête_à_partir_de_Excel_Files1025678[''81''])</f>
        <v>#REF!</v>
      </c>
    </row>
    <row r="46" spans="4:6" hidden="1" x14ac:dyDescent="0.25">
      <c r="D46" t="s">
        <v>51</v>
      </c>
      <c r="E46" s="3">
        <f>SUMIF(Tableau_Lancer_la_requête_à_partir_de_Excel_Files1025678[Avis Prog],"1-Favorable",Tableau_Lancer_la_requête_à_partir_de_Excel_Files1025678[''82''])</f>
        <v>0</v>
      </c>
      <c r="F46" s="3" t="e">
        <f>SUMIF(#REF!,"1-Favorable",Tableau_Lancer_la_requête_à_partir_de_Excel_Files1025678[''82''])</f>
        <v>#REF!</v>
      </c>
    </row>
    <row r="47" spans="4:6" hidden="1" x14ac:dyDescent="0.25">
      <c r="D47" t="s">
        <v>52</v>
      </c>
      <c r="E47" s="3">
        <f>SUMIF(Tableau_Lancer_la_requête_à_partir_de_Excel_Files1025678[Avis Prog],"1-Favorable",Tableau_Lancer_la_requête_à_partir_de_Excel_Files1025678[''87''])</f>
        <v>0</v>
      </c>
      <c r="F47" s="3" t="e">
        <f>SUMIF(#REF!,"1-Favorable",Tableau_Lancer_la_requête_à_partir_de_Excel_Files1025678[''87''])</f>
        <v>#REF!</v>
      </c>
    </row>
    <row r="48" spans="4:6" hidden="1" x14ac:dyDescent="0.25">
      <c r="D48" t="s">
        <v>53</v>
      </c>
      <c r="E48" s="3">
        <f>SUMIF(Tableau_Lancer_la_requête_à_partir_de_Excel_Files1025678[Avis Prog],"1-Favorable",Tableau_Lancer_la_requête_à_partir_de_Excel_Files1025678[''89''])</f>
        <v>0</v>
      </c>
      <c r="F48" s="3" t="e">
        <f>SUMIF(#REF!,"1-Favorable",Tableau_Lancer_la_requête_à_partir_de_Excel_Files1025678[''89''])</f>
        <v>#REF!</v>
      </c>
    </row>
  </sheetData>
  <conditionalFormatting sqref="K7 AP7">
    <cfRule type="cellIs" dxfId="460" priority="5" operator="equal">
      <formula>"6-Retiré/Abandon"</formula>
    </cfRule>
    <cfRule type="cellIs" dxfId="459" priority="6" operator="equal">
      <formula>"5-Défavorable"</formula>
    </cfRule>
    <cfRule type="cellIs" dxfId="458" priority="7" operator="equal">
      <formula>"4-Ajournement"</formula>
    </cfRule>
    <cfRule type="cellIs" dxfId="457" priority="8" operator="equal">
      <formula>"1-Favorable"</formula>
    </cfRule>
  </conditionalFormatting>
  <conditionalFormatting sqref="AR7">
    <cfRule type="cellIs" dxfId="456" priority="1" operator="equal">
      <formula>"6-Retiré/Abandon"</formula>
    </cfRule>
    <cfRule type="cellIs" dxfId="455" priority="2" operator="equal">
      <formula>"5-Défavorable"</formula>
    </cfRule>
    <cfRule type="cellIs" dxfId="454" priority="3" operator="equal">
      <formula>"4-Ajournement"</formula>
    </cfRule>
    <cfRule type="cellIs" dxfId="453" priority="4" operator="equal">
      <formula>"1-Favorable"</formula>
    </cfRule>
  </conditionalFormatting>
  <dataValidations count="1">
    <dataValidation type="list" allowBlank="1" showInputMessage="1" showErrorMessage="1" sqref="AP7">
      <formula1>"1-Favorable,4-Ajournement,5-Défavorable,6-Retiré/Abandon"</formula1>
    </dataValidation>
  </dataValidations>
  <printOptions horizontalCentered="1" verticalCentered="1"/>
  <pageMargins left="0.25" right="0.25" top="0.75" bottom="0.75" header="0.3" footer="0.3"/>
  <pageSetup paperSize="8" scale="65" fitToHeight="0" orientation="landscape" r:id="rId1"/>
  <drawing r:id="rId2"/>
  <tableParts count="1">
    <tablePart r:id="rId3"/>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C51"/>
  <sheetViews>
    <sheetView view="pageBreakPreview" topLeftCell="A2" zoomScale="80" zoomScaleNormal="60" zoomScaleSheetLayoutView="80" workbookViewId="0">
      <selection activeCell="A17" sqref="A17"/>
    </sheetView>
  </sheetViews>
  <sheetFormatPr baseColWidth="10" defaultRowHeight="15" outlineLevelCol="1" x14ac:dyDescent="0.25"/>
  <cols>
    <col min="1" max="1" width="13.85546875" style="3" customWidth="1"/>
    <col min="2" max="2" width="35" style="4" customWidth="1"/>
    <col min="3" max="3" width="48" style="5" customWidth="1"/>
    <col min="4" max="4" width="14.85546875" style="3" bestFit="1" customWidth="1"/>
    <col min="5" max="5" width="14" style="3" customWidth="1"/>
    <col min="6" max="6" width="12" style="6" customWidth="1"/>
    <col min="7" max="7" width="16" style="3" bestFit="1" customWidth="1"/>
    <col min="8" max="8" width="11.28515625" style="6" customWidth="1"/>
    <col min="9" max="9" width="13.85546875" style="3" bestFit="1" customWidth="1"/>
    <col min="10" max="10" width="15" style="3" bestFit="1" customWidth="1"/>
    <col min="11" max="11" width="11.5703125" style="3" hidden="1" customWidth="1" outlineLevel="1"/>
    <col min="12" max="12" width="16.5703125" style="3" hidden="1" customWidth="1" outlineLevel="1"/>
    <col min="13" max="13" width="13.7109375" style="3" bestFit="1" customWidth="1" collapsed="1"/>
    <col min="14" max="14" width="11.140625" style="3" hidden="1" customWidth="1" outlineLevel="1"/>
    <col min="15" max="15" width="11.85546875" style="3" hidden="1" customWidth="1" outlineLevel="1"/>
    <col min="16" max="16" width="10" style="3" hidden="1" customWidth="1" outlineLevel="1"/>
    <col min="17" max="17" width="11.7109375" style="3" hidden="1" customWidth="1" outlineLevel="1"/>
    <col min="18" max="18" width="16.140625" style="3" bestFit="1" customWidth="1" collapsed="1"/>
    <col min="19" max="40" width="8.7109375" style="3" hidden="1" customWidth="1" outlineLevel="1"/>
    <col min="41" max="41" width="12.28515625" style="3" customWidth="1" collapsed="1"/>
    <col min="42" max="42" width="15.42578125" style="3" bestFit="1" customWidth="1"/>
    <col min="43" max="43" width="15.42578125" style="3" hidden="1" customWidth="1"/>
    <col min="44" max="44" width="69" style="3" customWidth="1"/>
    <col min="45" max="45" width="15.42578125" style="3" bestFit="1" customWidth="1"/>
    <col min="46" max="46" width="17.28515625" style="3" bestFit="1" customWidth="1"/>
    <col min="47" max="47" width="9.42578125" style="3" customWidth="1"/>
    <col min="48" max="62" width="9.7109375" style="3" customWidth="1"/>
    <col min="63" max="63" width="15.140625" style="3" customWidth="1"/>
    <col min="64" max="64" width="14.5703125" style="3" customWidth="1"/>
    <col min="65" max="65" width="18.5703125" style="3" customWidth="1"/>
    <col min="66" max="66" width="12.5703125" style="3" customWidth="1"/>
    <col min="67" max="67" width="20.42578125" style="3" customWidth="1"/>
    <col min="68" max="68" width="12.7109375" style="3" customWidth="1"/>
    <col min="69" max="69" width="9.28515625" style="3" customWidth="1"/>
    <col min="70" max="70" width="14.28515625" style="3" customWidth="1"/>
    <col min="71" max="71" width="11.42578125" style="3" customWidth="1"/>
    <col min="72" max="72" width="9" style="3" customWidth="1"/>
    <col min="73" max="73" width="9.5703125" style="3" customWidth="1"/>
    <col min="74" max="74" width="11" style="3" customWidth="1"/>
    <col min="75" max="75" width="12.7109375" style="3" customWidth="1"/>
    <col min="76" max="78" width="9.7109375" style="3" customWidth="1"/>
    <col min="79" max="79" width="15.140625" style="3" customWidth="1"/>
    <col min="80" max="80" width="17.28515625" style="3" customWidth="1"/>
    <col min="81" max="81" width="49.28515625" style="4" customWidth="1"/>
    <col min="82" max="82" width="17.28515625" style="3" customWidth="1"/>
    <col min="83" max="16384" width="11.42578125" style="3"/>
  </cols>
  <sheetData>
    <row r="1" spans="1:81" ht="18.75" x14ac:dyDescent="0.3">
      <c r="B1" s="21" t="s">
        <v>250</v>
      </c>
      <c r="C1" s="22">
        <v>42523</v>
      </c>
    </row>
    <row r="5" spans="1:81" x14ac:dyDescent="0.25">
      <c r="A5" s="1" t="s">
        <v>218</v>
      </c>
      <c r="B5" s="2"/>
    </row>
    <row r="6" spans="1:81" s="7" customFormat="1" ht="30" x14ac:dyDescent="0.25">
      <c r="A6" s="7" t="s">
        <v>10</v>
      </c>
      <c r="B6" s="7" t="s">
        <v>1</v>
      </c>
      <c r="C6" s="7" t="s">
        <v>2</v>
      </c>
      <c r="D6" s="7" t="s">
        <v>72</v>
      </c>
      <c r="E6" s="7" t="s">
        <v>108</v>
      </c>
      <c r="F6" s="7" t="s">
        <v>73</v>
      </c>
      <c r="G6" s="7" t="s">
        <v>70</v>
      </c>
      <c r="H6" s="7" t="s">
        <v>109</v>
      </c>
      <c r="I6" s="7" t="s">
        <v>54</v>
      </c>
      <c r="J6" s="7" t="s">
        <v>129</v>
      </c>
      <c r="K6" s="7" t="s">
        <v>159</v>
      </c>
      <c r="L6" s="7" t="s">
        <v>27</v>
      </c>
      <c r="M6" s="7" t="s">
        <v>130</v>
      </c>
      <c r="N6" s="7" t="s">
        <v>30</v>
      </c>
      <c r="O6" s="7" t="s">
        <v>28</v>
      </c>
      <c r="P6" s="7" t="s">
        <v>29</v>
      </c>
      <c r="Q6" s="7" t="s">
        <v>31</v>
      </c>
      <c r="R6" s="7" t="s">
        <v>131</v>
      </c>
      <c r="S6" s="7" t="s">
        <v>32</v>
      </c>
      <c r="T6" s="7" t="s">
        <v>33</v>
      </c>
      <c r="U6" s="7" t="s">
        <v>34</v>
      </c>
      <c r="V6" s="7" t="s">
        <v>35</v>
      </c>
      <c r="W6" s="7" t="s">
        <v>36</v>
      </c>
      <c r="X6" s="7" t="s">
        <v>37</v>
      </c>
      <c r="Y6" s="7" t="s">
        <v>38</v>
      </c>
      <c r="Z6" s="7" t="s">
        <v>39</v>
      </c>
      <c r="AA6" s="7" t="s">
        <v>40</v>
      </c>
      <c r="AB6" s="7" t="s">
        <v>41</v>
      </c>
      <c r="AC6" s="7" t="s">
        <v>42</v>
      </c>
      <c r="AD6" s="7" t="s">
        <v>43</v>
      </c>
      <c r="AE6" s="7" t="s">
        <v>44</v>
      </c>
      <c r="AF6" s="7" t="s">
        <v>45</v>
      </c>
      <c r="AG6" s="7" t="s">
        <v>46</v>
      </c>
      <c r="AH6" s="7" t="s">
        <v>47</v>
      </c>
      <c r="AI6" s="7" t="s">
        <v>48</v>
      </c>
      <c r="AJ6" s="7" t="s">
        <v>49</v>
      </c>
      <c r="AK6" s="7" t="s">
        <v>50</v>
      </c>
      <c r="AL6" s="7" t="s">
        <v>51</v>
      </c>
      <c r="AM6" s="7" t="s">
        <v>52</v>
      </c>
      <c r="AN6" s="7" t="s">
        <v>53</v>
      </c>
      <c r="AO6" s="7" t="s">
        <v>55</v>
      </c>
      <c r="AP6" s="17" t="s">
        <v>110</v>
      </c>
      <c r="AR6" s="31" t="s">
        <v>128</v>
      </c>
    </row>
    <row r="7" spans="1:81" s="10" customFormat="1" ht="45" x14ac:dyDescent="0.25">
      <c r="A7" s="13" t="s">
        <v>215</v>
      </c>
      <c r="B7" s="12" t="s">
        <v>6</v>
      </c>
      <c r="C7" s="12" t="s">
        <v>216</v>
      </c>
      <c r="D7" s="15">
        <v>45000</v>
      </c>
      <c r="E7" s="15">
        <f>Tableau_Lancer_la_requête_à_partir_de_Excel_Files10256789[[#This Row],[Aide Massif]]+Tableau_Lancer_la_requête_à_partir_de_Excel_Files10256789[[#This Row],[''Autre Public'']]</f>
        <v>29835</v>
      </c>
      <c r="F7" s="16">
        <f>Tableau_Lancer_la_requête_à_partir_de_Excel_Files10256789[[#This Row],[Aide 
publique]]/Tableau_Lancer_la_requête_à_partir_de_Excel_Files10256789[[#This Row],[''Coût total éligible'']]</f>
        <v>0.66300000000000003</v>
      </c>
      <c r="G7" s="15">
        <f>Tableau_Lancer_la_requête_à_partir_de_Excel_Files10256789[[#This Row],[''FEDER'']]+Tableau_Lancer_la_requête_à_partir_de_Excel_Files10256789[[#This Row],[Total Etat]]+Tableau_Lancer_la_requête_à_partir_de_Excel_Files10256789[[#This Row],[Total Régions]]+Tableau_Lancer_la_requête_à_partir_de_Excel_Files10256789[[#This Row],[Total Dpts]]</f>
        <v>29835</v>
      </c>
      <c r="H7" s="16">
        <f>Tableau_Lancer_la_requête_à_partir_de_Excel_Files10256789[[#This Row],[Aide Massif]]/Tableau_Lancer_la_requête_à_partir_de_Excel_Files10256789[[#This Row],[''Coût total éligible'']]</f>
        <v>0.66300000000000003</v>
      </c>
      <c r="I7" s="15">
        <v>18000</v>
      </c>
      <c r="J7" s="15">
        <f>Tableau_Lancer_la_requête_à_partir_de_Excel_Files10256789[[#This Row],[''FNADT '']]+Tableau_Lancer_la_requête_à_partir_de_Excel_Files10256789[[#This Row],[''Agriculture'']]</f>
        <v>0</v>
      </c>
      <c r="K7" s="11"/>
      <c r="L7" s="15"/>
      <c r="M7" s="15">
        <f>Tableau_Lancer_la_requête_à_partir_de_Excel_Files10256789[[#This Row],[''ALPC'']]+Tableau_Lancer_la_requête_à_partir_de_Excel_Files10256789[[#This Row],[''AURA'']]+Tableau_Lancer_la_requête_à_partir_de_Excel_Files10256789[[#This Row],[''BFC'']]+Tableau_Lancer_la_requête_à_partir_de_Excel_Files10256789[[#This Row],[''LRMP'']]</f>
        <v>11835</v>
      </c>
      <c r="N7" s="15"/>
      <c r="O7" s="15"/>
      <c r="P7" s="15"/>
      <c r="Q7" s="15">
        <v>11835</v>
      </c>
      <c r="R7" s="15">
        <f>Tableau_Lancer_la_requête_à_partir_de_Excel_Files10256789[[#This Row],[''03'']]+Tableau_Lancer_la_requête_à_partir_de_Excel_Files10256789[[#This Row],[''07'']]+Tableau_Lancer_la_requête_à_partir_de_Excel_Files10256789[[#This Row],[''11'']]+Tableau_Lancer_la_requête_à_partir_de_Excel_Files10256789[[#This Row],[''12'']]+Tableau_Lancer_la_requête_à_partir_de_Excel_Files10256789[[#This Row],[''15'']]+Tableau_Lancer_la_requête_à_partir_de_Excel_Files10256789[[#This Row],[''19'']]+Tableau_Lancer_la_requête_à_partir_de_Excel_Files10256789[[#This Row],[''21'']]+Tableau_Lancer_la_requête_à_partir_de_Excel_Files10256789[[#This Row],[''23'']]+Tableau_Lancer_la_requête_à_partir_de_Excel_Files10256789[[#This Row],[''30'']]+Tableau_Lancer_la_requête_à_partir_de_Excel_Files10256789[[#This Row],[''34'']]+Tableau_Lancer_la_requête_à_partir_de_Excel_Files10256789[[#This Row],[''42'']]+Tableau_Lancer_la_requête_à_partir_de_Excel_Files10256789[[#This Row],[''43'']]+Tableau_Lancer_la_requête_à_partir_de_Excel_Files10256789[[#This Row],[''46'']]+Tableau_Lancer_la_requête_à_partir_de_Excel_Files10256789[[#This Row],[''48'']]+Tableau_Lancer_la_requête_à_partir_de_Excel_Files10256789[[#This Row],[''58'']]+Tableau_Lancer_la_requête_à_partir_de_Excel_Files10256789[[#This Row],[''63'']]+Tableau_Lancer_la_requête_à_partir_de_Excel_Files10256789[[#This Row],[''69'']]+Tableau_Lancer_la_requête_à_partir_de_Excel_Files10256789[[#This Row],[''71'']]+Tableau_Lancer_la_requête_à_partir_de_Excel_Files10256789[[#This Row],[''81'']]+Tableau_Lancer_la_requête_à_partir_de_Excel_Files10256789[[#This Row],[''82'']]+Tableau_Lancer_la_requête_à_partir_de_Excel_Files10256789[[#This Row],[''87'']]+Tableau_Lancer_la_requête_à_partir_de_Excel_Files10256789[[#This Row],[''89'']]</f>
        <v>0</v>
      </c>
      <c r="S7" s="15"/>
      <c r="T7" s="15"/>
      <c r="U7" s="15"/>
      <c r="V7" s="15"/>
      <c r="W7" s="15"/>
      <c r="X7" s="15"/>
      <c r="Y7" s="15"/>
      <c r="Z7" s="15"/>
      <c r="AA7" s="15"/>
      <c r="AB7" s="15"/>
      <c r="AC7" s="15"/>
      <c r="AD7" s="15"/>
      <c r="AE7" s="15"/>
      <c r="AF7" s="15"/>
      <c r="AG7" s="15"/>
      <c r="AH7" s="15"/>
      <c r="AI7" s="15"/>
      <c r="AJ7" s="15"/>
      <c r="AK7" s="15"/>
      <c r="AL7" s="15"/>
      <c r="AM7" s="15"/>
      <c r="AN7" s="15"/>
      <c r="AO7" s="15">
        <v>0</v>
      </c>
      <c r="AP7" s="11" t="s">
        <v>77</v>
      </c>
      <c r="AR7" s="24"/>
      <c r="AS7" s="10" t="s">
        <v>347</v>
      </c>
    </row>
    <row r="8" spans="1:81" s="10" customFormat="1" ht="62.25" customHeight="1" x14ac:dyDescent="0.25">
      <c r="A8" s="6" t="s">
        <v>212</v>
      </c>
      <c r="B8" s="5" t="s">
        <v>213</v>
      </c>
      <c r="C8" s="5" t="s">
        <v>214</v>
      </c>
      <c r="D8" s="8">
        <v>79113.350000000006</v>
      </c>
      <c r="E8" s="8">
        <f>Tableau_Lancer_la_requête_à_partir_de_Excel_Files10256789[[#This Row],[Aide Massif]]+Tableau_Lancer_la_requête_à_partir_de_Excel_Files10256789[[#This Row],[''Autre Public'']]</f>
        <v>52093</v>
      </c>
      <c r="F8" s="9">
        <f>Tableau_Lancer_la_requête_à_partir_de_Excel_Files10256789[[#This Row],[Aide 
publique]]/Tableau_Lancer_la_requête_à_partir_de_Excel_Files10256789[[#This Row],[''Coût total éligible'']]</f>
        <v>0.6584602977879207</v>
      </c>
      <c r="G8" s="8">
        <f>Tableau_Lancer_la_requête_à_partir_de_Excel_Files10256789[[#This Row],[''FEDER'']]+Tableau_Lancer_la_requête_à_partir_de_Excel_Files10256789[[#This Row],[Total Etat]]+Tableau_Lancer_la_requête_à_partir_de_Excel_Files10256789[[#This Row],[Total Régions]]+Tableau_Lancer_la_requête_à_partir_de_Excel_Files10256789[[#This Row],[Total Dpts]]</f>
        <v>52093</v>
      </c>
      <c r="H8" s="9">
        <f>Tableau_Lancer_la_requête_à_partir_de_Excel_Files10256789[[#This Row],[Aide Massif]]/Tableau_Lancer_la_requête_à_partir_de_Excel_Files10256789[[#This Row],[''Coût total éligible'']]</f>
        <v>0.6584602977879207</v>
      </c>
      <c r="I8" s="8">
        <v>30000</v>
      </c>
      <c r="J8" s="8">
        <f>Tableau_Lancer_la_requête_à_partir_de_Excel_Files10256789[[#This Row],[''FNADT '']]+Tableau_Lancer_la_requête_à_partir_de_Excel_Files10256789[[#This Row],[''Agriculture'']]</f>
        <v>22093</v>
      </c>
      <c r="K8" s="10">
        <v>22093</v>
      </c>
      <c r="L8" s="8"/>
      <c r="M8" s="8">
        <f>Tableau_Lancer_la_requête_à_partir_de_Excel_Files10256789[[#This Row],[''ALPC'']]+Tableau_Lancer_la_requête_à_partir_de_Excel_Files10256789[[#This Row],[''AURA'']]+Tableau_Lancer_la_requête_à_partir_de_Excel_Files10256789[[#This Row],[''BFC'']]+Tableau_Lancer_la_requête_à_partir_de_Excel_Files10256789[[#This Row],[''LRMP'']]</f>
        <v>0</v>
      </c>
      <c r="N8" s="8"/>
      <c r="O8" s="8"/>
      <c r="P8" s="8"/>
      <c r="Q8" s="8"/>
      <c r="R8" s="8">
        <f>Tableau_Lancer_la_requête_à_partir_de_Excel_Files10256789[[#This Row],[''03'']]+Tableau_Lancer_la_requête_à_partir_de_Excel_Files10256789[[#This Row],[''07'']]+Tableau_Lancer_la_requête_à_partir_de_Excel_Files10256789[[#This Row],[''11'']]+Tableau_Lancer_la_requête_à_partir_de_Excel_Files10256789[[#This Row],[''12'']]+Tableau_Lancer_la_requête_à_partir_de_Excel_Files10256789[[#This Row],[''15'']]+Tableau_Lancer_la_requête_à_partir_de_Excel_Files10256789[[#This Row],[''19'']]+Tableau_Lancer_la_requête_à_partir_de_Excel_Files10256789[[#This Row],[''21'']]+Tableau_Lancer_la_requête_à_partir_de_Excel_Files10256789[[#This Row],[''23'']]+Tableau_Lancer_la_requête_à_partir_de_Excel_Files10256789[[#This Row],[''30'']]+Tableau_Lancer_la_requête_à_partir_de_Excel_Files10256789[[#This Row],[''34'']]+Tableau_Lancer_la_requête_à_partir_de_Excel_Files10256789[[#This Row],[''42'']]+Tableau_Lancer_la_requête_à_partir_de_Excel_Files10256789[[#This Row],[''43'']]+Tableau_Lancer_la_requête_à_partir_de_Excel_Files10256789[[#This Row],[''46'']]+Tableau_Lancer_la_requête_à_partir_de_Excel_Files10256789[[#This Row],[''48'']]+Tableau_Lancer_la_requête_à_partir_de_Excel_Files10256789[[#This Row],[''58'']]+Tableau_Lancer_la_requête_à_partir_de_Excel_Files10256789[[#This Row],[''63'']]+Tableau_Lancer_la_requête_à_partir_de_Excel_Files10256789[[#This Row],[''69'']]+Tableau_Lancer_la_requête_à_partir_de_Excel_Files10256789[[#This Row],[''71'']]+Tableau_Lancer_la_requête_à_partir_de_Excel_Files10256789[[#This Row],[''81'']]+Tableau_Lancer_la_requête_à_partir_de_Excel_Files10256789[[#This Row],[''82'']]+Tableau_Lancer_la_requête_à_partir_de_Excel_Files10256789[[#This Row],[''87'']]+Tableau_Lancer_la_requête_à_partir_de_Excel_Files10256789[[#This Row],[''89'']]</f>
        <v>0</v>
      </c>
      <c r="S8" s="8"/>
      <c r="T8" s="8"/>
      <c r="U8" s="8"/>
      <c r="V8" s="8"/>
      <c r="W8" s="8"/>
      <c r="X8" s="8"/>
      <c r="Y8" s="8"/>
      <c r="Z8" s="8"/>
      <c r="AA8" s="8"/>
      <c r="AB8" s="8"/>
      <c r="AC8" s="8"/>
      <c r="AD8" s="8"/>
      <c r="AE8" s="8"/>
      <c r="AF8" s="8"/>
      <c r="AG8" s="8"/>
      <c r="AH8" s="8"/>
      <c r="AI8" s="8"/>
      <c r="AJ8" s="8"/>
      <c r="AK8" s="8"/>
      <c r="AL8" s="8"/>
      <c r="AM8" s="8"/>
      <c r="AN8" s="8"/>
      <c r="AO8" s="8">
        <v>0</v>
      </c>
      <c r="AP8" s="10" t="s">
        <v>77</v>
      </c>
      <c r="AR8" s="26"/>
      <c r="AS8" s="10" t="s">
        <v>347</v>
      </c>
    </row>
    <row r="9" spans="1:81" s="10" customFormat="1" ht="30" x14ac:dyDescent="0.25">
      <c r="A9" s="6" t="s">
        <v>209</v>
      </c>
      <c r="B9" s="5" t="s">
        <v>210</v>
      </c>
      <c r="C9" s="5" t="s">
        <v>211</v>
      </c>
      <c r="D9" s="8">
        <v>75000</v>
      </c>
      <c r="E9" s="8">
        <f>Tableau_Lancer_la_requête_à_partir_de_Excel_Files10256789[[#This Row],[Aide Massif]]+Tableau_Lancer_la_requête_à_partir_de_Excel_Files10256789[[#This Row],[''Autre Public'']]</f>
        <v>52500</v>
      </c>
      <c r="F9" s="9">
        <f>Tableau_Lancer_la_requête_à_partir_de_Excel_Files10256789[[#This Row],[Aide 
publique]]/Tableau_Lancer_la_requête_à_partir_de_Excel_Files10256789[[#This Row],[''Coût total éligible'']]</f>
        <v>0.7</v>
      </c>
      <c r="G9" s="8">
        <f>Tableau_Lancer_la_requête_à_partir_de_Excel_Files10256789[[#This Row],[''FEDER'']]+Tableau_Lancer_la_requête_à_partir_de_Excel_Files10256789[[#This Row],[Total Etat]]+Tableau_Lancer_la_requête_à_partir_de_Excel_Files10256789[[#This Row],[Total Régions]]+Tableau_Lancer_la_requête_à_partir_de_Excel_Files10256789[[#This Row],[Total Dpts]]</f>
        <v>52500</v>
      </c>
      <c r="H9" s="9">
        <f>Tableau_Lancer_la_requête_à_partir_de_Excel_Files10256789[[#This Row],[Aide Massif]]/Tableau_Lancer_la_requête_à_partir_de_Excel_Files10256789[[#This Row],[''Coût total éligible'']]</f>
        <v>0.7</v>
      </c>
      <c r="I9" s="8">
        <v>30000</v>
      </c>
      <c r="J9" s="8">
        <f>Tableau_Lancer_la_requête_à_partir_de_Excel_Files10256789[[#This Row],[''FNADT '']]+Tableau_Lancer_la_requête_à_partir_de_Excel_Files10256789[[#This Row],[''Agriculture'']]</f>
        <v>22500</v>
      </c>
      <c r="K9" s="10">
        <v>22500</v>
      </c>
      <c r="L9" s="8"/>
      <c r="M9" s="8">
        <f>Tableau_Lancer_la_requête_à_partir_de_Excel_Files10256789[[#This Row],[''ALPC'']]+Tableau_Lancer_la_requête_à_partir_de_Excel_Files10256789[[#This Row],[''AURA'']]+Tableau_Lancer_la_requête_à_partir_de_Excel_Files10256789[[#This Row],[''BFC'']]+Tableau_Lancer_la_requête_à_partir_de_Excel_Files10256789[[#This Row],[''LRMP'']]</f>
        <v>0</v>
      </c>
      <c r="N9" s="8"/>
      <c r="O9" s="8"/>
      <c r="P9" s="8"/>
      <c r="Q9" s="8"/>
      <c r="R9" s="8">
        <f>Tableau_Lancer_la_requête_à_partir_de_Excel_Files10256789[[#This Row],[''03'']]+Tableau_Lancer_la_requête_à_partir_de_Excel_Files10256789[[#This Row],[''07'']]+Tableau_Lancer_la_requête_à_partir_de_Excel_Files10256789[[#This Row],[''11'']]+Tableau_Lancer_la_requête_à_partir_de_Excel_Files10256789[[#This Row],[''12'']]+Tableau_Lancer_la_requête_à_partir_de_Excel_Files10256789[[#This Row],[''15'']]+Tableau_Lancer_la_requête_à_partir_de_Excel_Files10256789[[#This Row],[''19'']]+Tableau_Lancer_la_requête_à_partir_de_Excel_Files10256789[[#This Row],[''21'']]+Tableau_Lancer_la_requête_à_partir_de_Excel_Files10256789[[#This Row],[''23'']]+Tableau_Lancer_la_requête_à_partir_de_Excel_Files10256789[[#This Row],[''30'']]+Tableau_Lancer_la_requête_à_partir_de_Excel_Files10256789[[#This Row],[''34'']]+Tableau_Lancer_la_requête_à_partir_de_Excel_Files10256789[[#This Row],[''42'']]+Tableau_Lancer_la_requête_à_partir_de_Excel_Files10256789[[#This Row],[''43'']]+Tableau_Lancer_la_requête_à_partir_de_Excel_Files10256789[[#This Row],[''46'']]+Tableau_Lancer_la_requête_à_partir_de_Excel_Files10256789[[#This Row],[''48'']]+Tableau_Lancer_la_requête_à_partir_de_Excel_Files10256789[[#This Row],[''58'']]+Tableau_Lancer_la_requête_à_partir_de_Excel_Files10256789[[#This Row],[''63'']]+Tableau_Lancer_la_requête_à_partir_de_Excel_Files10256789[[#This Row],[''69'']]+Tableau_Lancer_la_requête_à_partir_de_Excel_Files10256789[[#This Row],[''71'']]+Tableau_Lancer_la_requête_à_partir_de_Excel_Files10256789[[#This Row],[''81'']]+Tableau_Lancer_la_requête_à_partir_de_Excel_Files10256789[[#This Row],[''82'']]+Tableau_Lancer_la_requête_à_partir_de_Excel_Files10256789[[#This Row],[''87'']]+Tableau_Lancer_la_requête_à_partir_de_Excel_Files10256789[[#This Row],[''89'']]</f>
        <v>0</v>
      </c>
      <c r="S9" s="8"/>
      <c r="T9" s="8"/>
      <c r="U9" s="8"/>
      <c r="V9" s="8"/>
      <c r="W9" s="8"/>
      <c r="X9" s="8"/>
      <c r="Y9" s="8"/>
      <c r="Z9" s="8"/>
      <c r="AA9" s="8"/>
      <c r="AB9" s="8"/>
      <c r="AC9" s="8"/>
      <c r="AD9" s="8"/>
      <c r="AE9" s="8"/>
      <c r="AF9" s="8"/>
      <c r="AG9" s="8"/>
      <c r="AH9" s="8"/>
      <c r="AI9" s="8"/>
      <c r="AJ9" s="8"/>
      <c r="AK9" s="8"/>
      <c r="AL9" s="8"/>
      <c r="AM9" s="8"/>
      <c r="AN9" s="8"/>
      <c r="AO9" s="8">
        <v>0</v>
      </c>
      <c r="AP9" s="10" t="s">
        <v>77</v>
      </c>
      <c r="AR9" s="24"/>
      <c r="AS9" s="10" t="s">
        <v>344</v>
      </c>
    </row>
    <row r="10" spans="1:81" s="10" customFormat="1" ht="30.75" thickBot="1" x14ac:dyDescent="0.3">
      <c r="A10" s="13" t="s">
        <v>171</v>
      </c>
      <c r="B10" s="12" t="s">
        <v>172</v>
      </c>
      <c r="C10" s="12" t="s">
        <v>173</v>
      </c>
      <c r="D10" s="15">
        <v>60708.19</v>
      </c>
      <c r="E10" s="15">
        <f>Tableau_Lancer_la_requête_à_partir_de_Excel_Files10256789[[#This Row],[Aide Massif]]+Tableau_Lancer_la_requête_à_partir_de_Excel_Files10256789[[#This Row],[''Autre Public'']]</f>
        <v>48566.55</v>
      </c>
      <c r="F10" s="16">
        <f>Tableau_Lancer_la_requête_à_partir_de_Excel_Files10256789[[#This Row],[Aide 
publique]]/Tableau_Lancer_la_requête_à_partir_de_Excel_Files10256789[[#This Row],[''Coût total éligible'']]</f>
        <v>0.7999999670555159</v>
      </c>
      <c r="G10" s="15">
        <f>Tableau_Lancer_la_requête_à_partir_de_Excel_Files10256789[[#This Row],[''FEDER'']]+Tableau_Lancer_la_requête_à_partir_de_Excel_Files10256789[[#This Row],[Total Etat]]+Tableau_Lancer_la_requête_à_partir_de_Excel_Files10256789[[#This Row],[Total Régions]]+Tableau_Lancer_la_requête_à_partir_de_Excel_Files10256789[[#This Row],[Total Dpts]]</f>
        <v>38566.550000000003</v>
      </c>
      <c r="H10" s="16">
        <f>Tableau_Lancer_la_requête_à_partir_de_Excel_Files10256789[[#This Row],[Aide Massif]]/Tableau_Lancer_la_requête_à_partir_de_Excel_Files10256789[[#This Row],[''Coût total éligible'']]</f>
        <v>0.63527754657155822</v>
      </c>
      <c r="I10" s="15">
        <v>24283.4</v>
      </c>
      <c r="J10" s="15">
        <f>Tableau_Lancer_la_requête_à_partir_de_Excel_Files10256789[[#This Row],[''FNADT '']]+Tableau_Lancer_la_requête_à_partir_de_Excel_Files10256789[[#This Row],[''Agriculture'']]</f>
        <v>11986.9</v>
      </c>
      <c r="K10" s="11">
        <v>11986.9</v>
      </c>
      <c r="L10" s="15"/>
      <c r="M10" s="15">
        <f>Tableau_Lancer_la_requête_à_partir_de_Excel_Files10256789[[#This Row],[''ALPC'']]+Tableau_Lancer_la_requête_à_partir_de_Excel_Files10256789[[#This Row],[''AURA'']]+Tableau_Lancer_la_requête_à_partir_de_Excel_Files10256789[[#This Row],[''BFC'']]+Tableau_Lancer_la_requête_à_partir_de_Excel_Files10256789[[#This Row],[''LRMP'']]</f>
        <v>0</v>
      </c>
      <c r="N10" s="15"/>
      <c r="O10" s="15"/>
      <c r="P10" s="15"/>
      <c r="Q10" s="15"/>
      <c r="R10" s="15">
        <f>Tableau_Lancer_la_requête_à_partir_de_Excel_Files10256789[[#This Row],[''03'']]+Tableau_Lancer_la_requête_à_partir_de_Excel_Files10256789[[#This Row],[''07'']]+Tableau_Lancer_la_requête_à_partir_de_Excel_Files10256789[[#This Row],[''11'']]+Tableau_Lancer_la_requête_à_partir_de_Excel_Files10256789[[#This Row],[''12'']]+Tableau_Lancer_la_requête_à_partir_de_Excel_Files10256789[[#This Row],[''15'']]+Tableau_Lancer_la_requête_à_partir_de_Excel_Files10256789[[#This Row],[''19'']]+Tableau_Lancer_la_requête_à_partir_de_Excel_Files10256789[[#This Row],[''21'']]+Tableau_Lancer_la_requête_à_partir_de_Excel_Files10256789[[#This Row],[''23'']]+Tableau_Lancer_la_requête_à_partir_de_Excel_Files10256789[[#This Row],[''30'']]+Tableau_Lancer_la_requête_à_partir_de_Excel_Files10256789[[#This Row],[''34'']]+Tableau_Lancer_la_requête_à_partir_de_Excel_Files10256789[[#This Row],[''42'']]+Tableau_Lancer_la_requête_à_partir_de_Excel_Files10256789[[#This Row],[''43'']]+Tableau_Lancer_la_requête_à_partir_de_Excel_Files10256789[[#This Row],[''46'']]+Tableau_Lancer_la_requête_à_partir_de_Excel_Files10256789[[#This Row],[''48'']]+Tableau_Lancer_la_requête_à_partir_de_Excel_Files10256789[[#This Row],[''58'']]+Tableau_Lancer_la_requête_à_partir_de_Excel_Files10256789[[#This Row],[''63'']]+Tableau_Lancer_la_requête_à_partir_de_Excel_Files10256789[[#This Row],[''69'']]+Tableau_Lancer_la_requête_à_partir_de_Excel_Files10256789[[#This Row],[''71'']]+Tableau_Lancer_la_requête_à_partir_de_Excel_Files10256789[[#This Row],[''81'']]+Tableau_Lancer_la_requête_à_partir_de_Excel_Files10256789[[#This Row],[''82'']]+Tableau_Lancer_la_requête_à_partir_de_Excel_Files10256789[[#This Row],[''87'']]+Tableau_Lancer_la_requête_à_partir_de_Excel_Files10256789[[#This Row],[''89'']]</f>
        <v>2296.25</v>
      </c>
      <c r="S10" s="15"/>
      <c r="T10" s="15"/>
      <c r="U10" s="15"/>
      <c r="V10" s="15"/>
      <c r="W10" s="15"/>
      <c r="X10" s="15"/>
      <c r="Y10" s="15"/>
      <c r="Z10" s="15"/>
      <c r="AA10" s="15"/>
      <c r="AB10" s="15"/>
      <c r="AC10" s="15"/>
      <c r="AD10" s="15"/>
      <c r="AE10" s="15"/>
      <c r="AF10" s="15">
        <v>2296.25</v>
      </c>
      <c r="AG10" s="15"/>
      <c r="AH10" s="15"/>
      <c r="AI10" s="15"/>
      <c r="AJ10" s="15"/>
      <c r="AK10" s="15"/>
      <c r="AL10" s="15"/>
      <c r="AM10" s="15"/>
      <c r="AN10" s="15"/>
      <c r="AO10" s="15">
        <v>10000</v>
      </c>
      <c r="AP10" s="11" t="s">
        <v>77</v>
      </c>
      <c r="AR10" s="26" t="s">
        <v>416</v>
      </c>
      <c r="AS10" s="10" t="s">
        <v>344</v>
      </c>
    </row>
    <row r="11" spans="1:81" s="10" customFormat="1" ht="15.75" thickTop="1" x14ac:dyDescent="0.25">
      <c r="A11" s="70" t="s">
        <v>11</v>
      </c>
      <c r="B11" s="71">
        <f>SUBTOTAL(103,Tableau_Lancer_la_requête_à_partir_de_Excel_Files10256789[Nom_MO])</f>
        <v>4</v>
      </c>
      <c r="C11" s="71"/>
      <c r="D11" s="72">
        <f>SUBTOTAL(109,Tableau_Lancer_la_requête_à_partir_de_Excel_Files10256789[''Coût total éligible''])</f>
        <v>259821.54</v>
      </c>
      <c r="E11" s="72">
        <f>SUBTOTAL(109,Tableau_Lancer_la_requête_à_partir_de_Excel_Files10256789[Aide 
publique])</f>
        <v>182994.55</v>
      </c>
      <c r="F11" s="73"/>
      <c r="G11" s="72">
        <f>SUBTOTAL(109,Tableau_Lancer_la_requête_à_partir_de_Excel_Files10256789[Aide Massif])</f>
        <v>172994.55</v>
      </c>
      <c r="H11" s="73"/>
      <c r="I11" s="72">
        <f>SUBTOTAL(109,Tableau_Lancer_la_requête_à_partir_de_Excel_Files10256789[''FEDER''])</f>
        <v>102283.4</v>
      </c>
      <c r="J11" s="72">
        <f>SUBTOTAL(109,Tableau_Lancer_la_requête_à_partir_de_Excel_Files10256789[Total Etat])</f>
        <v>56579.9</v>
      </c>
      <c r="K11" s="70"/>
      <c r="L11" s="72">
        <f>SUBTOTAL(109,Tableau_Lancer_la_requête_à_partir_de_Excel_Files10256789[''Agriculture''])</f>
        <v>0</v>
      </c>
      <c r="M11" s="72">
        <f>SUBTOTAL(109,Tableau_Lancer_la_requête_à_partir_de_Excel_Files10256789[Total Régions])</f>
        <v>11835</v>
      </c>
      <c r="N11" s="72">
        <f>SUBTOTAL(109,Tableau_Lancer_la_requête_à_partir_de_Excel_Files10256789[''ALPC''])</f>
        <v>0</v>
      </c>
      <c r="O11" s="72">
        <f>SUBTOTAL(109,Tableau_Lancer_la_requête_à_partir_de_Excel_Files10256789[''AURA''])</f>
        <v>0</v>
      </c>
      <c r="P11" s="72">
        <f>SUBTOTAL(109,Tableau_Lancer_la_requête_à_partir_de_Excel_Files10256789[''BFC''])</f>
        <v>0</v>
      </c>
      <c r="Q11" s="72">
        <f>SUBTOTAL(109,Tableau_Lancer_la_requête_à_partir_de_Excel_Files10256789[''LRMP''])</f>
        <v>11835</v>
      </c>
      <c r="R11" s="72">
        <f>SUBTOTAL(109,Tableau_Lancer_la_requête_à_partir_de_Excel_Files10256789[Total Dpts])</f>
        <v>2296.25</v>
      </c>
      <c r="S11" s="72">
        <f>SUBTOTAL(109,Tableau_Lancer_la_requête_à_partir_de_Excel_Files10256789[''03''])</f>
        <v>0</v>
      </c>
      <c r="T11" s="72">
        <f>SUBTOTAL(109,Tableau_Lancer_la_requête_à_partir_de_Excel_Files10256789[''07''])</f>
        <v>0</v>
      </c>
      <c r="U11" s="72">
        <f>SUBTOTAL(109,Tableau_Lancer_la_requête_à_partir_de_Excel_Files10256789[''11''])</f>
        <v>0</v>
      </c>
      <c r="V11" s="72">
        <f>SUBTOTAL(109,Tableau_Lancer_la_requête_à_partir_de_Excel_Files10256789[''12''])</f>
        <v>0</v>
      </c>
      <c r="W11" s="72">
        <f>SUBTOTAL(109,Tableau_Lancer_la_requête_à_partir_de_Excel_Files10256789[''15''])</f>
        <v>0</v>
      </c>
      <c r="X11" s="72">
        <f>SUBTOTAL(109,Tableau_Lancer_la_requête_à_partir_de_Excel_Files10256789[''19''])</f>
        <v>0</v>
      </c>
      <c r="Y11" s="72">
        <f>SUBTOTAL(109,Tableau_Lancer_la_requête_à_partir_de_Excel_Files10256789[''21''])</f>
        <v>0</v>
      </c>
      <c r="Z11" s="72">
        <f>SUBTOTAL(109,Tableau_Lancer_la_requête_à_partir_de_Excel_Files10256789[''23''])</f>
        <v>0</v>
      </c>
      <c r="AA11" s="72">
        <f>SUBTOTAL(109,Tableau_Lancer_la_requête_à_partir_de_Excel_Files10256789[''30''])</f>
        <v>0</v>
      </c>
      <c r="AB11" s="72">
        <f>SUBTOTAL(109,Tableau_Lancer_la_requête_à_partir_de_Excel_Files10256789[''34''])</f>
        <v>0</v>
      </c>
      <c r="AC11" s="72">
        <f>SUBTOTAL(109,Tableau_Lancer_la_requête_à_partir_de_Excel_Files10256789[''42''])</f>
        <v>0</v>
      </c>
      <c r="AD11" s="72">
        <f>SUBTOTAL(109,Tableau_Lancer_la_requête_à_partir_de_Excel_Files10256789[''43''])</f>
        <v>0</v>
      </c>
      <c r="AE11" s="72">
        <f>SUBTOTAL(109,Tableau_Lancer_la_requête_à_partir_de_Excel_Files10256789[''46''])</f>
        <v>0</v>
      </c>
      <c r="AF11" s="72">
        <f>SUBTOTAL(109,Tableau_Lancer_la_requête_à_partir_de_Excel_Files10256789[''48''])</f>
        <v>2296.25</v>
      </c>
      <c r="AG11" s="72">
        <f>SUBTOTAL(109,Tableau_Lancer_la_requête_à_partir_de_Excel_Files10256789[''58''])</f>
        <v>0</v>
      </c>
      <c r="AH11" s="72">
        <f>SUBTOTAL(109,Tableau_Lancer_la_requête_à_partir_de_Excel_Files10256789[''63''])</f>
        <v>0</v>
      </c>
      <c r="AI11" s="72">
        <f>SUBTOTAL(109,Tableau_Lancer_la_requête_à_partir_de_Excel_Files10256789[''69''])</f>
        <v>0</v>
      </c>
      <c r="AJ11" s="72">
        <f>SUBTOTAL(109,Tableau_Lancer_la_requête_à_partir_de_Excel_Files10256789[''71''])</f>
        <v>0</v>
      </c>
      <c r="AK11" s="72">
        <f>SUBTOTAL(109,Tableau_Lancer_la_requête_à_partir_de_Excel_Files10256789[''81''])</f>
        <v>0</v>
      </c>
      <c r="AL11" s="72">
        <f>SUBTOTAL(109,Tableau_Lancer_la_requête_à_partir_de_Excel_Files10256789[''82''])</f>
        <v>0</v>
      </c>
      <c r="AM11" s="72">
        <f>SUBTOTAL(109,Tableau_Lancer_la_requête_à_partir_de_Excel_Files10256789[''87''])</f>
        <v>0</v>
      </c>
      <c r="AN11" s="72">
        <f>SUBTOTAL(109,Tableau_Lancer_la_requête_à_partir_de_Excel_Files10256789[''89''])</f>
        <v>0</v>
      </c>
      <c r="AO11" s="72">
        <f>SUBTOTAL(109,Tableau_Lancer_la_requête_à_partir_de_Excel_Files10256789[''Autre Public''])</f>
        <v>10000</v>
      </c>
      <c r="AP11" s="74"/>
      <c r="AR11" s="29"/>
    </row>
    <row r="12" spans="1:81" x14ac:dyDescent="0.25">
      <c r="BZ12" s="4"/>
      <c r="CC12" s="3"/>
    </row>
    <row r="13" spans="1:81" x14ac:dyDescent="0.25">
      <c r="BZ13" s="4"/>
      <c r="CC13" s="3"/>
    </row>
    <row r="14" spans="1:81" x14ac:dyDescent="0.25">
      <c r="BZ14" s="4"/>
      <c r="CC14" s="3"/>
    </row>
    <row r="15" spans="1:81" x14ac:dyDescent="0.25">
      <c r="BZ15" s="4"/>
      <c r="CC15" s="3"/>
    </row>
    <row r="16" spans="1:81" x14ac:dyDescent="0.25">
      <c r="BZ16" s="4"/>
      <c r="CC16" s="3"/>
    </row>
    <row r="17" spans="1:81" s="7" customFormat="1" x14ac:dyDescent="0.25">
      <c r="A17" s="3"/>
      <c r="B17" s="4"/>
      <c r="C17" s="5"/>
      <c r="D17" s="3"/>
      <c r="E17" s="3"/>
      <c r="F17" s="6"/>
      <c r="G17" s="3"/>
      <c r="H17" s="6"/>
      <c r="I17" s="3"/>
      <c r="J17" s="3"/>
      <c r="K17" s="3"/>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row>
    <row r="18" spans="1:81" s="10" customFormat="1" x14ac:dyDescent="0.25">
      <c r="A18" s="3"/>
      <c r="B18" s="4"/>
      <c r="C18" s="5"/>
      <c r="D18" s="3"/>
      <c r="E18" s="3"/>
      <c r="F18" s="6"/>
      <c r="G18" s="3"/>
      <c r="H18" s="6"/>
      <c r="I18" s="3"/>
      <c r="J18" s="3"/>
      <c r="K18" s="3"/>
      <c r="L18" s="3"/>
      <c r="M18" s="3"/>
      <c r="N18" s="3"/>
      <c r="O18" s="3"/>
      <c r="P18" s="3"/>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row>
    <row r="19" spans="1:81" x14ac:dyDescent="0.25">
      <c r="CB19" s="4"/>
      <c r="CC19" s="3"/>
    </row>
    <row r="21" spans="1:81" hidden="1" x14ac:dyDescent="0.25">
      <c r="E21" s="3" t="s">
        <v>352</v>
      </c>
      <c r="F21" s="6" t="s">
        <v>351</v>
      </c>
    </row>
    <row r="22" spans="1:81" hidden="1" x14ac:dyDescent="0.25">
      <c r="D22" t="s">
        <v>112</v>
      </c>
      <c r="E22" s="3">
        <f>SUMIF(Tableau_Lancer_la_requête_à_partir_de_Excel_Files10256789[Avis Prog],"1-Favorable",Tableau_Lancer_la_requête_à_partir_de_Excel_Files10256789[''FEDER''])</f>
        <v>102283.4</v>
      </c>
      <c r="F22" s="3" t="e">
        <f>SUMIF(#REF!,"1-Favorable",Tableau_Lancer_la_requête_à_partir_de_Excel_Files10256789[''FEDER''])</f>
        <v>#REF!</v>
      </c>
    </row>
    <row r="23" spans="1:81" hidden="1" x14ac:dyDescent="0.25">
      <c r="D23" t="s">
        <v>56</v>
      </c>
      <c r="E23" s="3">
        <f>SUMIF(Tableau_Lancer_la_requête_à_partir_de_Excel_Files10256789[Avis Prog],"1-Favorable",Tableau_Lancer_la_requête_à_partir_de_Excel_Files10256789[Total Etat])</f>
        <v>56579.9</v>
      </c>
      <c r="F23" s="3" t="e">
        <f>SUMIF(#REF!,"1-Favorable",Tableau_Lancer_la_requête_à_partir_de_Excel_Files10256789[Total Etat])</f>
        <v>#REF!</v>
      </c>
    </row>
    <row r="24" spans="1:81" hidden="1" x14ac:dyDescent="0.25">
      <c r="D24" t="s">
        <v>57</v>
      </c>
      <c r="E24" s="3">
        <f>SUMIF(Tableau_Lancer_la_requête_à_partir_de_Excel_Files10256789[Avis Prog],"1-Favorable",Tableau_Lancer_la_requête_à_partir_de_Excel_Files10256789[Total Régions])</f>
        <v>11835</v>
      </c>
      <c r="F24" s="3" t="e">
        <f>SUMIF(#REF!,"1-Favorable",Tableau_Lancer_la_requête_à_partir_de_Excel_Files10256789[Total Régions])</f>
        <v>#REF!</v>
      </c>
    </row>
    <row r="25" spans="1:81" hidden="1" x14ac:dyDescent="0.25">
      <c r="D25" s="3" t="s">
        <v>113</v>
      </c>
      <c r="E25" s="3">
        <f>SUMIF(Tableau_Lancer_la_requête_à_partir_de_Excel_Files10256789[Avis Prog],"1-Favorable",Tableau_Lancer_la_requête_à_partir_de_Excel_Files10256789[''ALPC''])</f>
        <v>0</v>
      </c>
      <c r="F25" s="3" t="e">
        <f>SUMIF(#REF!,"1-Favorable",Tableau_Lancer_la_requête_à_partir_de_Excel_Files10256789[''ALPC''])</f>
        <v>#REF!</v>
      </c>
    </row>
    <row r="26" spans="1:81" hidden="1" x14ac:dyDescent="0.25">
      <c r="D26" s="3" t="s">
        <v>114</v>
      </c>
      <c r="E26" s="3">
        <f>SUMIF(Tableau_Lancer_la_requête_à_partir_de_Excel_Files10256789[Avis Prog],"1-Favorable",Tableau_Lancer_la_requête_à_partir_de_Excel_Files10256789[''AURA''])</f>
        <v>0</v>
      </c>
      <c r="F26" s="3" t="e">
        <f>SUMIF(#REF!,"1-Favorable",Tableau_Lancer_la_requête_à_partir_de_Excel_Files10256789[''AURA''])</f>
        <v>#REF!</v>
      </c>
    </row>
    <row r="27" spans="1:81" hidden="1" x14ac:dyDescent="0.25">
      <c r="D27" s="3" t="s">
        <v>115</v>
      </c>
      <c r="E27" s="3">
        <f>SUMIF(Tableau_Lancer_la_requête_à_partir_de_Excel_Files10256789[Avis Prog],"1-Favorable",Tableau_Lancer_la_requête_à_partir_de_Excel_Files10256789[''BFC''])</f>
        <v>0</v>
      </c>
      <c r="F27" s="3" t="e">
        <f>SUMIF(#REF!,"1-Favorable",Tableau_Lancer_la_requête_à_partir_de_Excel_Files10256789[''BFC''])</f>
        <v>#REF!</v>
      </c>
    </row>
    <row r="28" spans="1:81" hidden="1" x14ac:dyDescent="0.25">
      <c r="D28" s="3" t="s">
        <v>116</v>
      </c>
      <c r="E28" s="3">
        <f>SUMIF(Tableau_Lancer_la_requête_à_partir_de_Excel_Files10256789[Avis Prog],"1-Favorable",Tableau_Lancer_la_requête_à_partir_de_Excel_Files10256789[''LRMP''])</f>
        <v>11835</v>
      </c>
      <c r="F28" s="3" t="e">
        <f>SUMIF(#REF!,"1-Favorable",Tableau_Lancer_la_requête_à_partir_de_Excel_Files10256789[''LRMP''])</f>
        <v>#REF!</v>
      </c>
    </row>
    <row r="29" spans="1:81" hidden="1" x14ac:dyDescent="0.25">
      <c r="D29" t="s">
        <v>58</v>
      </c>
      <c r="E29" s="3">
        <f>SUMIF(Tableau_Lancer_la_requête_à_partir_de_Excel_Files10256789[Avis Prog],"1-Favorable",Tableau_Lancer_la_requête_à_partir_de_Excel_Files10256789[Total Dpts])</f>
        <v>2296.25</v>
      </c>
      <c r="F29" s="3" t="e">
        <f>SUMIF(#REF!,"1-Favorable",Tableau_Lancer_la_requête_à_partir_de_Excel_Files10256789[Total Dpts])</f>
        <v>#REF!</v>
      </c>
    </row>
    <row r="30" spans="1:81" hidden="1" x14ac:dyDescent="0.25">
      <c r="D30" t="s">
        <v>32</v>
      </c>
      <c r="E30" s="3">
        <f>SUMIF(Tableau_Lancer_la_requête_à_partir_de_Excel_Files10256789[Avis Prog],"1-Favorable",Tableau_Lancer_la_requête_à_partir_de_Excel_Files10256789[''03''])</f>
        <v>0</v>
      </c>
      <c r="F30" s="3" t="e">
        <f>SUMIF(#REF!,"1-Favorable",Tableau_Lancer_la_requête_à_partir_de_Excel_Files10256789[''03''])</f>
        <v>#REF!</v>
      </c>
    </row>
    <row r="31" spans="1:81" hidden="1" x14ac:dyDescent="0.25">
      <c r="D31" t="s">
        <v>33</v>
      </c>
      <c r="E31" s="3">
        <f>SUMIF(Tableau_Lancer_la_requête_à_partir_de_Excel_Files10256789[Avis Prog],"1-Favorable",Tableau_Lancer_la_requête_à_partir_de_Excel_Files10256789[''07''])</f>
        <v>0</v>
      </c>
      <c r="F31" s="3" t="e">
        <f>SUMIF(#REF!,"1-Favorable",Tableau_Lancer_la_requête_à_partir_de_Excel_Files10256789[''07''])</f>
        <v>#REF!</v>
      </c>
    </row>
    <row r="32" spans="1:81" hidden="1" x14ac:dyDescent="0.25">
      <c r="D32" t="s">
        <v>34</v>
      </c>
      <c r="E32" s="3">
        <f>SUMIF(Tableau_Lancer_la_requête_à_partir_de_Excel_Files10256789[Avis Prog],"1-Favorable",Tableau_Lancer_la_requête_à_partir_de_Excel_Files10256789[''11''])</f>
        <v>0</v>
      </c>
      <c r="F32" s="3" t="e">
        <f>SUMIF(#REF!,"1-Favorable",Tableau_Lancer_la_requête_à_partir_de_Excel_Files10256789[''11''])</f>
        <v>#REF!</v>
      </c>
    </row>
    <row r="33" spans="4:6" hidden="1" x14ac:dyDescent="0.25">
      <c r="D33" t="s">
        <v>35</v>
      </c>
      <c r="E33" s="3">
        <f>SUMIF(Tableau_Lancer_la_requête_à_partir_de_Excel_Files10256789[Avis Prog],"1-Favorable",Tableau_Lancer_la_requête_à_partir_de_Excel_Files10256789[''12''])</f>
        <v>0</v>
      </c>
      <c r="F33" s="3" t="e">
        <f>SUMIF(#REF!,"1-Favorable",Tableau_Lancer_la_requête_à_partir_de_Excel_Files10256789[''12''])</f>
        <v>#REF!</v>
      </c>
    </row>
    <row r="34" spans="4:6" hidden="1" x14ac:dyDescent="0.25">
      <c r="D34" t="s">
        <v>36</v>
      </c>
      <c r="E34" s="3">
        <f>SUMIF(Tableau_Lancer_la_requête_à_partir_de_Excel_Files10256789[Avis Prog],"1-Favorable",Tableau_Lancer_la_requête_à_partir_de_Excel_Files10256789[''15''])</f>
        <v>0</v>
      </c>
      <c r="F34" s="3" t="e">
        <f>SUMIF(#REF!,"1-Favorable",Tableau_Lancer_la_requête_à_partir_de_Excel_Files10256789[''15''])</f>
        <v>#REF!</v>
      </c>
    </row>
    <row r="35" spans="4:6" hidden="1" x14ac:dyDescent="0.25">
      <c r="D35" t="s">
        <v>37</v>
      </c>
      <c r="E35" s="3">
        <f>SUMIF(Tableau_Lancer_la_requête_à_partir_de_Excel_Files10256789[Avis Prog],"1-Favorable",Tableau_Lancer_la_requête_à_partir_de_Excel_Files10256789[''19''])</f>
        <v>0</v>
      </c>
      <c r="F35" s="3" t="e">
        <f>SUMIF(#REF!,"1-Favorable",Tableau_Lancer_la_requête_à_partir_de_Excel_Files10256789[''19''])</f>
        <v>#REF!</v>
      </c>
    </row>
    <row r="36" spans="4:6" hidden="1" x14ac:dyDescent="0.25">
      <c r="D36" t="s">
        <v>38</v>
      </c>
      <c r="E36" s="3">
        <f>SUMIF(Tableau_Lancer_la_requête_à_partir_de_Excel_Files10256789[Avis Prog],"1-Favorable",Tableau_Lancer_la_requête_à_partir_de_Excel_Files10256789[''21''])</f>
        <v>0</v>
      </c>
      <c r="F36" s="3" t="e">
        <f>SUMIF(#REF!,"1-Favorable",Tableau_Lancer_la_requête_à_partir_de_Excel_Files10256789[''21''])</f>
        <v>#REF!</v>
      </c>
    </row>
    <row r="37" spans="4:6" hidden="1" x14ac:dyDescent="0.25">
      <c r="D37" t="s">
        <v>39</v>
      </c>
      <c r="E37" s="3">
        <f>SUMIF(Tableau_Lancer_la_requête_à_partir_de_Excel_Files10256789[Avis Prog],"1-Favorable",Tableau_Lancer_la_requête_à_partir_de_Excel_Files10256789[''23''])</f>
        <v>0</v>
      </c>
      <c r="F37" s="3" t="e">
        <f>SUMIF(#REF!,"1-Favorable",Tableau_Lancer_la_requête_à_partir_de_Excel_Files10256789[''23''])</f>
        <v>#REF!</v>
      </c>
    </row>
    <row r="38" spans="4:6" hidden="1" x14ac:dyDescent="0.25">
      <c r="D38" t="s">
        <v>40</v>
      </c>
      <c r="E38" s="3">
        <f>SUMIF(Tableau_Lancer_la_requête_à_partir_de_Excel_Files10256789[Avis Prog],"1-Favorable",Tableau_Lancer_la_requête_à_partir_de_Excel_Files10256789[''30''])</f>
        <v>0</v>
      </c>
      <c r="F38" s="3" t="e">
        <f>SUMIF(#REF!,"1-Favorable",Tableau_Lancer_la_requête_à_partir_de_Excel_Files10256789[''30''])</f>
        <v>#REF!</v>
      </c>
    </row>
    <row r="39" spans="4:6" hidden="1" x14ac:dyDescent="0.25">
      <c r="D39" t="s">
        <v>41</v>
      </c>
      <c r="E39" s="3">
        <f>SUMIF(Tableau_Lancer_la_requête_à_partir_de_Excel_Files10256789[Avis Prog],"1-Favorable",Tableau_Lancer_la_requête_à_partir_de_Excel_Files10256789[''34''])</f>
        <v>0</v>
      </c>
      <c r="F39" s="3" t="e">
        <f>SUMIF(#REF!,"1-Favorable",Tableau_Lancer_la_requête_à_partir_de_Excel_Files10256789[''34''])</f>
        <v>#REF!</v>
      </c>
    </row>
    <row r="40" spans="4:6" hidden="1" x14ac:dyDescent="0.25">
      <c r="D40" t="s">
        <v>42</v>
      </c>
      <c r="E40" s="3">
        <f>SUMIF(Tableau_Lancer_la_requête_à_partir_de_Excel_Files10256789[Avis Prog],"1-Favorable",Tableau_Lancer_la_requête_à_partir_de_Excel_Files10256789[''42''])</f>
        <v>0</v>
      </c>
      <c r="F40" s="3" t="e">
        <f>SUMIF(#REF!,"1-Favorable",Tableau_Lancer_la_requête_à_partir_de_Excel_Files10256789[''42''])</f>
        <v>#REF!</v>
      </c>
    </row>
    <row r="41" spans="4:6" hidden="1" x14ac:dyDescent="0.25">
      <c r="D41" t="s">
        <v>43</v>
      </c>
      <c r="E41" s="3">
        <f>SUMIF(Tableau_Lancer_la_requête_à_partir_de_Excel_Files10256789[Avis Prog],"1-Favorable",Tableau_Lancer_la_requête_à_partir_de_Excel_Files10256789[''43''])</f>
        <v>0</v>
      </c>
      <c r="F41" s="3" t="e">
        <f>SUMIF(#REF!,"1-Favorable",Tableau_Lancer_la_requête_à_partir_de_Excel_Files10256789[''43''])</f>
        <v>#REF!</v>
      </c>
    </row>
    <row r="42" spans="4:6" hidden="1" x14ac:dyDescent="0.25">
      <c r="D42" t="s">
        <v>44</v>
      </c>
      <c r="E42" s="3">
        <f>SUMIF(Tableau_Lancer_la_requête_à_partir_de_Excel_Files10256789[Avis Prog],"1-Favorable",Tableau_Lancer_la_requête_à_partir_de_Excel_Files10256789[''46''])</f>
        <v>0</v>
      </c>
      <c r="F42" s="3" t="e">
        <f>SUMIF(#REF!,"1-Favorable",Tableau_Lancer_la_requête_à_partir_de_Excel_Files10256789[''46''])</f>
        <v>#REF!</v>
      </c>
    </row>
    <row r="43" spans="4:6" hidden="1" x14ac:dyDescent="0.25">
      <c r="D43" t="s">
        <v>45</v>
      </c>
      <c r="E43" s="3">
        <f>SUMIF(Tableau_Lancer_la_requête_à_partir_de_Excel_Files10256789[Avis Prog],"1-Favorable",Tableau_Lancer_la_requête_à_partir_de_Excel_Files10256789[''48''])</f>
        <v>2296.25</v>
      </c>
      <c r="F43" s="3" t="e">
        <f>SUMIF(#REF!,"1-Favorable",Tableau_Lancer_la_requête_à_partir_de_Excel_Files10256789[''48''])</f>
        <v>#REF!</v>
      </c>
    </row>
    <row r="44" spans="4:6" hidden="1" x14ac:dyDescent="0.25">
      <c r="D44" t="s">
        <v>46</v>
      </c>
      <c r="E44" s="3">
        <f>SUMIF(Tableau_Lancer_la_requête_à_partir_de_Excel_Files10256789[Avis Prog],"1-Favorable",Tableau_Lancer_la_requête_à_partir_de_Excel_Files10256789[''58''])</f>
        <v>0</v>
      </c>
      <c r="F44" s="3" t="e">
        <f>SUMIF(#REF!,"1-Favorable",Tableau_Lancer_la_requête_à_partir_de_Excel_Files10256789[''58''])</f>
        <v>#REF!</v>
      </c>
    </row>
    <row r="45" spans="4:6" hidden="1" x14ac:dyDescent="0.25">
      <c r="D45" t="s">
        <v>47</v>
      </c>
      <c r="E45" s="3">
        <f>SUMIF(Tableau_Lancer_la_requête_à_partir_de_Excel_Files10256789[Avis Prog],"1-Favorable",Tableau_Lancer_la_requête_à_partir_de_Excel_Files10256789[''63''])</f>
        <v>0</v>
      </c>
      <c r="F45" s="3" t="e">
        <f>SUMIF(#REF!,"1-Favorable",Tableau_Lancer_la_requête_à_partir_de_Excel_Files10256789[''63''])</f>
        <v>#REF!</v>
      </c>
    </row>
    <row r="46" spans="4:6" hidden="1" x14ac:dyDescent="0.25">
      <c r="D46" t="s">
        <v>48</v>
      </c>
      <c r="E46" s="3">
        <f>SUMIF(Tableau_Lancer_la_requête_à_partir_de_Excel_Files10256789[Avis Prog],"1-Favorable",Tableau_Lancer_la_requête_à_partir_de_Excel_Files10256789[''69''])</f>
        <v>0</v>
      </c>
      <c r="F46" s="3" t="e">
        <f>SUMIF(#REF!,"1-Favorable",Tableau_Lancer_la_requête_à_partir_de_Excel_Files10256789[''69''])</f>
        <v>#REF!</v>
      </c>
    </row>
    <row r="47" spans="4:6" hidden="1" x14ac:dyDescent="0.25">
      <c r="D47" t="s">
        <v>49</v>
      </c>
      <c r="E47" s="3">
        <f>SUMIF(Tableau_Lancer_la_requête_à_partir_de_Excel_Files10256789[Avis Prog],"1-Favorable",Tableau_Lancer_la_requête_à_partir_de_Excel_Files10256789[''71''])</f>
        <v>0</v>
      </c>
      <c r="F47" s="3" t="e">
        <f>SUMIF(#REF!,"1-Favorable",Tableau_Lancer_la_requête_à_partir_de_Excel_Files10256789[''71''])</f>
        <v>#REF!</v>
      </c>
    </row>
    <row r="48" spans="4:6" hidden="1" x14ac:dyDescent="0.25">
      <c r="D48" t="s">
        <v>50</v>
      </c>
      <c r="E48" s="3">
        <f>SUMIF(Tableau_Lancer_la_requête_à_partir_de_Excel_Files10256789[Avis Prog],"1-Favorable",Tableau_Lancer_la_requête_à_partir_de_Excel_Files10256789[''81''])</f>
        <v>0</v>
      </c>
      <c r="F48" s="3" t="e">
        <f>SUMIF(#REF!,"1-Favorable",Tableau_Lancer_la_requête_à_partir_de_Excel_Files10256789[''81''])</f>
        <v>#REF!</v>
      </c>
    </row>
    <row r="49" spans="4:6" hidden="1" x14ac:dyDescent="0.25">
      <c r="D49" t="s">
        <v>51</v>
      </c>
      <c r="E49" s="3">
        <f>SUMIF(Tableau_Lancer_la_requête_à_partir_de_Excel_Files10256789[Avis Prog],"1-Favorable",Tableau_Lancer_la_requête_à_partir_de_Excel_Files10256789[''82''])</f>
        <v>0</v>
      </c>
      <c r="F49" s="3" t="e">
        <f>SUMIF(#REF!,"1-Favorable",Tableau_Lancer_la_requête_à_partir_de_Excel_Files10256789[''82''])</f>
        <v>#REF!</v>
      </c>
    </row>
    <row r="50" spans="4:6" hidden="1" x14ac:dyDescent="0.25">
      <c r="D50" t="s">
        <v>52</v>
      </c>
      <c r="E50" s="3">
        <f>SUMIF(Tableau_Lancer_la_requête_à_partir_de_Excel_Files10256789[Avis Prog],"1-Favorable",Tableau_Lancer_la_requête_à_partir_de_Excel_Files10256789[''87''])</f>
        <v>0</v>
      </c>
      <c r="F50" s="3" t="e">
        <f>SUMIF(#REF!,"1-Favorable",Tableau_Lancer_la_requête_à_partir_de_Excel_Files10256789[''87''])</f>
        <v>#REF!</v>
      </c>
    </row>
    <row r="51" spans="4:6" hidden="1" x14ac:dyDescent="0.25">
      <c r="D51" t="s">
        <v>53</v>
      </c>
      <c r="E51" s="3">
        <f>SUMIF(Tableau_Lancer_la_requête_à_partir_de_Excel_Files10256789[Avis Prog],"1-Favorable",Tableau_Lancer_la_requête_à_partir_de_Excel_Files10256789[''89''])</f>
        <v>0</v>
      </c>
      <c r="F51" s="3" t="e">
        <f>SUMIF(#REF!,"1-Favorable",Tableau_Lancer_la_requête_à_partir_de_Excel_Files10256789[''89''])</f>
        <v>#REF!</v>
      </c>
    </row>
  </sheetData>
  <conditionalFormatting sqref="K7:K10 AP7:AP10">
    <cfRule type="cellIs" dxfId="365" priority="5" operator="equal">
      <formula>"6-Retiré/Abandon"</formula>
    </cfRule>
    <cfRule type="cellIs" dxfId="364" priority="6" operator="equal">
      <formula>"5-Défavorable"</formula>
    </cfRule>
    <cfRule type="cellIs" dxfId="363" priority="7" operator="equal">
      <formula>"4-Ajournement"</formula>
    </cfRule>
    <cfRule type="cellIs" dxfId="362" priority="8" operator="equal">
      <formula>"1-Favorable"</formula>
    </cfRule>
  </conditionalFormatting>
  <conditionalFormatting sqref="AR7:AR10">
    <cfRule type="cellIs" dxfId="361" priority="1" operator="equal">
      <formula>"6-Retiré/Abandon"</formula>
    </cfRule>
    <cfRule type="cellIs" dxfId="360" priority="2" operator="equal">
      <formula>"5-Défavorable"</formula>
    </cfRule>
    <cfRule type="cellIs" dxfId="359" priority="3" operator="equal">
      <formula>"4-Ajournement"</formula>
    </cfRule>
    <cfRule type="cellIs" dxfId="358" priority="4" operator="equal">
      <formula>"1-Favorable"</formula>
    </cfRule>
  </conditionalFormatting>
  <dataValidations count="1">
    <dataValidation type="list" allowBlank="1" showInputMessage="1" showErrorMessage="1" sqref="AP7:AP10">
      <formula1>"1-Favorable,4-Ajournement,5-Défavorable,6-Retiré/Abandon"</formula1>
    </dataValidation>
  </dataValidations>
  <printOptions horizontalCentered="1" verticalCentered="1"/>
  <pageMargins left="0.25" right="0.25" top="0.75" bottom="0.75" header="0.3" footer="0.3"/>
  <pageSetup paperSize="8" scale="63" fitToHeight="0" orientation="landscape" r:id="rId1"/>
  <drawing r:id="rId2"/>
  <tableParts count="1">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C50"/>
  <sheetViews>
    <sheetView view="pageBreakPreview" zoomScale="80" zoomScaleNormal="60" zoomScaleSheetLayoutView="80" workbookViewId="0"/>
  </sheetViews>
  <sheetFormatPr baseColWidth="10" defaultRowHeight="15" outlineLevelCol="1" x14ac:dyDescent="0.25"/>
  <cols>
    <col min="1" max="1" width="13.85546875" style="3" customWidth="1"/>
    <col min="2" max="2" width="35" style="4" customWidth="1"/>
    <col min="3" max="3" width="48" style="5" customWidth="1"/>
    <col min="4" max="4" width="15.85546875" style="3" customWidth="1"/>
    <col min="5" max="5" width="16.28515625" style="3" customWidth="1"/>
    <col min="6" max="6" width="12" style="6" customWidth="1"/>
    <col min="7" max="7" width="16" style="3" bestFit="1" customWidth="1"/>
    <col min="8" max="8" width="11.28515625" style="6" customWidth="1"/>
    <col min="9" max="9" width="14.85546875" style="3" customWidth="1"/>
    <col min="10" max="10" width="15" style="3" bestFit="1" customWidth="1"/>
    <col min="11" max="11" width="11.5703125" style="3" hidden="1" customWidth="1" outlineLevel="1"/>
    <col min="12" max="12" width="16.5703125" style="3" hidden="1" customWidth="1" outlineLevel="1"/>
    <col min="13" max="13" width="13.7109375" style="3" bestFit="1" customWidth="1" collapsed="1"/>
    <col min="14" max="14" width="11.140625" style="3" hidden="1" customWidth="1" outlineLevel="1"/>
    <col min="15" max="15" width="11.85546875" style="3" hidden="1" customWidth="1" outlineLevel="1"/>
    <col min="16" max="16" width="10" style="3" hidden="1" customWidth="1" outlineLevel="1"/>
    <col min="17" max="17" width="11.7109375" style="3" hidden="1" customWidth="1" outlineLevel="1"/>
    <col min="18" max="18" width="16.140625" style="3" bestFit="1" customWidth="1" collapsed="1"/>
    <col min="19" max="40" width="8.7109375" style="3" hidden="1" customWidth="1" outlineLevel="1"/>
    <col min="41" max="41" width="11.5703125" style="3" bestFit="1" customWidth="1" collapsed="1"/>
    <col min="42" max="42" width="21.85546875" style="3" bestFit="1" customWidth="1"/>
    <col min="43" max="43" width="15.42578125" style="3" hidden="1" customWidth="1"/>
    <col min="44" max="44" width="55" style="3" customWidth="1"/>
    <col min="45" max="45" width="15.42578125" style="3" bestFit="1" customWidth="1"/>
    <col min="46" max="46" width="17.28515625" style="3" bestFit="1" customWidth="1"/>
    <col min="47" max="47" width="9.42578125" style="3" customWidth="1"/>
    <col min="48" max="62" width="9.7109375" style="3" customWidth="1"/>
    <col min="63" max="63" width="15.140625" style="3" customWidth="1"/>
    <col min="64" max="64" width="14.5703125" style="3" customWidth="1"/>
    <col min="65" max="65" width="18.5703125" style="3" customWidth="1"/>
    <col min="66" max="66" width="12.5703125" style="3" customWidth="1"/>
    <col min="67" max="67" width="20.42578125" style="3" customWidth="1"/>
    <col min="68" max="68" width="12.7109375" style="3" customWidth="1"/>
    <col min="69" max="69" width="9.28515625" style="3" customWidth="1"/>
    <col min="70" max="70" width="14.28515625" style="3" customWidth="1"/>
    <col min="71" max="71" width="11.42578125" style="3" customWidth="1"/>
    <col min="72" max="72" width="9" style="3" customWidth="1"/>
    <col min="73" max="73" width="9.5703125" style="3" customWidth="1"/>
    <col min="74" max="74" width="11" style="3" customWidth="1"/>
    <col min="75" max="75" width="12.7109375" style="3" customWidth="1"/>
    <col min="76" max="78" width="9.7109375" style="3" customWidth="1"/>
    <col min="79" max="79" width="15.140625" style="3" customWidth="1"/>
    <col min="80" max="80" width="17.28515625" style="3" customWidth="1"/>
    <col min="81" max="81" width="49.28515625" style="4" customWidth="1"/>
    <col min="82" max="82" width="17.28515625" style="3" customWidth="1"/>
    <col min="83" max="16384" width="11.42578125" style="3"/>
  </cols>
  <sheetData>
    <row r="1" spans="1:81" ht="18.75" x14ac:dyDescent="0.3">
      <c r="B1" s="21" t="s">
        <v>250</v>
      </c>
      <c r="C1" s="22">
        <v>42523</v>
      </c>
    </row>
    <row r="5" spans="1:81" x14ac:dyDescent="0.25">
      <c r="A5" s="1" t="s">
        <v>219</v>
      </c>
      <c r="B5" s="2"/>
    </row>
    <row r="6" spans="1:81" s="7" customFormat="1" ht="30" x14ac:dyDescent="0.25">
      <c r="A6" s="7" t="s">
        <v>10</v>
      </c>
      <c r="B6" s="7" t="s">
        <v>1</v>
      </c>
      <c r="C6" s="7" t="s">
        <v>2</v>
      </c>
      <c r="D6" s="7" t="s">
        <v>72</v>
      </c>
      <c r="E6" s="7" t="s">
        <v>108</v>
      </c>
      <c r="F6" s="7" t="s">
        <v>73</v>
      </c>
      <c r="G6" s="7" t="s">
        <v>70</v>
      </c>
      <c r="H6" s="7" t="s">
        <v>109</v>
      </c>
      <c r="I6" s="7" t="s">
        <v>54</v>
      </c>
      <c r="J6" s="7" t="s">
        <v>129</v>
      </c>
      <c r="K6" s="7" t="s">
        <v>159</v>
      </c>
      <c r="L6" s="7" t="s">
        <v>27</v>
      </c>
      <c r="M6" s="7" t="s">
        <v>130</v>
      </c>
      <c r="N6" s="7" t="s">
        <v>30</v>
      </c>
      <c r="O6" s="7" t="s">
        <v>28</v>
      </c>
      <c r="P6" s="7" t="s">
        <v>29</v>
      </c>
      <c r="Q6" s="7" t="s">
        <v>31</v>
      </c>
      <c r="R6" s="7" t="s">
        <v>131</v>
      </c>
      <c r="S6" s="7" t="s">
        <v>32</v>
      </c>
      <c r="T6" s="7" t="s">
        <v>33</v>
      </c>
      <c r="U6" s="7" t="s">
        <v>34</v>
      </c>
      <c r="V6" s="7" t="s">
        <v>35</v>
      </c>
      <c r="W6" s="7" t="s">
        <v>36</v>
      </c>
      <c r="X6" s="7" t="s">
        <v>37</v>
      </c>
      <c r="Y6" s="7" t="s">
        <v>38</v>
      </c>
      <c r="Z6" s="7" t="s">
        <v>39</v>
      </c>
      <c r="AA6" s="7" t="s">
        <v>40</v>
      </c>
      <c r="AB6" s="7" t="s">
        <v>41</v>
      </c>
      <c r="AC6" s="7" t="s">
        <v>42</v>
      </c>
      <c r="AD6" s="7" t="s">
        <v>43</v>
      </c>
      <c r="AE6" s="7" t="s">
        <v>44</v>
      </c>
      <c r="AF6" s="7" t="s">
        <v>45</v>
      </c>
      <c r="AG6" s="7" t="s">
        <v>46</v>
      </c>
      <c r="AH6" s="7" t="s">
        <v>47</v>
      </c>
      <c r="AI6" s="7" t="s">
        <v>48</v>
      </c>
      <c r="AJ6" s="7" t="s">
        <v>49</v>
      </c>
      <c r="AK6" s="7" t="s">
        <v>50</v>
      </c>
      <c r="AL6" s="7" t="s">
        <v>51</v>
      </c>
      <c r="AM6" s="7" t="s">
        <v>52</v>
      </c>
      <c r="AN6" s="7" t="s">
        <v>53</v>
      </c>
      <c r="AO6" s="7" t="s">
        <v>55</v>
      </c>
      <c r="AP6" s="17" t="s">
        <v>110</v>
      </c>
      <c r="AR6" s="31" t="s">
        <v>128</v>
      </c>
    </row>
    <row r="7" spans="1:81" s="10" customFormat="1" ht="45" x14ac:dyDescent="0.25">
      <c r="A7" s="13" t="s">
        <v>220</v>
      </c>
      <c r="B7" s="12" t="s">
        <v>221</v>
      </c>
      <c r="C7" s="12" t="s">
        <v>222</v>
      </c>
      <c r="D7" s="15">
        <v>1554080.4</v>
      </c>
      <c r="E7" s="15">
        <f>Tableau_Lancer_la_requête_à_partir_de_Excel_Files1025678910[[#This Row],[Aide Massif]]+Tableau_Lancer_la_requête_à_partir_de_Excel_Files1025678910[[#This Row],[''Autre Public'']]</f>
        <v>777040</v>
      </c>
      <c r="F7" s="16">
        <f>Tableau_Lancer_la_requête_à_partir_de_Excel_Files1025678910[[#This Row],[Aide 
publique]]/Tableau_Lancer_la_requête_à_partir_de_Excel_Files1025678910[[#This Row],[''Coût total éligible'']]</f>
        <v>0.49999987130652962</v>
      </c>
      <c r="G7" s="15">
        <f>Tableau_Lancer_la_requête_à_partir_de_Excel_Files1025678910[[#This Row],[''FEDER'']]+Tableau_Lancer_la_requête_à_partir_de_Excel_Files1025678910[[#This Row],[Total Etat]]+Tableau_Lancer_la_requête_à_partir_de_Excel_Files1025678910[[#This Row],[Total Régions]]+Tableau_Lancer_la_requête_à_partir_de_Excel_Files1025678910[[#This Row],[Total Dpts]]</f>
        <v>777040</v>
      </c>
      <c r="H7" s="16">
        <f>Tableau_Lancer_la_requête_à_partir_de_Excel_Files1025678910[[#This Row],[Aide Massif]]/Tableau_Lancer_la_requête_à_partir_de_Excel_Files1025678910[[#This Row],[''Coût total éligible'']]</f>
        <v>0.49999987130652962</v>
      </c>
      <c r="I7" s="15">
        <v>777040</v>
      </c>
      <c r="J7" s="15">
        <f>Tableau_Lancer_la_requête_à_partir_de_Excel_Files1025678910[[#This Row],[''FNADT '']]+Tableau_Lancer_la_requête_à_partir_de_Excel_Files1025678910[[#This Row],[''Agriculture'']]</f>
        <v>0</v>
      </c>
      <c r="K7" s="11"/>
      <c r="L7" s="15"/>
      <c r="M7" s="15">
        <f>Tableau_Lancer_la_requête_à_partir_de_Excel_Files1025678910[[#This Row],[''ALPC'']]+Tableau_Lancer_la_requête_à_partir_de_Excel_Files1025678910[[#This Row],[''AURA'']]+Tableau_Lancer_la_requête_à_partir_de_Excel_Files1025678910[[#This Row],[''BFC'']]+Tableau_Lancer_la_requête_à_partir_de_Excel_Files1025678910[[#This Row],[''LRMP'']]</f>
        <v>0</v>
      </c>
      <c r="N7" s="15"/>
      <c r="O7" s="15"/>
      <c r="P7" s="15"/>
      <c r="Q7" s="15"/>
      <c r="R7" s="15">
        <f>Tableau_Lancer_la_requête_à_partir_de_Excel_Files1025678910[[#This Row],[''03'']]+Tableau_Lancer_la_requête_à_partir_de_Excel_Files1025678910[[#This Row],[''07'']]+Tableau_Lancer_la_requête_à_partir_de_Excel_Files1025678910[[#This Row],[''11'']]+Tableau_Lancer_la_requête_à_partir_de_Excel_Files1025678910[[#This Row],[''12'']]+Tableau_Lancer_la_requête_à_partir_de_Excel_Files1025678910[[#This Row],[''15'']]+Tableau_Lancer_la_requête_à_partir_de_Excel_Files1025678910[[#This Row],[''19'']]+Tableau_Lancer_la_requête_à_partir_de_Excel_Files1025678910[[#This Row],[''21'']]+Tableau_Lancer_la_requête_à_partir_de_Excel_Files1025678910[[#This Row],[''23'']]+Tableau_Lancer_la_requête_à_partir_de_Excel_Files1025678910[[#This Row],[''30'']]+Tableau_Lancer_la_requête_à_partir_de_Excel_Files1025678910[[#This Row],[''34'']]+Tableau_Lancer_la_requête_à_partir_de_Excel_Files1025678910[[#This Row],[''42'']]+Tableau_Lancer_la_requête_à_partir_de_Excel_Files1025678910[[#This Row],[''43'']]+Tableau_Lancer_la_requête_à_partir_de_Excel_Files1025678910[[#This Row],[''46'']]+Tableau_Lancer_la_requête_à_partir_de_Excel_Files1025678910[[#This Row],[''48'']]+Tableau_Lancer_la_requête_à_partir_de_Excel_Files1025678910[[#This Row],[''58'']]+Tableau_Lancer_la_requête_à_partir_de_Excel_Files1025678910[[#This Row],[''63'']]+Tableau_Lancer_la_requête_à_partir_de_Excel_Files1025678910[[#This Row],[''69'']]+Tableau_Lancer_la_requête_à_partir_de_Excel_Files1025678910[[#This Row],[''71'']]+Tableau_Lancer_la_requête_à_partir_de_Excel_Files1025678910[[#This Row],[''81'']]+Tableau_Lancer_la_requête_à_partir_de_Excel_Files1025678910[[#This Row],[''82'']]+Tableau_Lancer_la_requête_à_partir_de_Excel_Files1025678910[[#This Row],[''87'']]+Tableau_Lancer_la_requête_à_partir_de_Excel_Files1025678910[[#This Row],[''89'']]</f>
        <v>0</v>
      </c>
      <c r="S7" s="15"/>
      <c r="T7" s="15"/>
      <c r="U7" s="15"/>
      <c r="V7" s="15"/>
      <c r="W7" s="15"/>
      <c r="X7" s="15"/>
      <c r="Y7" s="15"/>
      <c r="Z7" s="15"/>
      <c r="AA7" s="15"/>
      <c r="AB7" s="15"/>
      <c r="AC7" s="15"/>
      <c r="AD7" s="15"/>
      <c r="AE7" s="15"/>
      <c r="AF7" s="15"/>
      <c r="AG7" s="15"/>
      <c r="AH7" s="15"/>
      <c r="AI7" s="15"/>
      <c r="AJ7" s="15"/>
      <c r="AK7" s="15"/>
      <c r="AL7" s="15"/>
      <c r="AM7" s="15"/>
      <c r="AN7" s="15"/>
      <c r="AO7" s="15">
        <v>0</v>
      </c>
      <c r="AP7" s="11" t="s">
        <v>77</v>
      </c>
      <c r="AR7" s="58"/>
      <c r="AS7" s="10" t="s">
        <v>349</v>
      </c>
    </row>
    <row r="8" spans="1:81" s="10" customFormat="1" ht="30" x14ac:dyDescent="0.25">
      <c r="A8" s="6" t="s">
        <v>226</v>
      </c>
      <c r="B8" s="5" t="s">
        <v>227</v>
      </c>
      <c r="C8" s="5" t="s">
        <v>228</v>
      </c>
      <c r="D8" s="8">
        <v>365000</v>
      </c>
      <c r="E8" s="8">
        <f>Tableau_Lancer_la_requête_à_partir_de_Excel_Files1025678910[[#This Row],[Aide Massif]]+Tableau_Lancer_la_requête_à_partir_de_Excel_Files1025678910[[#This Row],[''Autre Public'']]</f>
        <v>182000</v>
      </c>
      <c r="F8" s="9">
        <f>Tableau_Lancer_la_requête_à_partir_de_Excel_Files1025678910[[#This Row],[Aide 
publique]]/Tableau_Lancer_la_requête_à_partir_de_Excel_Files1025678910[[#This Row],[''Coût total éligible'']]</f>
        <v>0.49863013698630138</v>
      </c>
      <c r="G8" s="8">
        <f>Tableau_Lancer_la_requête_à_partir_de_Excel_Files1025678910[[#This Row],[''FEDER'']]+Tableau_Lancer_la_requête_à_partir_de_Excel_Files1025678910[[#This Row],[Total Etat]]+Tableau_Lancer_la_requête_à_partir_de_Excel_Files1025678910[[#This Row],[Total Régions]]+Tableau_Lancer_la_requête_à_partir_de_Excel_Files1025678910[[#This Row],[Total Dpts]]</f>
        <v>182000</v>
      </c>
      <c r="H8" s="9">
        <f>Tableau_Lancer_la_requête_à_partir_de_Excel_Files1025678910[[#This Row],[Aide Massif]]/Tableau_Lancer_la_requête_à_partir_de_Excel_Files1025678910[[#This Row],[''Coût total éligible'']]</f>
        <v>0.49863013698630138</v>
      </c>
      <c r="I8" s="8">
        <v>0</v>
      </c>
      <c r="J8" s="8">
        <f>Tableau_Lancer_la_requête_à_partir_de_Excel_Files1025678910[[#This Row],[''FNADT '']]+Tableau_Lancer_la_requête_à_partir_de_Excel_Files1025678910[[#This Row],[''Agriculture'']]</f>
        <v>182000</v>
      </c>
      <c r="K8" s="10">
        <v>182000</v>
      </c>
      <c r="L8" s="8"/>
      <c r="M8" s="8">
        <f>Tableau_Lancer_la_requête_à_partir_de_Excel_Files1025678910[[#This Row],[''ALPC'']]+Tableau_Lancer_la_requête_à_partir_de_Excel_Files1025678910[[#This Row],[''AURA'']]+Tableau_Lancer_la_requête_à_partir_de_Excel_Files1025678910[[#This Row],[''BFC'']]+Tableau_Lancer_la_requête_à_partir_de_Excel_Files1025678910[[#This Row],[''LRMP'']]</f>
        <v>0</v>
      </c>
      <c r="N8" s="8"/>
      <c r="O8" s="8"/>
      <c r="P8" s="8"/>
      <c r="Q8" s="8"/>
      <c r="R8" s="8">
        <f>Tableau_Lancer_la_requête_à_partir_de_Excel_Files1025678910[[#This Row],[''03'']]+Tableau_Lancer_la_requête_à_partir_de_Excel_Files1025678910[[#This Row],[''07'']]+Tableau_Lancer_la_requête_à_partir_de_Excel_Files1025678910[[#This Row],[''11'']]+Tableau_Lancer_la_requête_à_partir_de_Excel_Files1025678910[[#This Row],[''12'']]+Tableau_Lancer_la_requête_à_partir_de_Excel_Files1025678910[[#This Row],[''15'']]+Tableau_Lancer_la_requête_à_partir_de_Excel_Files1025678910[[#This Row],[''19'']]+Tableau_Lancer_la_requête_à_partir_de_Excel_Files1025678910[[#This Row],[''21'']]+Tableau_Lancer_la_requête_à_partir_de_Excel_Files1025678910[[#This Row],[''23'']]+Tableau_Lancer_la_requête_à_partir_de_Excel_Files1025678910[[#This Row],[''30'']]+Tableau_Lancer_la_requête_à_partir_de_Excel_Files1025678910[[#This Row],[''34'']]+Tableau_Lancer_la_requête_à_partir_de_Excel_Files1025678910[[#This Row],[''42'']]+Tableau_Lancer_la_requête_à_partir_de_Excel_Files1025678910[[#This Row],[''43'']]+Tableau_Lancer_la_requête_à_partir_de_Excel_Files1025678910[[#This Row],[''46'']]+Tableau_Lancer_la_requête_à_partir_de_Excel_Files1025678910[[#This Row],[''48'']]+Tableau_Lancer_la_requête_à_partir_de_Excel_Files1025678910[[#This Row],[''58'']]+Tableau_Lancer_la_requête_à_partir_de_Excel_Files1025678910[[#This Row],[''63'']]+Tableau_Lancer_la_requête_à_partir_de_Excel_Files1025678910[[#This Row],[''69'']]+Tableau_Lancer_la_requête_à_partir_de_Excel_Files1025678910[[#This Row],[''71'']]+Tableau_Lancer_la_requête_à_partir_de_Excel_Files1025678910[[#This Row],[''81'']]+Tableau_Lancer_la_requête_à_partir_de_Excel_Files1025678910[[#This Row],[''82'']]+Tableau_Lancer_la_requête_à_partir_de_Excel_Files1025678910[[#This Row],[''87'']]+Tableau_Lancer_la_requête_à_partir_de_Excel_Files1025678910[[#This Row],[''89'']]</f>
        <v>0</v>
      </c>
      <c r="S8" s="8"/>
      <c r="T8" s="8"/>
      <c r="U8" s="8"/>
      <c r="V8" s="8"/>
      <c r="W8" s="8"/>
      <c r="X8" s="8"/>
      <c r="Y8" s="8"/>
      <c r="Z8" s="8"/>
      <c r="AA8" s="8"/>
      <c r="AB8" s="8"/>
      <c r="AC8" s="8"/>
      <c r="AD8" s="8"/>
      <c r="AE8" s="8"/>
      <c r="AF8" s="8"/>
      <c r="AG8" s="8"/>
      <c r="AH8" s="8"/>
      <c r="AI8" s="8"/>
      <c r="AJ8" s="8"/>
      <c r="AK8" s="8"/>
      <c r="AL8" s="8"/>
      <c r="AM8" s="8"/>
      <c r="AN8" s="8"/>
      <c r="AO8" s="8">
        <v>0</v>
      </c>
      <c r="AP8" s="10" t="s">
        <v>77</v>
      </c>
      <c r="AR8" s="59"/>
      <c r="AS8" s="10" t="s">
        <v>348</v>
      </c>
    </row>
    <row r="9" spans="1:81" s="10" customFormat="1" ht="15.75" thickBot="1" x14ac:dyDescent="0.3">
      <c r="A9" s="61" t="s">
        <v>263</v>
      </c>
      <c r="B9" s="54" t="s">
        <v>264</v>
      </c>
      <c r="C9" s="54" t="s">
        <v>265</v>
      </c>
      <c r="D9" s="62">
        <v>100000</v>
      </c>
      <c r="E9" s="62">
        <f>Tableau_Lancer_la_requête_à_partir_de_Excel_Files1025678910[[#This Row],[Aide Massif]]+Tableau_Lancer_la_requête_à_partir_de_Excel_Files1025678910[[#This Row],[''Autre Public'']]</f>
        <v>100000</v>
      </c>
      <c r="F9" s="63">
        <f>Tableau_Lancer_la_requête_à_partir_de_Excel_Files1025678910[[#This Row],[Aide 
publique]]/Tableau_Lancer_la_requête_à_partir_de_Excel_Files1025678910[[#This Row],[''Coût total éligible'']]</f>
        <v>1</v>
      </c>
      <c r="G9" s="62">
        <f>Tableau_Lancer_la_requête_à_partir_de_Excel_Files1025678910[[#This Row],[''FEDER'']]+Tableau_Lancer_la_requête_à_partir_de_Excel_Files1025678910[[#This Row],[Total Etat]]+Tableau_Lancer_la_requête_à_partir_de_Excel_Files1025678910[[#This Row],[Total Régions]]+Tableau_Lancer_la_requête_à_partir_de_Excel_Files1025678910[[#This Row],[Total Dpts]]</f>
        <v>100000</v>
      </c>
      <c r="H9" s="63">
        <f>Tableau_Lancer_la_requête_à_partir_de_Excel_Files1025678910[[#This Row],[Aide Massif]]/Tableau_Lancer_la_requête_à_partir_de_Excel_Files1025678910[[#This Row],[''Coût total éligible'']]</f>
        <v>1</v>
      </c>
      <c r="I9" s="62">
        <v>0</v>
      </c>
      <c r="J9" s="62">
        <f>Tableau_Lancer_la_requête_à_partir_de_Excel_Files1025678910[[#This Row],[''FNADT '']]+Tableau_Lancer_la_requête_à_partir_de_Excel_Files1025678910[[#This Row],[''Agriculture'']]</f>
        <v>100000</v>
      </c>
      <c r="K9" s="53">
        <v>100000</v>
      </c>
      <c r="L9" s="62"/>
      <c r="M9" s="62">
        <f>Tableau_Lancer_la_requête_à_partir_de_Excel_Files1025678910[[#This Row],[''ALPC'']]+Tableau_Lancer_la_requête_à_partir_de_Excel_Files1025678910[[#This Row],[''AURA'']]+Tableau_Lancer_la_requête_à_partir_de_Excel_Files1025678910[[#This Row],[''BFC'']]+Tableau_Lancer_la_requête_à_partir_de_Excel_Files1025678910[[#This Row],[''LRMP'']]</f>
        <v>0</v>
      </c>
      <c r="N9" s="62"/>
      <c r="O9" s="62"/>
      <c r="P9" s="62"/>
      <c r="Q9" s="62"/>
      <c r="R9" s="62">
        <f>Tableau_Lancer_la_requête_à_partir_de_Excel_Files1025678910[[#This Row],[''03'']]+Tableau_Lancer_la_requête_à_partir_de_Excel_Files1025678910[[#This Row],[''07'']]+Tableau_Lancer_la_requête_à_partir_de_Excel_Files1025678910[[#This Row],[''11'']]+Tableau_Lancer_la_requête_à_partir_de_Excel_Files1025678910[[#This Row],[''12'']]+Tableau_Lancer_la_requête_à_partir_de_Excel_Files1025678910[[#This Row],[''15'']]+Tableau_Lancer_la_requête_à_partir_de_Excel_Files1025678910[[#This Row],[''19'']]+Tableau_Lancer_la_requête_à_partir_de_Excel_Files1025678910[[#This Row],[''21'']]+Tableau_Lancer_la_requête_à_partir_de_Excel_Files1025678910[[#This Row],[''23'']]+Tableau_Lancer_la_requête_à_partir_de_Excel_Files1025678910[[#This Row],[''30'']]+Tableau_Lancer_la_requête_à_partir_de_Excel_Files1025678910[[#This Row],[''34'']]+Tableau_Lancer_la_requête_à_partir_de_Excel_Files1025678910[[#This Row],[''42'']]+Tableau_Lancer_la_requête_à_partir_de_Excel_Files1025678910[[#This Row],[''43'']]+Tableau_Lancer_la_requête_à_partir_de_Excel_Files1025678910[[#This Row],[''46'']]+Tableau_Lancer_la_requête_à_partir_de_Excel_Files1025678910[[#This Row],[''48'']]+Tableau_Lancer_la_requête_à_partir_de_Excel_Files1025678910[[#This Row],[''58'']]+Tableau_Lancer_la_requête_à_partir_de_Excel_Files1025678910[[#This Row],[''63'']]+Tableau_Lancer_la_requête_à_partir_de_Excel_Files1025678910[[#This Row],[''69'']]+Tableau_Lancer_la_requête_à_partir_de_Excel_Files1025678910[[#This Row],[''71'']]+Tableau_Lancer_la_requête_à_partir_de_Excel_Files1025678910[[#This Row],[''81'']]+Tableau_Lancer_la_requête_à_partir_de_Excel_Files1025678910[[#This Row],[''82'']]+Tableau_Lancer_la_requête_à_partir_de_Excel_Files1025678910[[#This Row],[''87'']]+Tableau_Lancer_la_requête_à_partir_de_Excel_Files1025678910[[#This Row],[''89'']]</f>
        <v>0</v>
      </c>
      <c r="S9" s="62"/>
      <c r="T9" s="62"/>
      <c r="U9" s="62"/>
      <c r="V9" s="62"/>
      <c r="W9" s="62"/>
      <c r="X9" s="62"/>
      <c r="Y9" s="62"/>
      <c r="Z9" s="62"/>
      <c r="AA9" s="62"/>
      <c r="AB9" s="62"/>
      <c r="AC9" s="62"/>
      <c r="AD9" s="62"/>
      <c r="AE9" s="62"/>
      <c r="AF9" s="62"/>
      <c r="AG9" s="62"/>
      <c r="AH9" s="62"/>
      <c r="AI9" s="62"/>
      <c r="AJ9" s="62"/>
      <c r="AK9" s="62"/>
      <c r="AL9" s="62"/>
      <c r="AM9" s="62"/>
      <c r="AN9" s="62"/>
      <c r="AO9" s="62">
        <v>0</v>
      </c>
      <c r="AP9" s="53" t="s">
        <v>77</v>
      </c>
      <c r="AR9" s="58"/>
      <c r="AS9" s="10" t="s">
        <v>348</v>
      </c>
    </row>
    <row r="10" spans="1:81" s="10" customFormat="1" ht="15.75" thickTop="1" x14ac:dyDescent="0.25">
      <c r="A10" s="70" t="s">
        <v>11</v>
      </c>
      <c r="B10" s="71">
        <f>SUBTOTAL(103,Tableau_Lancer_la_requête_à_partir_de_Excel_Files1025678910[Nom_MO])</f>
        <v>3</v>
      </c>
      <c r="C10" s="71"/>
      <c r="D10" s="72">
        <f>SUBTOTAL(109,Tableau_Lancer_la_requête_à_partir_de_Excel_Files1025678910[''Coût total éligible''])</f>
        <v>2019080.4</v>
      </c>
      <c r="E10" s="72">
        <f>SUBTOTAL(109,Tableau_Lancer_la_requête_à_partir_de_Excel_Files1025678910[Aide 
publique])</f>
        <v>1059040</v>
      </c>
      <c r="F10" s="73"/>
      <c r="G10" s="72">
        <f>SUBTOTAL(109,Tableau_Lancer_la_requête_à_partir_de_Excel_Files1025678910[Aide Massif])</f>
        <v>1059040</v>
      </c>
      <c r="H10" s="73"/>
      <c r="I10" s="72">
        <f>SUBTOTAL(109,Tableau_Lancer_la_requête_à_partir_de_Excel_Files1025678910[''FEDER''])</f>
        <v>777040</v>
      </c>
      <c r="J10" s="72">
        <f>SUBTOTAL(109,Tableau_Lancer_la_requête_à_partir_de_Excel_Files1025678910[Total Etat])</f>
        <v>282000</v>
      </c>
      <c r="K10" s="70"/>
      <c r="L10" s="72">
        <f>SUBTOTAL(109,Tableau_Lancer_la_requête_à_partir_de_Excel_Files1025678910[''Agriculture''])</f>
        <v>0</v>
      </c>
      <c r="M10" s="72">
        <f>SUBTOTAL(109,Tableau_Lancer_la_requête_à_partir_de_Excel_Files1025678910[Total Régions])</f>
        <v>0</v>
      </c>
      <c r="N10" s="72">
        <f>SUBTOTAL(109,Tableau_Lancer_la_requête_à_partir_de_Excel_Files1025678910[''ALPC''])</f>
        <v>0</v>
      </c>
      <c r="O10" s="72">
        <f>SUBTOTAL(109,Tableau_Lancer_la_requête_à_partir_de_Excel_Files1025678910[''AURA''])</f>
        <v>0</v>
      </c>
      <c r="P10" s="72">
        <f>SUBTOTAL(109,Tableau_Lancer_la_requête_à_partir_de_Excel_Files1025678910[''BFC''])</f>
        <v>0</v>
      </c>
      <c r="Q10" s="72">
        <f>SUBTOTAL(109,Tableau_Lancer_la_requête_à_partir_de_Excel_Files1025678910[''LRMP''])</f>
        <v>0</v>
      </c>
      <c r="R10" s="72">
        <f>SUBTOTAL(109,Tableau_Lancer_la_requête_à_partir_de_Excel_Files1025678910[Total Dpts])</f>
        <v>0</v>
      </c>
      <c r="S10" s="72">
        <f>SUBTOTAL(109,Tableau_Lancer_la_requête_à_partir_de_Excel_Files1025678910[''03''])</f>
        <v>0</v>
      </c>
      <c r="T10" s="72">
        <f>SUBTOTAL(109,Tableau_Lancer_la_requête_à_partir_de_Excel_Files1025678910[''07''])</f>
        <v>0</v>
      </c>
      <c r="U10" s="72">
        <f>SUBTOTAL(109,Tableau_Lancer_la_requête_à_partir_de_Excel_Files1025678910[''11''])</f>
        <v>0</v>
      </c>
      <c r="V10" s="72">
        <f>SUBTOTAL(109,Tableau_Lancer_la_requête_à_partir_de_Excel_Files1025678910[''12''])</f>
        <v>0</v>
      </c>
      <c r="W10" s="72">
        <f>SUBTOTAL(109,Tableau_Lancer_la_requête_à_partir_de_Excel_Files1025678910[''15''])</f>
        <v>0</v>
      </c>
      <c r="X10" s="72">
        <f>SUBTOTAL(109,Tableau_Lancer_la_requête_à_partir_de_Excel_Files1025678910[''19''])</f>
        <v>0</v>
      </c>
      <c r="Y10" s="72">
        <f>SUBTOTAL(109,Tableau_Lancer_la_requête_à_partir_de_Excel_Files1025678910[''21''])</f>
        <v>0</v>
      </c>
      <c r="Z10" s="72">
        <f>SUBTOTAL(109,Tableau_Lancer_la_requête_à_partir_de_Excel_Files1025678910[''23''])</f>
        <v>0</v>
      </c>
      <c r="AA10" s="72">
        <f>SUBTOTAL(109,Tableau_Lancer_la_requête_à_partir_de_Excel_Files1025678910[''30''])</f>
        <v>0</v>
      </c>
      <c r="AB10" s="72">
        <f>SUBTOTAL(109,Tableau_Lancer_la_requête_à_partir_de_Excel_Files1025678910[''34''])</f>
        <v>0</v>
      </c>
      <c r="AC10" s="72">
        <f>SUBTOTAL(109,Tableau_Lancer_la_requête_à_partir_de_Excel_Files1025678910[''42''])</f>
        <v>0</v>
      </c>
      <c r="AD10" s="72">
        <f>SUBTOTAL(109,Tableau_Lancer_la_requête_à_partir_de_Excel_Files1025678910[''43''])</f>
        <v>0</v>
      </c>
      <c r="AE10" s="72">
        <f>SUBTOTAL(109,Tableau_Lancer_la_requête_à_partir_de_Excel_Files1025678910[''46''])</f>
        <v>0</v>
      </c>
      <c r="AF10" s="72">
        <f>SUBTOTAL(109,Tableau_Lancer_la_requête_à_partir_de_Excel_Files1025678910[''48''])</f>
        <v>0</v>
      </c>
      <c r="AG10" s="72">
        <f>SUBTOTAL(109,Tableau_Lancer_la_requête_à_partir_de_Excel_Files1025678910[''58''])</f>
        <v>0</v>
      </c>
      <c r="AH10" s="72">
        <f>SUBTOTAL(109,Tableau_Lancer_la_requête_à_partir_de_Excel_Files1025678910[''63''])</f>
        <v>0</v>
      </c>
      <c r="AI10" s="72">
        <f>SUBTOTAL(109,Tableau_Lancer_la_requête_à_partir_de_Excel_Files1025678910[''69''])</f>
        <v>0</v>
      </c>
      <c r="AJ10" s="72">
        <f>SUBTOTAL(109,Tableau_Lancer_la_requête_à_partir_de_Excel_Files1025678910[''71''])</f>
        <v>0</v>
      </c>
      <c r="AK10" s="72">
        <f>SUBTOTAL(109,Tableau_Lancer_la_requête_à_partir_de_Excel_Files1025678910[''81''])</f>
        <v>0</v>
      </c>
      <c r="AL10" s="72">
        <f>SUBTOTAL(109,Tableau_Lancer_la_requête_à_partir_de_Excel_Files1025678910[''82''])</f>
        <v>0</v>
      </c>
      <c r="AM10" s="72">
        <f>SUBTOTAL(109,Tableau_Lancer_la_requête_à_partir_de_Excel_Files1025678910[''87''])</f>
        <v>0</v>
      </c>
      <c r="AN10" s="72">
        <f>SUBTOTAL(109,Tableau_Lancer_la_requête_à_partir_de_Excel_Files1025678910[''89''])</f>
        <v>0</v>
      </c>
      <c r="AO10" s="72">
        <f>SUBTOTAL(109,Tableau_Lancer_la_requête_à_partir_de_Excel_Files1025678910[''Autre Public''])</f>
        <v>0</v>
      </c>
      <c r="AP10" s="74"/>
      <c r="AQ10" s="3"/>
      <c r="AR10" s="30"/>
    </row>
    <row r="11" spans="1:81" s="10" customFormat="1" x14ac:dyDescent="0.25">
      <c r="A11" s="3"/>
      <c r="B11" s="4"/>
      <c r="C11" s="5"/>
      <c r="D11" s="3"/>
      <c r="E11" s="3"/>
      <c r="F11" s="6"/>
      <c r="G11" s="3"/>
      <c r="H11" s="6"/>
      <c r="I11" s="3"/>
      <c r="J11" s="3"/>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row>
    <row r="12" spans="1:81" x14ac:dyDescent="0.25">
      <c r="BZ12" s="4"/>
      <c r="CC12" s="3"/>
    </row>
    <row r="13" spans="1:81" x14ac:dyDescent="0.25">
      <c r="BZ13" s="4"/>
      <c r="CC13" s="3"/>
    </row>
    <row r="14" spans="1:81" x14ac:dyDescent="0.25">
      <c r="BZ14" s="4"/>
      <c r="CC14" s="3"/>
    </row>
    <row r="15" spans="1:81" x14ac:dyDescent="0.25">
      <c r="BZ15" s="4"/>
      <c r="CC15" s="3"/>
    </row>
    <row r="16" spans="1:81" x14ac:dyDescent="0.25">
      <c r="BZ16" s="4"/>
      <c r="CC16" s="3"/>
    </row>
    <row r="17" spans="1:81" s="7" customFormat="1" x14ac:dyDescent="0.25">
      <c r="A17" s="3"/>
      <c r="B17" s="4"/>
      <c r="C17" s="5"/>
      <c r="D17" s="3"/>
      <c r="E17" s="3"/>
      <c r="F17" s="6"/>
      <c r="G17" s="3"/>
      <c r="H17" s="6"/>
      <c r="I17" s="3"/>
      <c r="J17" s="3"/>
      <c r="K17" s="3"/>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row>
    <row r="18" spans="1:81" s="10" customFormat="1" x14ac:dyDescent="0.25">
      <c r="A18" s="3"/>
      <c r="B18" s="4"/>
      <c r="C18" s="5"/>
      <c r="D18" s="3"/>
      <c r="E18" s="3"/>
      <c r="F18" s="6"/>
      <c r="G18" s="3"/>
      <c r="H18" s="6"/>
      <c r="I18" s="3"/>
      <c r="J18" s="3"/>
      <c r="K18" s="3"/>
      <c r="L18" s="3"/>
      <c r="M18" s="3"/>
      <c r="N18" s="3"/>
      <c r="O18" s="3"/>
      <c r="P18" s="3"/>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row>
    <row r="19" spans="1:81" x14ac:dyDescent="0.25">
      <c r="CB19" s="4"/>
      <c r="CC19" s="3"/>
    </row>
    <row r="20" spans="1:81" hidden="1" x14ac:dyDescent="0.25">
      <c r="E20" s="3" t="s">
        <v>353</v>
      </c>
      <c r="F20" s="6" t="s">
        <v>351</v>
      </c>
    </row>
    <row r="21" spans="1:81" hidden="1" x14ac:dyDescent="0.25">
      <c r="D21" t="s">
        <v>112</v>
      </c>
      <c r="E21" s="3">
        <f>SUMIF(Tableau_Lancer_la_requête_à_partir_de_Excel_Files1025678910[Avis Prog],"1-Favorable",Tableau_Lancer_la_requête_à_partir_de_Excel_Files1025678910[''FEDER''])</f>
        <v>777040</v>
      </c>
      <c r="F21" s="3" t="e">
        <f>SUMIF(#REF!,"1-Favorable",Tableau_Lancer_la_requête_à_partir_de_Excel_Files1025678910[''FEDER''])</f>
        <v>#REF!</v>
      </c>
    </row>
    <row r="22" spans="1:81" hidden="1" x14ac:dyDescent="0.25">
      <c r="D22" t="s">
        <v>56</v>
      </c>
      <c r="E22" s="3">
        <f>SUMIF(Tableau_Lancer_la_requête_à_partir_de_Excel_Files1025678910[Avis Prog],"1-Favorable",Tableau_Lancer_la_requête_à_partir_de_Excel_Files1025678910[Total Etat])</f>
        <v>282000</v>
      </c>
      <c r="F22" s="3" t="e">
        <f>SUMIF(#REF!,"1-Favorable",Tableau_Lancer_la_requête_à_partir_de_Excel_Files1025678910[Total Etat])</f>
        <v>#REF!</v>
      </c>
    </row>
    <row r="23" spans="1:81" hidden="1" x14ac:dyDescent="0.25">
      <c r="D23" t="s">
        <v>57</v>
      </c>
      <c r="E23" s="3">
        <f>SUMIF(Tableau_Lancer_la_requête_à_partir_de_Excel_Files1025678910[Avis Prog],"1-Favorable",Tableau_Lancer_la_requête_à_partir_de_Excel_Files1025678910[Total Régions])</f>
        <v>0</v>
      </c>
      <c r="F23" s="3" t="e">
        <f>SUMIF(#REF!,"1-Favorable",Tableau_Lancer_la_requête_à_partir_de_Excel_Files1025678910[Total Régions])</f>
        <v>#REF!</v>
      </c>
    </row>
    <row r="24" spans="1:81" hidden="1" x14ac:dyDescent="0.25">
      <c r="D24" s="3" t="s">
        <v>113</v>
      </c>
      <c r="E24" s="3">
        <f>SUMIF(Tableau_Lancer_la_requête_à_partir_de_Excel_Files1025678910[Avis Prog],"1-Favorable",Tableau_Lancer_la_requête_à_partir_de_Excel_Files1025678910[''ALPC''])</f>
        <v>0</v>
      </c>
      <c r="F24" s="3" t="e">
        <f>SUMIF(#REF!,"1-Favorable",Tableau_Lancer_la_requête_à_partir_de_Excel_Files1025678910[''ALPC''])</f>
        <v>#REF!</v>
      </c>
    </row>
    <row r="25" spans="1:81" hidden="1" x14ac:dyDescent="0.25">
      <c r="D25" s="3" t="s">
        <v>114</v>
      </c>
      <c r="E25" s="3">
        <f>SUMIF(Tableau_Lancer_la_requête_à_partir_de_Excel_Files1025678910[Avis Prog],"1-Favorable",Tableau_Lancer_la_requête_à_partir_de_Excel_Files1025678910[''AURA''])</f>
        <v>0</v>
      </c>
      <c r="F25" s="3" t="e">
        <f>SUMIF(#REF!,"1-Favorable",Tableau_Lancer_la_requête_à_partir_de_Excel_Files1025678910[''AURA''])</f>
        <v>#REF!</v>
      </c>
    </row>
    <row r="26" spans="1:81" hidden="1" x14ac:dyDescent="0.25">
      <c r="D26" s="3" t="s">
        <v>115</v>
      </c>
      <c r="E26" s="3">
        <f>SUMIF(Tableau_Lancer_la_requête_à_partir_de_Excel_Files1025678910[Avis Prog],"1-Favorable",Tableau_Lancer_la_requête_à_partir_de_Excel_Files1025678910[''BFC''])</f>
        <v>0</v>
      </c>
      <c r="F26" s="3" t="e">
        <f>SUMIF(#REF!,"1-Favorable",Tableau_Lancer_la_requête_à_partir_de_Excel_Files1025678910[''BFC''])</f>
        <v>#REF!</v>
      </c>
    </row>
    <row r="27" spans="1:81" hidden="1" x14ac:dyDescent="0.25">
      <c r="D27" s="3" t="s">
        <v>116</v>
      </c>
      <c r="E27" s="3">
        <f>SUMIF(Tableau_Lancer_la_requête_à_partir_de_Excel_Files1025678910[Avis Prog],"1-Favorable",Tableau_Lancer_la_requête_à_partir_de_Excel_Files1025678910[''LRMP''])</f>
        <v>0</v>
      </c>
      <c r="F27" s="3" t="e">
        <f>SUMIF(#REF!,"1-Favorable",Tableau_Lancer_la_requête_à_partir_de_Excel_Files1025678910[''LRMP''])</f>
        <v>#REF!</v>
      </c>
    </row>
    <row r="28" spans="1:81" hidden="1" x14ac:dyDescent="0.25">
      <c r="D28" t="s">
        <v>58</v>
      </c>
      <c r="E28" s="3">
        <f>SUMIF(Tableau_Lancer_la_requête_à_partir_de_Excel_Files1025678910[Avis Prog],"1-Favorable",Tableau_Lancer_la_requête_à_partir_de_Excel_Files1025678910[Total Dpts])</f>
        <v>0</v>
      </c>
      <c r="F28" s="3" t="e">
        <f>SUMIF(#REF!,"1-Favorable",Tableau_Lancer_la_requête_à_partir_de_Excel_Files1025678910[Total Dpts])</f>
        <v>#REF!</v>
      </c>
    </row>
    <row r="29" spans="1:81" hidden="1" x14ac:dyDescent="0.25">
      <c r="D29" t="s">
        <v>32</v>
      </c>
      <c r="E29" s="3">
        <f>SUMIF(Tableau_Lancer_la_requête_à_partir_de_Excel_Files1025678910[Avis Prog],"1-Favorable",Tableau_Lancer_la_requête_à_partir_de_Excel_Files1025678910[''03''])</f>
        <v>0</v>
      </c>
      <c r="F29" s="3" t="e">
        <f>SUMIF(#REF!,"1-Favorable",Tableau_Lancer_la_requête_à_partir_de_Excel_Files1025678910[''03''])</f>
        <v>#REF!</v>
      </c>
    </row>
    <row r="30" spans="1:81" hidden="1" x14ac:dyDescent="0.25">
      <c r="D30" t="s">
        <v>33</v>
      </c>
      <c r="E30" s="3">
        <f>SUMIF(Tableau_Lancer_la_requête_à_partir_de_Excel_Files1025678910[Avis Prog],"1-Favorable",Tableau_Lancer_la_requête_à_partir_de_Excel_Files1025678910[''07''])</f>
        <v>0</v>
      </c>
      <c r="F30" s="3" t="e">
        <f>SUMIF(#REF!,"1-Favorable",Tableau_Lancer_la_requête_à_partir_de_Excel_Files1025678910[''07''])</f>
        <v>#REF!</v>
      </c>
    </row>
    <row r="31" spans="1:81" hidden="1" x14ac:dyDescent="0.25">
      <c r="D31" t="s">
        <v>34</v>
      </c>
      <c r="E31" s="3">
        <f>SUMIF(Tableau_Lancer_la_requête_à_partir_de_Excel_Files1025678910[Avis Prog],"1-Favorable",Tableau_Lancer_la_requête_à_partir_de_Excel_Files1025678910[''11''])</f>
        <v>0</v>
      </c>
      <c r="F31" s="3" t="e">
        <f>SUMIF(#REF!,"1-Favorable",Tableau_Lancer_la_requête_à_partir_de_Excel_Files1025678910[''11''])</f>
        <v>#REF!</v>
      </c>
    </row>
    <row r="32" spans="1:81" hidden="1" x14ac:dyDescent="0.25">
      <c r="D32" t="s">
        <v>35</v>
      </c>
      <c r="E32" s="3">
        <f>SUMIF(Tableau_Lancer_la_requête_à_partir_de_Excel_Files1025678910[Avis Prog],"1-Favorable",Tableau_Lancer_la_requête_à_partir_de_Excel_Files1025678910[''12''])</f>
        <v>0</v>
      </c>
      <c r="F32" s="3" t="e">
        <f>SUMIF(#REF!,"1-Favorable",Tableau_Lancer_la_requête_à_partir_de_Excel_Files1025678910[''12''])</f>
        <v>#REF!</v>
      </c>
    </row>
    <row r="33" spans="4:6" hidden="1" x14ac:dyDescent="0.25">
      <c r="D33" t="s">
        <v>36</v>
      </c>
      <c r="E33" s="3">
        <f>SUMIF(Tableau_Lancer_la_requête_à_partir_de_Excel_Files1025678910[Avis Prog],"1-Favorable",Tableau_Lancer_la_requête_à_partir_de_Excel_Files1025678910[''15''])</f>
        <v>0</v>
      </c>
      <c r="F33" s="3" t="e">
        <f>SUMIF(#REF!,"1-Favorable",Tableau_Lancer_la_requête_à_partir_de_Excel_Files1025678910[''15''])</f>
        <v>#REF!</v>
      </c>
    </row>
    <row r="34" spans="4:6" hidden="1" x14ac:dyDescent="0.25">
      <c r="D34" t="s">
        <v>37</v>
      </c>
      <c r="E34" s="3">
        <f>SUMIF(Tableau_Lancer_la_requête_à_partir_de_Excel_Files1025678910[Avis Prog],"1-Favorable",Tableau_Lancer_la_requête_à_partir_de_Excel_Files1025678910[''19''])</f>
        <v>0</v>
      </c>
      <c r="F34" s="3" t="e">
        <f>SUMIF(#REF!,"1-Favorable",Tableau_Lancer_la_requête_à_partir_de_Excel_Files1025678910[''19''])</f>
        <v>#REF!</v>
      </c>
    </row>
    <row r="35" spans="4:6" hidden="1" x14ac:dyDescent="0.25">
      <c r="D35" t="s">
        <v>38</v>
      </c>
      <c r="E35" s="3">
        <f>SUMIF(Tableau_Lancer_la_requête_à_partir_de_Excel_Files1025678910[Avis Prog],"1-Favorable",Tableau_Lancer_la_requête_à_partir_de_Excel_Files1025678910[''21''])</f>
        <v>0</v>
      </c>
      <c r="F35" s="3" t="e">
        <f>SUMIF(#REF!,"1-Favorable",Tableau_Lancer_la_requête_à_partir_de_Excel_Files1025678910[''21''])</f>
        <v>#REF!</v>
      </c>
    </row>
    <row r="36" spans="4:6" hidden="1" x14ac:dyDescent="0.25">
      <c r="D36" t="s">
        <v>39</v>
      </c>
      <c r="E36" s="3">
        <f>SUMIF(Tableau_Lancer_la_requête_à_partir_de_Excel_Files1025678910[Avis Prog],"1-Favorable",Tableau_Lancer_la_requête_à_partir_de_Excel_Files1025678910[''23''])</f>
        <v>0</v>
      </c>
      <c r="F36" s="3" t="e">
        <f>SUMIF(#REF!,"1-Favorable",Tableau_Lancer_la_requête_à_partir_de_Excel_Files1025678910[''23''])</f>
        <v>#REF!</v>
      </c>
    </row>
    <row r="37" spans="4:6" hidden="1" x14ac:dyDescent="0.25">
      <c r="D37" t="s">
        <v>40</v>
      </c>
      <c r="E37" s="3">
        <f>SUMIF(Tableau_Lancer_la_requête_à_partir_de_Excel_Files1025678910[Avis Prog],"1-Favorable",Tableau_Lancer_la_requête_à_partir_de_Excel_Files1025678910[''30''])</f>
        <v>0</v>
      </c>
      <c r="F37" s="3" t="e">
        <f>SUMIF(#REF!,"1-Favorable",Tableau_Lancer_la_requête_à_partir_de_Excel_Files1025678910[''30''])</f>
        <v>#REF!</v>
      </c>
    </row>
    <row r="38" spans="4:6" hidden="1" x14ac:dyDescent="0.25">
      <c r="D38" t="s">
        <v>41</v>
      </c>
      <c r="E38" s="3">
        <f>SUMIF(Tableau_Lancer_la_requête_à_partir_de_Excel_Files1025678910[Avis Prog],"1-Favorable",Tableau_Lancer_la_requête_à_partir_de_Excel_Files1025678910[''34''])</f>
        <v>0</v>
      </c>
      <c r="F38" s="3" t="e">
        <f>SUMIF(#REF!,"1-Favorable",Tableau_Lancer_la_requête_à_partir_de_Excel_Files1025678910[''34''])</f>
        <v>#REF!</v>
      </c>
    </row>
    <row r="39" spans="4:6" hidden="1" x14ac:dyDescent="0.25">
      <c r="D39" t="s">
        <v>42</v>
      </c>
      <c r="E39" s="3">
        <f>SUMIF(Tableau_Lancer_la_requête_à_partir_de_Excel_Files1025678910[Avis Prog],"1-Favorable",Tableau_Lancer_la_requête_à_partir_de_Excel_Files1025678910[''42''])</f>
        <v>0</v>
      </c>
      <c r="F39" s="3" t="e">
        <f>SUMIF(#REF!,"1-Favorable",Tableau_Lancer_la_requête_à_partir_de_Excel_Files1025678910[''42''])</f>
        <v>#REF!</v>
      </c>
    </row>
    <row r="40" spans="4:6" hidden="1" x14ac:dyDescent="0.25">
      <c r="D40" t="s">
        <v>43</v>
      </c>
      <c r="E40" s="3">
        <f>SUMIF(Tableau_Lancer_la_requête_à_partir_de_Excel_Files1025678910[Avis Prog],"1-Favorable",Tableau_Lancer_la_requête_à_partir_de_Excel_Files1025678910[''43''])</f>
        <v>0</v>
      </c>
      <c r="F40" s="3" t="e">
        <f>SUMIF(#REF!,"1-Favorable",Tableau_Lancer_la_requête_à_partir_de_Excel_Files1025678910[''43''])</f>
        <v>#REF!</v>
      </c>
    </row>
    <row r="41" spans="4:6" hidden="1" x14ac:dyDescent="0.25">
      <c r="D41" t="s">
        <v>44</v>
      </c>
      <c r="E41" s="3">
        <f>SUMIF(Tableau_Lancer_la_requête_à_partir_de_Excel_Files1025678910[Avis Prog],"1-Favorable",Tableau_Lancer_la_requête_à_partir_de_Excel_Files1025678910[''46''])</f>
        <v>0</v>
      </c>
      <c r="F41" s="3" t="e">
        <f>SUMIF(#REF!,"1-Favorable",Tableau_Lancer_la_requête_à_partir_de_Excel_Files1025678910[''46''])</f>
        <v>#REF!</v>
      </c>
    </row>
    <row r="42" spans="4:6" hidden="1" x14ac:dyDescent="0.25">
      <c r="D42" t="s">
        <v>45</v>
      </c>
      <c r="E42" s="3">
        <f>SUMIF(Tableau_Lancer_la_requête_à_partir_de_Excel_Files1025678910[Avis Prog],"1-Favorable",Tableau_Lancer_la_requête_à_partir_de_Excel_Files1025678910[''48''])</f>
        <v>0</v>
      </c>
      <c r="F42" s="3" t="e">
        <f>SUMIF(#REF!,"1-Favorable",Tableau_Lancer_la_requête_à_partir_de_Excel_Files1025678910[''48''])</f>
        <v>#REF!</v>
      </c>
    </row>
    <row r="43" spans="4:6" hidden="1" x14ac:dyDescent="0.25">
      <c r="D43" t="s">
        <v>46</v>
      </c>
      <c r="E43" s="3">
        <f>SUMIF(Tableau_Lancer_la_requête_à_partir_de_Excel_Files1025678910[Avis Prog],"1-Favorable",Tableau_Lancer_la_requête_à_partir_de_Excel_Files1025678910[''58''])</f>
        <v>0</v>
      </c>
      <c r="F43" s="3" t="e">
        <f>SUMIF(#REF!,"1-Favorable",Tableau_Lancer_la_requête_à_partir_de_Excel_Files1025678910[''58''])</f>
        <v>#REF!</v>
      </c>
    </row>
    <row r="44" spans="4:6" hidden="1" x14ac:dyDescent="0.25">
      <c r="D44" t="s">
        <v>47</v>
      </c>
      <c r="E44" s="3">
        <f>SUMIF(Tableau_Lancer_la_requête_à_partir_de_Excel_Files1025678910[Avis Prog],"1-Favorable",Tableau_Lancer_la_requête_à_partir_de_Excel_Files1025678910[''63''])</f>
        <v>0</v>
      </c>
      <c r="F44" s="3" t="e">
        <f>SUMIF(#REF!,"1-Favorable",Tableau_Lancer_la_requête_à_partir_de_Excel_Files1025678910[''63''])</f>
        <v>#REF!</v>
      </c>
    </row>
    <row r="45" spans="4:6" hidden="1" x14ac:dyDescent="0.25">
      <c r="D45" t="s">
        <v>48</v>
      </c>
      <c r="E45" s="3">
        <f>SUMIF(Tableau_Lancer_la_requête_à_partir_de_Excel_Files1025678910[Avis Prog],"1-Favorable",Tableau_Lancer_la_requête_à_partir_de_Excel_Files1025678910[''69''])</f>
        <v>0</v>
      </c>
      <c r="F45" s="3" t="e">
        <f>SUMIF(#REF!,"1-Favorable",Tableau_Lancer_la_requête_à_partir_de_Excel_Files1025678910[''69''])</f>
        <v>#REF!</v>
      </c>
    </row>
    <row r="46" spans="4:6" hidden="1" x14ac:dyDescent="0.25">
      <c r="D46" t="s">
        <v>49</v>
      </c>
      <c r="E46" s="3">
        <f>SUMIF(Tableau_Lancer_la_requête_à_partir_de_Excel_Files1025678910[Avis Prog],"1-Favorable",Tableau_Lancer_la_requête_à_partir_de_Excel_Files1025678910[''71''])</f>
        <v>0</v>
      </c>
      <c r="F46" s="3" t="e">
        <f>SUMIF(#REF!,"1-Favorable",Tableau_Lancer_la_requête_à_partir_de_Excel_Files1025678910[''71''])</f>
        <v>#REF!</v>
      </c>
    </row>
    <row r="47" spans="4:6" hidden="1" x14ac:dyDescent="0.25">
      <c r="D47" t="s">
        <v>50</v>
      </c>
      <c r="E47" s="3">
        <f>SUMIF(Tableau_Lancer_la_requête_à_partir_de_Excel_Files1025678910[Avis Prog],"1-Favorable",Tableau_Lancer_la_requête_à_partir_de_Excel_Files1025678910[''81''])</f>
        <v>0</v>
      </c>
      <c r="F47" s="3" t="e">
        <f>SUMIF(#REF!,"1-Favorable",Tableau_Lancer_la_requête_à_partir_de_Excel_Files1025678910[''81''])</f>
        <v>#REF!</v>
      </c>
    </row>
    <row r="48" spans="4:6" hidden="1" x14ac:dyDescent="0.25">
      <c r="D48" t="s">
        <v>51</v>
      </c>
      <c r="E48" s="3">
        <f>SUMIF(Tableau_Lancer_la_requête_à_partir_de_Excel_Files1025678910[Avis Prog],"1-Favorable",Tableau_Lancer_la_requête_à_partir_de_Excel_Files1025678910[''82''])</f>
        <v>0</v>
      </c>
      <c r="F48" s="3" t="e">
        <f>SUMIF(#REF!,"1-Favorable",Tableau_Lancer_la_requête_à_partir_de_Excel_Files1025678910[''82''])</f>
        <v>#REF!</v>
      </c>
    </row>
    <row r="49" spans="4:6" hidden="1" x14ac:dyDescent="0.25">
      <c r="D49" t="s">
        <v>52</v>
      </c>
      <c r="E49" s="3">
        <f>SUMIF(Tableau_Lancer_la_requête_à_partir_de_Excel_Files1025678910[Avis Prog],"1-Favorable",Tableau_Lancer_la_requête_à_partir_de_Excel_Files1025678910[''87''])</f>
        <v>0</v>
      </c>
      <c r="F49" s="3" t="e">
        <f>SUMIF(#REF!,"1-Favorable",Tableau_Lancer_la_requête_à_partir_de_Excel_Files1025678910[''87''])</f>
        <v>#REF!</v>
      </c>
    </row>
    <row r="50" spans="4:6" hidden="1" x14ac:dyDescent="0.25">
      <c r="D50" t="s">
        <v>53</v>
      </c>
      <c r="E50" s="3">
        <f>SUMIF(Tableau_Lancer_la_requête_à_partir_de_Excel_Files1025678910[Avis Prog],"1-Favorable",Tableau_Lancer_la_requête_à_partir_de_Excel_Files1025678910[''89''])</f>
        <v>0</v>
      </c>
      <c r="F50" s="3" t="e">
        <f>SUMIF(#REF!,"1-Favorable",Tableau_Lancer_la_requête_à_partir_de_Excel_Files1025678910[''89''])</f>
        <v>#REF!</v>
      </c>
    </row>
  </sheetData>
  <conditionalFormatting sqref="K6:K9 AP6:AP9">
    <cfRule type="cellIs" dxfId="270" priority="9" operator="equal">
      <formula>"6-Retiré/Abandon"</formula>
    </cfRule>
    <cfRule type="cellIs" dxfId="269" priority="10" operator="equal">
      <formula>"5-Défavorable"</formula>
    </cfRule>
    <cfRule type="cellIs" dxfId="268" priority="11" operator="equal">
      <formula>"4-Ajournement"</formula>
    </cfRule>
    <cfRule type="cellIs" dxfId="267" priority="12" operator="equal">
      <formula>"1-Favorable"</formula>
    </cfRule>
  </conditionalFormatting>
  <conditionalFormatting sqref="AR6">
    <cfRule type="cellIs" dxfId="266" priority="5" operator="equal">
      <formula>"6-Retiré/Abandon"</formula>
    </cfRule>
    <cfRule type="cellIs" dxfId="265" priority="6" operator="equal">
      <formula>"5-Défavorable"</formula>
    </cfRule>
    <cfRule type="cellIs" dxfId="264" priority="7" operator="equal">
      <formula>"4-Ajournement"</formula>
    </cfRule>
    <cfRule type="cellIs" dxfId="263" priority="8" operator="equal">
      <formula>"1-Favorable"</formula>
    </cfRule>
  </conditionalFormatting>
  <conditionalFormatting sqref="AR7:AR9">
    <cfRule type="cellIs" dxfId="262" priority="1" operator="equal">
      <formula>"6-Retiré/Abandon"</formula>
    </cfRule>
    <cfRule type="cellIs" dxfId="261" priority="2" operator="equal">
      <formula>"5-Défavorable"</formula>
    </cfRule>
    <cfRule type="cellIs" dxfId="260" priority="3" operator="equal">
      <formula>"4-Ajournement"</formula>
    </cfRule>
    <cfRule type="cellIs" dxfId="259" priority="4" operator="equal">
      <formula>"1-Favorable"</formula>
    </cfRule>
  </conditionalFormatting>
  <dataValidations count="1">
    <dataValidation type="list" allowBlank="1" showInputMessage="1" showErrorMessage="1" sqref="AP7:AP9">
      <formula1>"1-Favorable,4-Ajournement,5-Défavorable,6-Retiré/Abandon"</formula1>
    </dataValidation>
  </dataValidations>
  <printOptions horizontalCentered="1" verticalCentered="1"/>
  <pageMargins left="0.25" right="0.25" top="0.75" bottom="0.75" header="0.3" footer="0.3"/>
  <pageSetup paperSize="8" scale="64" fitToHeight="0" orientation="landscape" r:id="rId1"/>
  <drawing r:id="rId2"/>
  <tableParts count="1">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J92"/>
  <sheetViews>
    <sheetView topLeftCell="A50" zoomScale="80" zoomScaleNormal="80" workbookViewId="0">
      <selection activeCell="E47" sqref="E47"/>
    </sheetView>
  </sheetViews>
  <sheetFormatPr baseColWidth="10" defaultRowHeight="15" outlineLevelCol="1" x14ac:dyDescent="0.25"/>
  <cols>
    <col min="1" max="1" width="14.5703125" style="37" customWidth="1"/>
    <col min="2" max="2" width="12.140625" style="37" hidden="1" customWidth="1"/>
    <col min="3" max="3" width="16.28515625" style="37" bestFit="1" customWidth="1"/>
    <col min="4" max="4" width="39.85546875" style="37" customWidth="1"/>
    <col min="5" max="5" width="46" style="37" customWidth="1"/>
    <col min="6" max="6" width="7.28515625" style="37" hidden="1" customWidth="1"/>
    <col min="7" max="7" width="20.85546875" style="37" hidden="1" customWidth="1"/>
    <col min="8" max="8" width="16" style="37" bestFit="1" customWidth="1"/>
    <col min="9" max="9" width="21" style="37" hidden="1" customWidth="1"/>
    <col min="10" max="10" width="13" style="37" hidden="1" customWidth="1"/>
    <col min="11" max="11" width="16.5703125" style="37" hidden="1" customWidth="1"/>
    <col min="12" max="12" width="16.140625" style="37" customWidth="1"/>
    <col min="13" max="13" width="14.5703125" style="37" customWidth="1"/>
    <col min="14" max="14" width="22.5703125" style="37" hidden="1" customWidth="1" outlineLevel="1"/>
    <col min="15" max="15" width="17.28515625" style="37" hidden="1" customWidth="1" outlineLevel="1" collapsed="1"/>
    <col min="16" max="16" width="14.7109375" style="37" customWidth="1" collapsed="1"/>
    <col min="17" max="20" width="22.5703125" style="37" hidden="1" customWidth="1" outlineLevel="1"/>
    <col min="21" max="21" width="18.85546875" style="37" bestFit="1" customWidth="1" collapsed="1"/>
    <col min="22" max="43" width="22.5703125" style="37" hidden="1" customWidth="1" outlineLevel="1"/>
    <col min="44" max="44" width="16.7109375" style="37" customWidth="1" collapsed="1"/>
    <col min="45" max="45" width="17.7109375" style="37" bestFit="1" customWidth="1"/>
    <col min="46" max="46" width="14.140625" style="37" bestFit="1" customWidth="1"/>
    <col min="47" max="47" width="2.42578125" style="40" customWidth="1"/>
    <col min="48" max="48" width="77.28515625" style="46" customWidth="1"/>
    <col min="49" max="49" width="24.28515625" style="40" hidden="1" customWidth="1"/>
    <col min="50" max="50" width="14.140625" style="37" hidden="1" customWidth="1"/>
    <col min="51" max="51" width="22.5703125" style="37" hidden="1" customWidth="1"/>
    <col min="52" max="52" width="17.28515625" style="37" hidden="1" customWidth="1" outlineLevel="1" collapsed="1"/>
    <col min="53" max="53" width="12.85546875" style="37" hidden="1" customWidth="1" outlineLevel="1"/>
    <col min="54" max="54" width="22.5703125" style="37" hidden="1" customWidth="1"/>
    <col min="55" max="57" width="22.5703125" style="37" hidden="1" customWidth="1" outlineLevel="1"/>
    <col min="58" max="58" width="18.85546875" style="37" hidden="1" customWidth="1" outlineLevel="1" collapsed="1"/>
    <col min="59" max="59" width="22.5703125" style="37" hidden="1" customWidth="1"/>
    <col min="60" max="80" width="22.5703125" style="37" hidden="1" customWidth="1" outlineLevel="1"/>
    <col min="81" max="81" width="12.42578125" style="37" hidden="1" customWidth="1" outlineLevel="1" collapsed="1"/>
    <col min="82" max="82" width="14.28515625" style="37" hidden="1" customWidth="1"/>
    <col min="83" max="83" width="17.42578125" style="37" customWidth="1" collapsed="1"/>
    <col min="84" max="84" width="11.42578125" style="37" customWidth="1" collapsed="1"/>
    <col min="85" max="85" width="11.42578125" style="37" customWidth="1"/>
    <col min="86" max="86" width="15.5703125" style="37" customWidth="1"/>
    <col min="87" max="87" width="36.85546875" style="37" customWidth="1"/>
    <col min="88" max="88" width="10" style="37" customWidth="1"/>
    <col min="89" max="89" width="19.28515625" style="37" customWidth="1"/>
    <col min="90" max="90" width="21.5703125" style="37" customWidth="1" collapsed="1"/>
    <col min="91" max="91" width="9.7109375" style="41" customWidth="1" collapsed="1"/>
    <col min="92" max="112" width="9.7109375" style="41" customWidth="1"/>
    <col min="113" max="113" width="12" style="37" customWidth="1" collapsed="1"/>
    <col min="114" max="114" width="14.28515625" style="37" bestFit="1" customWidth="1" collapsed="1"/>
    <col min="115" max="115" width="17.42578125" style="37" bestFit="1" customWidth="1"/>
    <col min="116" max="116" width="17" style="37" bestFit="1" customWidth="1"/>
    <col min="117" max="117" width="14.7109375" style="37" bestFit="1" customWidth="1"/>
    <col min="118" max="16384" width="11.42578125" style="37"/>
  </cols>
  <sheetData>
    <row r="1" spans="1:112" ht="18.75" x14ac:dyDescent="0.3">
      <c r="D1" s="38" t="s">
        <v>250</v>
      </c>
      <c r="E1" s="39">
        <v>42523</v>
      </c>
      <c r="H1" s="39">
        <v>42523</v>
      </c>
    </row>
    <row r="5" spans="1:112" x14ac:dyDescent="0.25">
      <c r="C5" s="42" t="s">
        <v>251</v>
      </c>
    </row>
    <row r="6" spans="1:112" s="44" customFormat="1" ht="60" x14ac:dyDescent="0.25">
      <c r="A6" s="43" t="s">
        <v>0</v>
      </c>
      <c r="B6" s="43" t="s">
        <v>18</v>
      </c>
      <c r="C6" s="43" t="s">
        <v>10</v>
      </c>
      <c r="D6" s="43" t="s">
        <v>1</v>
      </c>
      <c r="E6" s="43" t="s">
        <v>2</v>
      </c>
      <c r="F6" s="43" t="s">
        <v>3</v>
      </c>
      <c r="G6" s="43" t="s">
        <v>24</v>
      </c>
      <c r="H6" s="43" t="s">
        <v>25</v>
      </c>
      <c r="I6" s="43" t="s">
        <v>23</v>
      </c>
      <c r="J6" s="43" t="s">
        <v>9</v>
      </c>
      <c r="K6" s="43" t="s">
        <v>8</v>
      </c>
      <c r="L6" s="43" t="s">
        <v>7</v>
      </c>
      <c r="M6" s="43" t="s">
        <v>56</v>
      </c>
      <c r="N6" s="43" t="s">
        <v>26</v>
      </c>
      <c r="O6" s="43" t="s">
        <v>27</v>
      </c>
      <c r="P6" s="43" t="s">
        <v>57</v>
      </c>
      <c r="Q6" s="43" t="s">
        <v>30</v>
      </c>
      <c r="R6" s="43" t="s">
        <v>28</v>
      </c>
      <c r="S6" s="43" t="s">
        <v>29</v>
      </c>
      <c r="T6" s="43" t="s">
        <v>31</v>
      </c>
      <c r="U6" s="43" t="s">
        <v>58</v>
      </c>
      <c r="V6" s="43" t="s">
        <v>32</v>
      </c>
      <c r="W6" s="43" t="s">
        <v>33</v>
      </c>
      <c r="X6" s="43" t="s">
        <v>34</v>
      </c>
      <c r="Y6" s="43" t="s">
        <v>35</v>
      </c>
      <c r="Z6" s="43" t="s">
        <v>36</v>
      </c>
      <c r="AA6" s="43" t="s">
        <v>37</v>
      </c>
      <c r="AB6" s="43" t="s">
        <v>38</v>
      </c>
      <c r="AC6" s="43" t="s">
        <v>39</v>
      </c>
      <c r="AD6" s="43" t="s">
        <v>40</v>
      </c>
      <c r="AE6" s="43" t="s">
        <v>41</v>
      </c>
      <c r="AF6" s="43" t="s">
        <v>42</v>
      </c>
      <c r="AG6" s="43" t="s">
        <v>43</v>
      </c>
      <c r="AH6" s="43" t="s">
        <v>44</v>
      </c>
      <c r="AI6" s="43" t="s">
        <v>45</v>
      </c>
      <c r="AJ6" s="43" t="s">
        <v>46</v>
      </c>
      <c r="AK6" s="43" t="s">
        <v>47</v>
      </c>
      <c r="AL6" s="43" t="s">
        <v>48</v>
      </c>
      <c r="AM6" s="43" t="s">
        <v>49</v>
      </c>
      <c r="AN6" s="43" t="s">
        <v>50</v>
      </c>
      <c r="AO6" s="43" t="s">
        <v>51</v>
      </c>
      <c r="AP6" s="43" t="s">
        <v>52</v>
      </c>
      <c r="AQ6" s="43" t="s">
        <v>53</v>
      </c>
      <c r="AR6" s="43" t="s">
        <v>54</v>
      </c>
      <c r="AS6" s="43" t="s">
        <v>55</v>
      </c>
      <c r="AT6" s="43" t="s">
        <v>110</v>
      </c>
      <c r="AV6" s="36" t="s">
        <v>22</v>
      </c>
      <c r="AX6" s="44" t="s">
        <v>118</v>
      </c>
      <c r="AY6" s="43" t="s">
        <v>56</v>
      </c>
      <c r="AZ6" s="43" t="s">
        <v>26</v>
      </c>
      <c r="BA6" s="43" t="s">
        <v>27</v>
      </c>
      <c r="BB6" s="43" t="s">
        <v>57</v>
      </c>
      <c r="BC6" s="43" t="s">
        <v>30</v>
      </c>
      <c r="BD6" s="43" t="s">
        <v>28</v>
      </c>
      <c r="BE6" s="43" t="s">
        <v>29</v>
      </c>
      <c r="BF6" s="43" t="s">
        <v>31</v>
      </c>
      <c r="BG6" s="43" t="s">
        <v>58</v>
      </c>
      <c r="BH6" s="43" t="s">
        <v>32</v>
      </c>
      <c r="BI6" s="43" t="s">
        <v>33</v>
      </c>
      <c r="BJ6" s="43" t="s">
        <v>34</v>
      </c>
      <c r="BK6" s="43" t="s">
        <v>35</v>
      </c>
      <c r="BL6" s="43" t="s">
        <v>36</v>
      </c>
      <c r="BM6" s="43" t="s">
        <v>37</v>
      </c>
      <c r="BN6" s="43" t="s">
        <v>38</v>
      </c>
      <c r="BO6" s="43" t="s">
        <v>39</v>
      </c>
      <c r="BP6" s="43" t="s">
        <v>40</v>
      </c>
      <c r="BQ6" s="43" t="s">
        <v>41</v>
      </c>
      <c r="BR6" s="43" t="s">
        <v>42</v>
      </c>
      <c r="BS6" s="43" t="s">
        <v>43</v>
      </c>
      <c r="BT6" s="43" t="s">
        <v>44</v>
      </c>
      <c r="BU6" s="43" t="s">
        <v>45</v>
      </c>
      <c r="BV6" s="43" t="s">
        <v>46</v>
      </c>
      <c r="BW6" s="43" t="s">
        <v>47</v>
      </c>
      <c r="BX6" s="43" t="s">
        <v>48</v>
      </c>
      <c r="BY6" s="43" t="s">
        <v>49</v>
      </c>
      <c r="BZ6" s="43" t="s">
        <v>50</v>
      </c>
      <c r="CA6" s="43" t="s">
        <v>51</v>
      </c>
      <c r="CB6" s="43" t="s">
        <v>52</v>
      </c>
      <c r="CC6" s="43" t="s">
        <v>53</v>
      </c>
      <c r="CD6" s="43" t="s">
        <v>54</v>
      </c>
      <c r="CE6" s="44" t="s">
        <v>119</v>
      </c>
    </row>
    <row r="7" spans="1:112" ht="105" x14ac:dyDescent="0.25">
      <c r="A7" s="43" t="s">
        <v>4</v>
      </c>
      <c r="B7" s="45" t="s">
        <v>266</v>
      </c>
      <c r="C7" s="45" t="s">
        <v>266</v>
      </c>
      <c r="D7" s="46" t="s">
        <v>175</v>
      </c>
      <c r="E7" s="46" t="s">
        <v>267</v>
      </c>
      <c r="F7" s="47">
        <v>115699.59997731155</v>
      </c>
      <c r="G7" s="47"/>
      <c r="H7" s="47">
        <f>IF(Tableau_Lancer_la_requête_à_partir_de_Excel_Files3[[#This Row],[Coût total Eligible FEDER]]="",Tableau_Lancer_la_requête_à_partir_de_Excel_Files3[[#This Row],[Coût total déposé]],Tableau_Lancer_la_requête_à_partir_de_Excel_Files3[[#This Row],[Coût total Eligible FEDER]])</f>
        <v>115699.59997731155</v>
      </c>
      <c r="I7" s="47">
        <f>Tableau_Lancer_la_requête_à_partir_de_Excel_Files3[[#This Row],[Aide Massif Obtenu]]+Tableau_Lancer_la_requête_à_partir_de_Excel_Files3[[#This Row],[''Autre Public'']]</f>
        <v>70900</v>
      </c>
      <c r="J7" s="48">
        <f>Tableau_Lancer_la_requête_à_partir_de_Excel_Files3[[#This Row],[Aide Publique Obtenue]]/Tableau_Lancer_la_requête_à_partir_de_Excel_Files3[[#This Row],[Coût total]]</f>
        <v>0.61279382136069049</v>
      </c>
      <c r="K7" s="47">
        <f>Tableau_Lancer_la_requête_à_partir_de_Excel_Files3[[#This Row],[Etat]]+Tableau_Lancer_la_requête_à_partir_de_Excel_Files3[[#This Row],[Régions]]+Tableau_Lancer_la_requête_à_partir_de_Excel_Files3[[#This Row],[Départements]]+Tableau_Lancer_la_requête_à_partir_de_Excel_Files3[[#This Row],[''FEDER'']]</f>
        <v>70900</v>
      </c>
      <c r="L7" s="48">
        <f>Tableau_Lancer_la_requête_à_partir_de_Excel_Files3[[#This Row],[Aide Massif Obtenu]]/Tableau_Lancer_la_requête_à_partir_de_Excel_Files3[[#This Row],[Coût total]]</f>
        <v>0.61279382136069049</v>
      </c>
      <c r="M7" s="49">
        <f>Tableau_Lancer_la_requête_à_partir_de_Excel_Files3[[#This Row],[''FNADT'']]+Tableau_Lancer_la_requête_à_partir_de_Excel_Files3[[#This Row],[''Agriculture'']]</f>
        <v>50900</v>
      </c>
      <c r="N7" s="47">
        <v>50900</v>
      </c>
      <c r="O7" s="47"/>
      <c r="P7" s="49">
        <f>Tableau_Lancer_la_requête_à_partir_de_Excel_Files3[[#This Row],[''ALPC'']]+Tableau_Lancer_la_requête_à_partir_de_Excel_Files3[[#This Row],[''AURA'']]+Tableau_Lancer_la_requête_à_partir_de_Excel_Files3[[#This Row],[''BFC'']]+Tableau_Lancer_la_requête_à_partir_de_Excel_Files3[[#This Row],[''LRMP'']]</f>
        <v>20000</v>
      </c>
      <c r="Q7" s="47"/>
      <c r="R7" s="47">
        <v>20000</v>
      </c>
      <c r="S7" s="47"/>
      <c r="T7" s="47"/>
      <c r="U7" s="49">
        <f>Tableau_Lancer_la_requête_à_partir_de_Excel_Files3[[#This Row],[''03'']]+Tableau_Lancer_la_requête_à_partir_de_Excel_Files3[[#This Row],[''07'']]+Tableau_Lancer_la_requête_à_partir_de_Excel_Files3[[#This Row],[''11'']]+Tableau_Lancer_la_requête_à_partir_de_Excel_Files3[[#This Row],[''12'']]+Tableau_Lancer_la_requête_à_partir_de_Excel_Files3[[#This Row],[''15'']]+Tableau_Lancer_la_requête_à_partir_de_Excel_Files3[[#This Row],[''21'']]+Tableau_Lancer_la_requête_à_partir_de_Excel_Files3[[#This Row],[''19'']]+Tableau_Lancer_la_requête_à_partir_de_Excel_Files3[[#This Row],[''23'']]+Tableau_Lancer_la_requête_à_partir_de_Excel_Files3[[#This Row],[''30'']]+Tableau_Lancer_la_requête_à_partir_de_Excel_Files3[[#This Row],[''34'']]+Tableau_Lancer_la_requête_à_partir_de_Excel_Files3[[#This Row],[''42'']]+Tableau_Lancer_la_requête_à_partir_de_Excel_Files3[[#This Row],[''43'']]+Tableau_Lancer_la_requête_à_partir_de_Excel_Files3[[#This Row],[''46'']]+Tableau_Lancer_la_requête_à_partir_de_Excel_Files3[[#This Row],[''48'']]+Tableau_Lancer_la_requête_à_partir_de_Excel_Files3[[#This Row],[''58'']]+Tableau_Lancer_la_requête_à_partir_de_Excel_Files3[[#This Row],[''63'']]+Tableau_Lancer_la_requête_à_partir_de_Excel_Files3[[#This Row],[''69'']]+Tableau_Lancer_la_requête_à_partir_de_Excel_Files3[[#This Row],[''71'']]+Tableau_Lancer_la_requête_à_partir_de_Excel_Files3[[#This Row],[''81'']]+Tableau_Lancer_la_requête_à_partir_de_Excel_Files3[[#This Row],[''82'']]+Tableau_Lancer_la_requête_à_partir_de_Excel_Files3[[#This Row],[''87'']]+Tableau_Lancer_la_requête_à_partir_de_Excel_Files3[[#This Row],[''89'']]</f>
        <v>0</v>
      </c>
      <c r="V7" s="47"/>
      <c r="W7" s="47"/>
      <c r="X7" s="47"/>
      <c r="Y7" s="47"/>
      <c r="Z7" s="47"/>
      <c r="AA7" s="47"/>
      <c r="AB7" s="47"/>
      <c r="AC7" s="47"/>
      <c r="AD7" s="47"/>
      <c r="AE7" s="47"/>
      <c r="AF7" s="47"/>
      <c r="AG7" s="47"/>
      <c r="AH7" s="47"/>
      <c r="AI7" s="47"/>
      <c r="AJ7" s="47"/>
      <c r="AK7" s="47"/>
      <c r="AL7" s="47"/>
      <c r="AM7" s="47"/>
      <c r="AN7" s="47"/>
      <c r="AO7" s="47"/>
      <c r="AP7" s="47"/>
      <c r="AQ7" s="47"/>
      <c r="AR7" s="47">
        <v>0</v>
      </c>
      <c r="AS7" s="47">
        <v>0</v>
      </c>
      <c r="AT7" s="50" t="s">
        <v>77</v>
      </c>
      <c r="AU7" s="37"/>
      <c r="AV7" s="56" t="s">
        <v>320</v>
      </c>
      <c r="AW7" s="40" t="s">
        <v>266</v>
      </c>
      <c r="AX7" s="40" t="s">
        <v>117</v>
      </c>
      <c r="AY7" s="49">
        <f t="shared" ref="AY7:AY23" si="0">SUM(AZ7:BA7)</f>
        <v>0</v>
      </c>
      <c r="AZ7" s="49"/>
      <c r="BA7" s="49"/>
      <c r="BB7" s="49">
        <f t="shared" ref="BB7:BB23" si="1">SUM(BC7:BF7)</f>
        <v>-14369</v>
      </c>
      <c r="BC7" s="49">
        <v>-14369</v>
      </c>
      <c r="BD7" s="49"/>
      <c r="BE7" s="49"/>
      <c r="BF7" s="49"/>
      <c r="BG7" s="49">
        <f t="shared" ref="BG7:BG23" si="2">SUM(BH7:CC7)</f>
        <v>0</v>
      </c>
      <c r="BH7" s="49"/>
      <c r="BI7" s="49"/>
      <c r="BJ7" s="49"/>
      <c r="BK7" s="49"/>
      <c r="BL7" s="49"/>
      <c r="BM7" s="49"/>
      <c r="BN7" s="49"/>
      <c r="BO7" s="49"/>
      <c r="BP7" s="49"/>
      <c r="BQ7" s="49"/>
      <c r="BR7" s="49"/>
      <c r="BS7" s="49"/>
      <c r="BT7" s="49"/>
      <c r="BU7" s="49"/>
      <c r="BV7" s="49"/>
      <c r="BW7" s="49"/>
      <c r="BX7" s="49"/>
      <c r="BY7" s="49"/>
      <c r="BZ7" s="49"/>
      <c r="CA7" s="49"/>
      <c r="CB7" s="49"/>
      <c r="CC7" s="49"/>
      <c r="CD7" s="49">
        <v>1622.6</v>
      </c>
      <c r="CE7" s="37" t="str">
        <f>VLOOKUP(Tableau3[[#This Row],[NumSym]],Tableau_Lancer_la_requête_à_partir_de_Excel_Files3[[ID_Synergie]:[Avis Prog]],44)</f>
        <v>1-Favorable</v>
      </c>
      <c r="CM7" s="37"/>
      <c r="CN7" s="37"/>
      <c r="CO7" s="37"/>
      <c r="CP7" s="37"/>
      <c r="CQ7" s="37"/>
      <c r="CR7" s="37"/>
      <c r="CS7" s="37"/>
      <c r="CT7" s="37"/>
      <c r="CU7" s="37"/>
      <c r="CV7" s="37"/>
      <c r="CW7" s="37"/>
      <c r="CX7" s="37"/>
      <c r="CY7" s="37"/>
      <c r="CZ7" s="37"/>
      <c r="DA7" s="37"/>
      <c r="DB7" s="37"/>
      <c r="DC7" s="37"/>
      <c r="DD7" s="37"/>
      <c r="DE7" s="37"/>
      <c r="DF7" s="37"/>
      <c r="DG7" s="37"/>
      <c r="DH7" s="37"/>
    </row>
    <row r="8" spans="1:112" ht="30" x14ac:dyDescent="0.25">
      <c r="A8" s="43" t="s">
        <v>4</v>
      </c>
      <c r="B8" s="45" t="s">
        <v>335</v>
      </c>
      <c r="C8" s="45" t="s">
        <v>335</v>
      </c>
      <c r="D8" s="46" t="s">
        <v>336</v>
      </c>
      <c r="E8" s="46" t="s">
        <v>337</v>
      </c>
      <c r="F8" s="47">
        <v>67178.97</v>
      </c>
      <c r="G8" s="47"/>
      <c r="H8" s="47">
        <f>IF(Tableau_Lancer_la_requête_à_partir_de_Excel_Files3[[#This Row],[Coût total Eligible FEDER]]="",Tableau_Lancer_la_requête_à_partir_de_Excel_Files3[[#This Row],[Coût total déposé]],Tableau_Lancer_la_requête_à_partir_de_Excel_Files3[[#This Row],[Coût total Eligible FEDER]])</f>
        <v>67178.97</v>
      </c>
      <c r="I8" s="47">
        <f>Tableau_Lancer_la_requête_à_partir_de_Excel_Files3[[#This Row],[Aide Massif Obtenu]]+Tableau_Lancer_la_requête_à_partir_de_Excel_Files3[[#This Row],[''Autre Public'']]</f>
        <v>0</v>
      </c>
      <c r="J8" s="48">
        <f>Tableau_Lancer_la_requête_à_partir_de_Excel_Files3[[#This Row],[Aide Publique Obtenue]]/Tableau_Lancer_la_requête_à_partir_de_Excel_Files3[[#This Row],[Coût total]]</f>
        <v>0</v>
      </c>
      <c r="K8" s="47">
        <f>Tableau_Lancer_la_requête_à_partir_de_Excel_Files3[[#This Row],[Etat]]+Tableau_Lancer_la_requête_à_partir_de_Excel_Files3[[#This Row],[Régions]]+Tableau_Lancer_la_requête_à_partir_de_Excel_Files3[[#This Row],[Départements]]+Tableau_Lancer_la_requête_à_partir_de_Excel_Files3[[#This Row],[''FEDER'']]</f>
        <v>0</v>
      </c>
      <c r="L8" s="48">
        <f>Tableau_Lancer_la_requête_à_partir_de_Excel_Files3[[#This Row],[Aide Massif Obtenu]]/Tableau_Lancer_la_requête_à_partir_de_Excel_Files3[[#This Row],[Coût total]]</f>
        <v>0</v>
      </c>
      <c r="M8" s="49">
        <f>Tableau_Lancer_la_requête_à_partir_de_Excel_Files3[[#This Row],[''FNADT'']]+Tableau_Lancer_la_requête_à_partir_de_Excel_Files3[[#This Row],[''Agriculture'']]</f>
        <v>0</v>
      </c>
      <c r="N8" s="47"/>
      <c r="O8" s="47"/>
      <c r="P8" s="49">
        <f>Tableau_Lancer_la_requête_à_partir_de_Excel_Files3[[#This Row],[''ALPC'']]+Tableau_Lancer_la_requête_à_partir_de_Excel_Files3[[#This Row],[''AURA'']]+Tableau_Lancer_la_requête_à_partir_de_Excel_Files3[[#This Row],[''BFC'']]+Tableau_Lancer_la_requête_à_partir_de_Excel_Files3[[#This Row],[''LRMP'']]</f>
        <v>0</v>
      </c>
      <c r="Q8" s="47"/>
      <c r="R8" s="47"/>
      <c r="S8" s="47"/>
      <c r="T8" s="47"/>
      <c r="U8" s="49">
        <f>Tableau_Lancer_la_requête_à_partir_de_Excel_Files3[[#This Row],[''03'']]+Tableau_Lancer_la_requête_à_partir_de_Excel_Files3[[#This Row],[''07'']]+Tableau_Lancer_la_requête_à_partir_de_Excel_Files3[[#This Row],[''11'']]+Tableau_Lancer_la_requête_à_partir_de_Excel_Files3[[#This Row],[''12'']]+Tableau_Lancer_la_requête_à_partir_de_Excel_Files3[[#This Row],[''15'']]+Tableau_Lancer_la_requête_à_partir_de_Excel_Files3[[#This Row],[''21'']]+Tableau_Lancer_la_requête_à_partir_de_Excel_Files3[[#This Row],[''19'']]+Tableau_Lancer_la_requête_à_partir_de_Excel_Files3[[#This Row],[''23'']]+Tableau_Lancer_la_requête_à_partir_de_Excel_Files3[[#This Row],[''30'']]+Tableau_Lancer_la_requête_à_partir_de_Excel_Files3[[#This Row],[''34'']]+Tableau_Lancer_la_requête_à_partir_de_Excel_Files3[[#This Row],[''42'']]+Tableau_Lancer_la_requête_à_partir_de_Excel_Files3[[#This Row],[''43'']]+Tableau_Lancer_la_requête_à_partir_de_Excel_Files3[[#This Row],[''46'']]+Tableau_Lancer_la_requête_à_partir_de_Excel_Files3[[#This Row],[''48'']]+Tableau_Lancer_la_requête_à_partir_de_Excel_Files3[[#This Row],[''58'']]+Tableau_Lancer_la_requête_à_partir_de_Excel_Files3[[#This Row],[''63'']]+Tableau_Lancer_la_requête_à_partir_de_Excel_Files3[[#This Row],[''69'']]+Tableau_Lancer_la_requête_à_partir_de_Excel_Files3[[#This Row],[''71'']]+Tableau_Lancer_la_requête_à_partir_de_Excel_Files3[[#This Row],[''81'']]+Tableau_Lancer_la_requête_à_partir_de_Excel_Files3[[#This Row],[''82'']]+Tableau_Lancer_la_requête_à_partir_de_Excel_Files3[[#This Row],[''87'']]+Tableau_Lancer_la_requête_à_partir_de_Excel_Files3[[#This Row],[''89'']]</f>
        <v>0</v>
      </c>
      <c r="V8" s="47"/>
      <c r="W8" s="47"/>
      <c r="X8" s="47"/>
      <c r="Y8" s="47"/>
      <c r="Z8" s="47"/>
      <c r="AA8" s="47"/>
      <c r="AB8" s="47"/>
      <c r="AC8" s="47"/>
      <c r="AD8" s="47"/>
      <c r="AE8" s="47"/>
      <c r="AF8" s="47"/>
      <c r="AG8" s="47"/>
      <c r="AH8" s="47"/>
      <c r="AI8" s="47"/>
      <c r="AJ8" s="47"/>
      <c r="AK8" s="47"/>
      <c r="AL8" s="47"/>
      <c r="AM8" s="47"/>
      <c r="AN8" s="47"/>
      <c r="AO8" s="47"/>
      <c r="AP8" s="47"/>
      <c r="AQ8" s="47"/>
      <c r="AR8" s="47">
        <v>0</v>
      </c>
      <c r="AS8" s="47">
        <v>0</v>
      </c>
      <c r="AT8" s="50" t="s">
        <v>77</v>
      </c>
      <c r="AU8" s="37"/>
      <c r="AV8" s="57" t="s">
        <v>338</v>
      </c>
      <c r="AW8" s="40" t="s">
        <v>335</v>
      </c>
      <c r="AX8" s="40" t="s">
        <v>59</v>
      </c>
      <c r="AY8" s="49">
        <f t="shared" si="0"/>
        <v>19500</v>
      </c>
      <c r="AZ8" s="49">
        <v>19500</v>
      </c>
      <c r="BA8" s="49"/>
      <c r="BB8" s="49">
        <f t="shared" si="1"/>
        <v>0</v>
      </c>
      <c r="BC8" s="49"/>
      <c r="BD8" s="49"/>
      <c r="BE8" s="49"/>
      <c r="BF8" s="49"/>
      <c r="BG8" s="49">
        <f t="shared" si="2"/>
        <v>0</v>
      </c>
      <c r="BH8" s="49"/>
      <c r="BI8" s="49"/>
      <c r="BJ8" s="49"/>
      <c r="BK8" s="49"/>
      <c r="BL8" s="49"/>
      <c r="BM8" s="49"/>
      <c r="BN8" s="49"/>
      <c r="BO8" s="49"/>
      <c r="BP8" s="49"/>
      <c r="BQ8" s="49"/>
      <c r="BR8" s="49"/>
      <c r="BS8" s="49"/>
      <c r="BT8" s="49"/>
      <c r="BU8" s="49"/>
      <c r="BV8" s="49"/>
      <c r="BW8" s="49"/>
      <c r="BX8" s="49"/>
      <c r="BY8" s="49"/>
      <c r="BZ8" s="49"/>
      <c r="CA8" s="49"/>
      <c r="CB8" s="49"/>
      <c r="CC8" s="49"/>
      <c r="CD8" s="49"/>
      <c r="CE8" s="37" t="str">
        <f>VLOOKUP(Tableau3[[#This Row],[NumSym]],Tableau_Lancer_la_requête_à_partir_de_Excel_Files3[[ID_Synergie]:[Avis Prog]],44)</f>
        <v>1-Favorable</v>
      </c>
      <c r="CM8" s="37"/>
      <c r="CN8" s="37"/>
      <c r="CO8" s="37"/>
      <c r="CP8" s="37"/>
      <c r="CQ8" s="37"/>
      <c r="CR8" s="37"/>
      <c r="CS8" s="37"/>
      <c r="CT8" s="37"/>
      <c r="CU8" s="37"/>
      <c r="CV8" s="37"/>
      <c r="CW8" s="37"/>
      <c r="CX8" s="37"/>
      <c r="CY8" s="37"/>
      <c r="CZ8" s="37"/>
      <c r="DA8" s="37"/>
      <c r="DB8" s="37"/>
      <c r="DC8" s="37"/>
      <c r="DD8" s="37"/>
      <c r="DE8" s="37"/>
      <c r="DF8" s="37"/>
      <c r="DG8" s="37"/>
      <c r="DH8" s="37"/>
    </row>
    <row r="9" spans="1:112" ht="75" x14ac:dyDescent="0.25">
      <c r="A9" s="43" t="s">
        <v>5</v>
      </c>
      <c r="B9" s="45" t="s">
        <v>62</v>
      </c>
      <c r="C9" s="45" t="s">
        <v>62</v>
      </c>
      <c r="D9" s="46" t="s">
        <v>63</v>
      </c>
      <c r="E9" s="46" t="s">
        <v>64</v>
      </c>
      <c r="F9" s="47">
        <v>102244</v>
      </c>
      <c r="G9" s="47">
        <v>102244</v>
      </c>
      <c r="H9" s="47">
        <f>IF(Tableau_Lancer_la_requête_à_partir_de_Excel_Files3[[#This Row],[Coût total Eligible FEDER]]="",Tableau_Lancer_la_requête_à_partir_de_Excel_Files3[[#This Row],[Coût total déposé]],Tableau_Lancer_la_requête_à_partir_de_Excel_Files3[[#This Row],[Coût total Eligible FEDER]])</f>
        <v>102244</v>
      </c>
      <c r="I9" s="47">
        <f>Tableau_Lancer_la_requête_à_partir_de_Excel_Files3[[#This Row],[Aide Massif Obtenu]]+Tableau_Lancer_la_requête_à_partir_de_Excel_Files3[[#This Row],[''Autre Public'']]</f>
        <v>71570.8</v>
      </c>
      <c r="J9" s="48">
        <f>Tableau_Lancer_la_requête_à_partir_de_Excel_Files3[[#This Row],[Aide Publique Obtenue]]/Tableau_Lancer_la_requête_à_partir_de_Excel_Files3[[#This Row],[Coût total]]</f>
        <v>0.70000000000000007</v>
      </c>
      <c r="K9" s="47">
        <f>Tableau_Lancer_la_requête_à_partir_de_Excel_Files3[[#This Row],[Etat]]+Tableau_Lancer_la_requête_à_partir_de_Excel_Files3[[#This Row],[Régions]]+Tableau_Lancer_la_requête_à_partir_de_Excel_Files3[[#This Row],[Départements]]+Tableau_Lancer_la_requête_à_partir_de_Excel_Files3[[#This Row],[''FEDER'']]</f>
        <v>30673.200000000001</v>
      </c>
      <c r="L9" s="48">
        <f>Tableau_Lancer_la_requête_à_partir_de_Excel_Files3[[#This Row],[Aide Massif Obtenu]]/Tableau_Lancer_la_requête_à_partir_de_Excel_Files3[[#This Row],[Coût total]]</f>
        <v>0.3</v>
      </c>
      <c r="M9" s="49">
        <f>Tableau_Lancer_la_requête_à_partir_de_Excel_Files3[[#This Row],[''FNADT'']]+Tableau_Lancer_la_requête_à_partir_de_Excel_Files3[[#This Row],[''Agriculture'']]</f>
        <v>0</v>
      </c>
      <c r="N9" s="47"/>
      <c r="O9" s="47"/>
      <c r="P9" s="49">
        <f>Tableau_Lancer_la_requête_à_partir_de_Excel_Files3[[#This Row],[''ALPC'']]+Tableau_Lancer_la_requête_à_partir_de_Excel_Files3[[#This Row],[''AURA'']]+Tableau_Lancer_la_requête_à_partir_de_Excel_Files3[[#This Row],[''BFC'']]+Tableau_Lancer_la_requête_à_partir_de_Excel_Files3[[#This Row],[''LRMP'']]</f>
        <v>0</v>
      </c>
      <c r="Q9" s="47"/>
      <c r="R9" s="47"/>
      <c r="S9" s="47"/>
      <c r="T9" s="47"/>
      <c r="U9" s="49">
        <f>Tableau_Lancer_la_requête_à_partir_de_Excel_Files3[[#This Row],[''03'']]+Tableau_Lancer_la_requête_à_partir_de_Excel_Files3[[#This Row],[''07'']]+Tableau_Lancer_la_requête_à_partir_de_Excel_Files3[[#This Row],[''11'']]+Tableau_Lancer_la_requête_à_partir_de_Excel_Files3[[#This Row],[''12'']]+Tableau_Lancer_la_requête_à_partir_de_Excel_Files3[[#This Row],[''15'']]+Tableau_Lancer_la_requête_à_partir_de_Excel_Files3[[#This Row],[''21'']]+Tableau_Lancer_la_requête_à_partir_de_Excel_Files3[[#This Row],[''19'']]+Tableau_Lancer_la_requête_à_partir_de_Excel_Files3[[#This Row],[''23'']]+Tableau_Lancer_la_requête_à_partir_de_Excel_Files3[[#This Row],[''30'']]+Tableau_Lancer_la_requête_à_partir_de_Excel_Files3[[#This Row],[''34'']]+Tableau_Lancer_la_requête_à_partir_de_Excel_Files3[[#This Row],[''42'']]+Tableau_Lancer_la_requête_à_partir_de_Excel_Files3[[#This Row],[''43'']]+Tableau_Lancer_la_requête_à_partir_de_Excel_Files3[[#This Row],[''46'']]+Tableau_Lancer_la_requête_à_partir_de_Excel_Files3[[#This Row],[''48'']]+Tableau_Lancer_la_requête_à_partir_de_Excel_Files3[[#This Row],[''58'']]+Tableau_Lancer_la_requête_à_partir_de_Excel_Files3[[#This Row],[''63'']]+Tableau_Lancer_la_requête_à_partir_de_Excel_Files3[[#This Row],[''69'']]+Tableau_Lancer_la_requête_à_partir_de_Excel_Files3[[#This Row],[''71'']]+Tableau_Lancer_la_requête_à_partir_de_Excel_Files3[[#This Row],[''81'']]+Tableau_Lancer_la_requête_à_partir_de_Excel_Files3[[#This Row],[''82'']]+Tableau_Lancer_la_requête_à_partir_de_Excel_Files3[[#This Row],[''87'']]+Tableau_Lancer_la_requête_à_partir_de_Excel_Files3[[#This Row],[''89'']]</f>
        <v>0</v>
      </c>
      <c r="V9" s="47"/>
      <c r="W9" s="47"/>
      <c r="X9" s="47"/>
      <c r="Y9" s="47"/>
      <c r="Z9" s="47"/>
      <c r="AA9" s="47"/>
      <c r="AB9" s="47"/>
      <c r="AC9" s="47"/>
      <c r="AD9" s="47"/>
      <c r="AE9" s="47"/>
      <c r="AF9" s="47"/>
      <c r="AG9" s="47"/>
      <c r="AH9" s="47"/>
      <c r="AI9" s="47"/>
      <c r="AJ9" s="47"/>
      <c r="AK9" s="47"/>
      <c r="AL9" s="47"/>
      <c r="AM9" s="47"/>
      <c r="AN9" s="47"/>
      <c r="AO9" s="47"/>
      <c r="AP9" s="47"/>
      <c r="AQ9" s="47"/>
      <c r="AR9" s="47">
        <v>30673.200000000001</v>
      </c>
      <c r="AS9" s="47">
        <v>40897.599999999999</v>
      </c>
      <c r="AT9" s="50" t="s">
        <v>77</v>
      </c>
      <c r="AU9" s="37"/>
      <c r="AV9" s="56" t="s">
        <v>69</v>
      </c>
      <c r="AW9" s="40" t="s">
        <v>62</v>
      </c>
      <c r="AX9" s="40" t="s">
        <v>268</v>
      </c>
      <c r="AY9" s="49">
        <f t="shared" si="0"/>
        <v>0</v>
      </c>
      <c r="AZ9" s="49"/>
      <c r="BA9" s="49"/>
      <c r="BB9" s="49">
        <f t="shared" si="1"/>
        <v>16000</v>
      </c>
      <c r="BC9" s="49"/>
      <c r="BD9" s="49">
        <v>16000</v>
      </c>
      <c r="BE9" s="49"/>
      <c r="BF9" s="49"/>
      <c r="BG9" s="49">
        <f t="shared" si="2"/>
        <v>0</v>
      </c>
      <c r="BH9" s="49"/>
      <c r="BI9" s="49"/>
      <c r="BJ9" s="49"/>
      <c r="BK9" s="49"/>
      <c r="BL9" s="49"/>
      <c r="BM9" s="49"/>
      <c r="BN9" s="49"/>
      <c r="BO9" s="49"/>
      <c r="BP9" s="49"/>
      <c r="BQ9" s="49"/>
      <c r="BR9" s="49"/>
      <c r="BS9" s="49"/>
      <c r="BT9" s="49"/>
      <c r="BU9" s="49"/>
      <c r="BV9" s="49"/>
      <c r="BW9" s="49"/>
      <c r="BX9" s="49"/>
      <c r="BY9" s="49"/>
      <c r="BZ9" s="49"/>
      <c r="CA9" s="49"/>
      <c r="CB9" s="49"/>
      <c r="CC9" s="49"/>
      <c r="CD9" s="49"/>
      <c r="CE9" s="37" t="str">
        <f>VLOOKUP(Tableau3[[#This Row],[NumSym]],Tableau_Lancer_la_requête_à_partir_de_Excel_Files3[[ID_Synergie]:[Avis Prog]],44)</f>
        <v>1-Favorable</v>
      </c>
      <c r="CM9" s="37"/>
      <c r="CN9" s="37"/>
      <c r="CO9" s="37"/>
      <c r="CP9" s="37"/>
      <c r="CQ9" s="37"/>
      <c r="CR9" s="37"/>
      <c r="CS9" s="37"/>
      <c r="CT9" s="37"/>
      <c r="CU9" s="37"/>
      <c r="CV9" s="37"/>
      <c r="CW9" s="37"/>
      <c r="CX9" s="37"/>
      <c r="CY9" s="37"/>
      <c r="CZ9" s="37"/>
      <c r="DA9" s="37"/>
      <c r="DB9" s="37"/>
      <c r="DC9" s="37"/>
      <c r="DD9" s="37"/>
      <c r="DE9" s="37"/>
      <c r="DF9" s="37"/>
      <c r="DG9" s="37"/>
      <c r="DH9" s="37"/>
    </row>
    <row r="10" spans="1:112" ht="45" x14ac:dyDescent="0.25">
      <c r="A10" s="43" t="s">
        <v>4</v>
      </c>
      <c r="B10" s="45" t="s">
        <v>268</v>
      </c>
      <c r="C10" s="45" t="s">
        <v>268</v>
      </c>
      <c r="D10" s="46" t="s">
        <v>269</v>
      </c>
      <c r="E10" s="46" t="s">
        <v>270</v>
      </c>
      <c r="F10" s="47">
        <v>79696.639999999999</v>
      </c>
      <c r="G10" s="47"/>
      <c r="H10" s="47">
        <f>IF(Tableau_Lancer_la_requête_à_partir_de_Excel_Files3[[#This Row],[Coût total Eligible FEDER]]="",Tableau_Lancer_la_requête_à_partir_de_Excel_Files3[[#This Row],[Coût total déposé]],Tableau_Lancer_la_requête_à_partir_de_Excel_Files3[[#This Row],[Coût total Eligible FEDER]])</f>
        <v>79696.639999999999</v>
      </c>
      <c r="I10" s="47">
        <f>Tableau_Lancer_la_requête_à_partir_de_Excel_Files3[[#This Row],[Aide Massif Obtenu]]+Tableau_Lancer_la_requête_à_partir_de_Excel_Files3[[#This Row],[''Autre Public'']]</f>
        <v>55787</v>
      </c>
      <c r="J10" s="48">
        <f>Tableau_Lancer_la_requête_à_partir_de_Excel_Files3[[#This Row],[Aide Publique Obtenue]]/Tableau_Lancer_la_requête_à_partir_de_Excel_Files3[[#This Row],[Coût total]]</f>
        <v>0.69999186916788458</v>
      </c>
      <c r="K10" s="47">
        <f>Tableau_Lancer_la_requête_à_partir_de_Excel_Files3[[#This Row],[Etat]]+Tableau_Lancer_la_requête_à_partir_de_Excel_Files3[[#This Row],[Régions]]+Tableau_Lancer_la_requête_à_partir_de_Excel_Files3[[#This Row],[Départements]]+Tableau_Lancer_la_requête_à_partir_de_Excel_Files3[[#This Row],[''FEDER'']]</f>
        <v>55787</v>
      </c>
      <c r="L10" s="48">
        <f>Tableau_Lancer_la_requête_à_partir_de_Excel_Files3[[#This Row],[Aide Massif Obtenu]]/Tableau_Lancer_la_requête_à_partir_de_Excel_Files3[[#This Row],[Coût total]]</f>
        <v>0.69999186916788458</v>
      </c>
      <c r="M10" s="49">
        <f>Tableau_Lancer_la_requête_à_partir_de_Excel_Files3[[#This Row],[''FNADT'']]+Tableau_Lancer_la_requête_à_partir_de_Excel_Files3[[#This Row],[''Agriculture'']]</f>
        <v>39787</v>
      </c>
      <c r="N10" s="47">
        <v>39787</v>
      </c>
      <c r="O10" s="47"/>
      <c r="P10" s="49">
        <f>Tableau_Lancer_la_requête_à_partir_de_Excel_Files3[[#This Row],[''ALPC'']]+Tableau_Lancer_la_requête_à_partir_de_Excel_Files3[[#This Row],[''AURA'']]+Tableau_Lancer_la_requête_à_partir_de_Excel_Files3[[#This Row],[''BFC'']]+Tableau_Lancer_la_requête_à_partir_de_Excel_Files3[[#This Row],[''LRMP'']]</f>
        <v>16000</v>
      </c>
      <c r="Q10" s="47"/>
      <c r="R10" s="47">
        <v>16000</v>
      </c>
      <c r="S10" s="47"/>
      <c r="T10" s="47"/>
      <c r="U10" s="49">
        <f>Tableau_Lancer_la_requête_à_partir_de_Excel_Files3[[#This Row],[''03'']]+Tableau_Lancer_la_requête_à_partir_de_Excel_Files3[[#This Row],[''07'']]+Tableau_Lancer_la_requête_à_partir_de_Excel_Files3[[#This Row],[''11'']]+Tableau_Lancer_la_requête_à_partir_de_Excel_Files3[[#This Row],[''12'']]+Tableau_Lancer_la_requête_à_partir_de_Excel_Files3[[#This Row],[''15'']]+Tableau_Lancer_la_requête_à_partir_de_Excel_Files3[[#This Row],[''21'']]+Tableau_Lancer_la_requête_à_partir_de_Excel_Files3[[#This Row],[''19'']]+Tableau_Lancer_la_requête_à_partir_de_Excel_Files3[[#This Row],[''23'']]+Tableau_Lancer_la_requête_à_partir_de_Excel_Files3[[#This Row],[''30'']]+Tableau_Lancer_la_requête_à_partir_de_Excel_Files3[[#This Row],[''34'']]+Tableau_Lancer_la_requête_à_partir_de_Excel_Files3[[#This Row],[''42'']]+Tableau_Lancer_la_requête_à_partir_de_Excel_Files3[[#This Row],[''43'']]+Tableau_Lancer_la_requête_à_partir_de_Excel_Files3[[#This Row],[''46'']]+Tableau_Lancer_la_requête_à_partir_de_Excel_Files3[[#This Row],[''48'']]+Tableau_Lancer_la_requête_à_partir_de_Excel_Files3[[#This Row],[''58'']]+Tableau_Lancer_la_requête_à_partir_de_Excel_Files3[[#This Row],[''63'']]+Tableau_Lancer_la_requête_à_partir_de_Excel_Files3[[#This Row],[''69'']]+Tableau_Lancer_la_requête_à_partir_de_Excel_Files3[[#This Row],[''71'']]+Tableau_Lancer_la_requête_à_partir_de_Excel_Files3[[#This Row],[''81'']]+Tableau_Lancer_la_requête_à_partir_de_Excel_Files3[[#This Row],[''82'']]+Tableau_Lancer_la_requête_à_partir_de_Excel_Files3[[#This Row],[''87'']]+Tableau_Lancer_la_requête_à_partir_de_Excel_Files3[[#This Row],[''89'']]</f>
        <v>0</v>
      </c>
      <c r="V10" s="47"/>
      <c r="W10" s="47"/>
      <c r="X10" s="47"/>
      <c r="Y10" s="47"/>
      <c r="Z10" s="47"/>
      <c r="AA10" s="47"/>
      <c r="AB10" s="47"/>
      <c r="AC10" s="47"/>
      <c r="AD10" s="47"/>
      <c r="AE10" s="47"/>
      <c r="AF10" s="47"/>
      <c r="AG10" s="47"/>
      <c r="AH10" s="47"/>
      <c r="AI10" s="47"/>
      <c r="AJ10" s="47"/>
      <c r="AK10" s="47"/>
      <c r="AL10" s="47"/>
      <c r="AM10" s="47"/>
      <c r="AN10" s="47"/>
      <c r="AO10" s="47"/>
      <c r="AP10" s="47"/>
      <c r="AQ10" s="47"/>
      <c r="AR10" s="47">
        <v>0</v>
      </c>
      <c r="AS10" s="47">
        <v>0</v>
      </c>
      <c r="AT10" s="50" t="s">
        <v>77</v>
      </c>
      <c r="AU10" s="37"/>
      <c r="AV10" s="57" t="s">
        <v>321</v>
      </c>
      <c r="AW10" s="40" t="s">
        <v>268</v>
      </c>
      <c r="AX10" s="40" t="s">
        <v>286</v>
      </c>
      <c r="AY10" s="49">
        <f t="shared" si="0"/>
        <v>0</v>
      </c>
      <c r="AZ10" s="49"/>
      <c r="BA10" s="49"/>
      <c r="BB10" s="49">
        <f t="shared" si="1"/>
        <v>0</v>
      </c>
      <c r="BC10" s="49"/>
      <c r="BD10" s="49"/>
      <c r="BE10" s="49"/>
      <c r="BF10" s="49"/>
      <c r="BG10" s="49">
        <f t="shared" si="2"/>
        <v>6289</v>
      </c>
      <c r="BH10" s="49"/>
      <c r="BI10" s="49">
        <v>6289</v>
      </c>
      <c r="BJ10" s="49"/>
      <c r="BK10" s="49"/>
      <c r="BL10" s="49"/>
      <c r="BM10" s="49"/>
      <c r="BN10" s="49"/>
      <c r="BO10" s="49"/>
      <c r="BP10" s="49"/>
      <c r="BQ10" s="49"/>
      <c r="BR10" s="49"/>
      <c r="BS10" s="49"/>
      <c r="BT10" s="49"/>
      <c r="BU10" s="49"/>
      <c r="BV10" s="49"/>
      <c r="BW10" s="49"/>
      <c r="BX10" s="49"/>
      <c r="BY10" s="49"/>
      <c r="BZ10" s="49"/>
      <c r="CA10" s="49"/>
      <c r="CB10" s="49"/>
      <c r="CC10" s="49"/>
      <c r="CD10" s="49"/>
      <c r="CE10" s="37" t="str">
        <f>VLOOKUP(Tableau3[[#This Row],[NumSym]],Tableau_Lancer_la_requête_à_partir_de_Excel_Files3[[ID_Synergie]:[Avis Prog]],44)</f>
        <v>1-Favorable</v>
      </c>
      <c r="CM10" s="37"/>
      <c r="CN10" s="37"/>
      <c r="CO10" s="37"/>
      <c r="CP10" s="37"/>
      <c r="CQ10" s="37"/>
      <c r="CR10" s="37"/>
      <c r="CS10" s="37"/>
      <c r="CT10" s="37"/>
      <c r="CU10" s="37"/>
      <c r="CV10" s="37"/>
      <c r="CW10" s="37"/>
      <c r="CX10" s="37"/>
      <c r="CY10" s="37"/>
      <c r="CZ10" s="37"/>
      <c r="DA10" s="37"/>
      <c r="DB10" s="37"/>
      <c r="DC10" s="37"/>
      <c r="DD10" s="37"/>
      <c r="DE10" s="37"/>
      <c r="DF10" s="37"/>
      <c r="DG10" s="37"/>
      <c r="DH10" s="37"/>
    </row>
    <row r="11" spans="1:112" ht="60" x14ac:dyDescent="0.25">
      <c r="A11" s="43" t="s">
        <v>4</v>
      </c>
      <c r="B11" s="45" t="s">
        <v>279</v>
      </c>
      <c r="C11" s="45" t="s">
        <v>279</v>
      </c>
      <c r="D11" s="46" t="s">
        <v>280</v>
      </c>
      <c r="E11" s="46" t="s">
        <v>281</v>
      </c>
      <c r="F11" s="47">
        <v>93909.359999999986</v>
      </c>
      <c r="G11" s="47"/>
      <c r="H11" s="47">
        <f>IF(Tableau_Lancer_la_requête_à_partir_de_Excel_Files3[[#This Row],[Coût total Eligible FEDER]]="",Tableau_Lancer_la_requête_à_partir_de_Excel_Files3[[#This Row],[Coût total déposé]],Tableau_Lancer_la_requête_à_partir_de_Excel_Files3[[#This Row],[Coût total Eligible FEDER]])</f>
        <v>93909.359999999986</v>
      </c>
      <c r="I11" s="47">
        <f>Tableau_Lancer_la_requête_à_partir_de_Excel_Files3[[#This Row],[Aide Massif Obtenu]]+Tableau_Lancer_la_requête_à_partir_de_Excel_Files3[[#This Row],[''Autre Public'']]</f>
        <v>20000</v>
      </c>
      <c r="J11" s="48">
        <f>Tableau_Lancer_la_requête_à_partir_de_Excel_Files3[[#This Row],[Aide Publique Obtenue]]/Tableau_Lancer_la_requête_à_partir_de_Excel_Files3[[#This Row],[Coût total]]</f>
        <v>0.21297131617125281</v>
      </c>
      <c r="K11" s="47">
        <f>Tableau_Lancer_la_requête_à_partir_de_Excel_Files3[[#This Row],[Etat]]+Tableau_Lancer_la_requête_à_partir_de_Excel_Files3[[#This Row],[Régions]]+Tableau_Lancer_la_requête_à_partir_de_Excel_Files3[[#This Row],[Départements]]+Tableau_Lancer_la_requête_à_partir_de_Excel_Files3[[#This Row],[''FEDER'']]</f>
        <v>20000</v>
      </c>
      <c r="L11" s="48">
        <f>Tableau_Lancer_la_requête_à_partir_de_Excel_Files3[[#This Row],[Aide Massif Obtenu]]/Tableau_Lancer_la_requête_à_partir_de_Excel_Files3[[#This Row],[Coût total]]</f>
        <v>0.21297131617125281</v>
      </c>
      <c r="M11" s="49">
        <f>Tableau_Lancer_la_requête_à_partir_de_Excel_Files3[[#This Row],[''FNADT'']]+Tableau_Lancer_la_requête_à_partir_de_Excel_Files3[[#This Row],[''Agriculture'']]</f>
        <v>20000</v>
      </c>
      <c r="N11" s="47">
        <v>20000</v>
      </c>
      <c r="O11" s="47"/>
      <c r="P11" s="47">
        <f>Tableau_Lancer_la_requête_à_partir_de_Excel_Files3[[#This Row],[''ALPC'']]+Tableau_Lancer_la_requête_à_partir_de_Excel_Files3[[#This Row],[''AURA'']]+Tableau_Lancer_la_requête_à_partir_de_Excel_Files3[[#This Row],[''BFC'']]+Tableau_Lancer_la_requête_à_partir_de_Excel_Files3[[#This Row],[''LRMP'']]</f>
        <v>0</v>
      </c>
      <c r="Q11" s="47"/>
      <c r="R11" s="47"/>
      <c r="S11" s="47"/>
      <c r="T11" s="47"/>
      <c r="U11" s="47">
        <f>Tableau_Lancer_la_requête_à_partir_de_Excel_Files3[[#This Row],[''03'']]+Tableau_Lancer_la_requête_à_partir_de_Excel_Files3[[#This Row],[''07'']]+Tableau_Lancer_la_requête_à_partir_de_Excel_Files3[[#This Row],[''11'']]+Tableau_Lancer_la_requête_à_partir_de_Excel_Files3[[#This Row],[''12'']]+Tableau_Lancer_la_requête_à_partir_de_Excel_Files3[[#This Row],[''15'']]+Tableau_Lancer_la_requête_à_partir_de_Excel_Files3[[#This Row],[''21'']]+Tableau_Lancer_la_requête_à_partir_de_Excel_Files3[[#This Row],[''19'']]+Tableau_Lancer_la_requête_à_partir_de_Excel_Files3[[#This Row],[''23'']]+Tableau_Lancer_la_requête_à_partir_de_Excel_Files3[[#This Row],[''30'']]+Tableau_Lancer_la_requête_à_partir_de_Excel_Files3[[#This Row],[''34'']]+Tableau_Lancer_la_requête_à_partir_de_Excel_Files3[[#This Row],[''42'']]+Tableau_Lancer_la_requête_à_partir_de_Excel_Files3[[#This Row],[''43'']]+Tableau_Lancer_la_requête_à_partir_de_Excel_Files3[[#This Row],[''46'']]+Tableau_Lancer_la_requête_à_partir_de_Excel_Files3[[#This Row],[''48'']]+Tableau_Lancer_la_requête_à_partir_de_Excel_Files3[[#This Row],[''58'']]+Tableau_Lancer_la_requête_à_partir_de_Excel_Files3[[#This Row],[''63'']]+Tableau_Lancer_la_requête_à_partir_de_Excel_Files3[[#This Row],[''69'']]+Tableau_Lancer_la_requête_à_partir_de_Excel_Files3[[#This Row],[''71'']]+Tableau_Lancer_la_requête_à_partir_de_Excel_Files3[[#This Row],[''81'']]+Tableau_Lancer_la_requête_à_partir_de_Excel_Files3[[#This Row],[''82'']]+Tableau_Lancer_la_requête_à_partir_de_Excel_Files3[[#This Row],[''87'']]+Tableau_Lancer_la_requête_à_partir_de_Excel_Files3[[#This Row],[''89'']]</f>
        <v>0</v>
      </c>
      <c r="V11" s="47"/>
      <c r="W11" s="47"/>
      <c r="X11" s="47"/>
      <c r="Y11" s="47"/>
      <c r="Z11" s="47"/>
      <c r="AA11" s="47"/>
      <c r="AB11" s="47"/>
      <c r="AC11" s="47"/>
      <c r="AD11" s="47"/>
      <c r="AE11" s="47"/>
      <c r="AF11" s="47"/>
      <c r="AG11" s="47"/>
      <c r="AH11" s="47"/>
      <c r="AI11" s="47"/>
      <c r="AJ11" s="47"/>
      <c r="AK11" s="47"/>
      <c r="AL11" s="47"/>
      <c r="AM11" s="47"/>
      <c r="AN11" s="47"/>
      <c r="AO11" s="47"/>
      <c r="AP11" s="47"/>
      <c r="AQ11" s="47"/>
      <c r="AR11" s="47">
        <v>0</v>
      </c>
      <c r="AS11" s="47">
        <v>0</v>
      </c>
      <c r="AT11" s="50" t="s">
        <v>77</v>
      </c>
      <c r="AU11" s="37"/>
      <c r="AV11" s="56" t="s">
        <v>323</v>
      </c>
      <c r="AW11" s="40" t="s">
        <v>279</v>
      </c>
      <c r="AX11" s="40" t="s">
        <v>293</v>
      </c>
      <c r="AY11" s="49">
        <f t="shared" si="0"/>
        <v>0</v>
      </c>
      <c r="AZ11" s="49"/>
      <c r="BA11" s="49"/>
      <c r="BB11" s="49">
        <f t="shared" si="1"/>
        <v>-8756</v>
      </c>
      <c r="BC11" s="49"/>
      <c r="BD11" s="49"/>
      <c r="BE11" s="49"/>
      <c r="BF11" s="49">
        <v>-8756</v>
      </c>
      <c r="BG11" s="49">
        <f t="shared" si="2"/>
        <v>0</v>
      </c>
      <c r="BH11" s="49"/>
      <c r="BI11" s="49"/>
      <c r="BJ11" s="49"/>
      <c r="BK11" s="49"/>
      <c r="BL11" s="49"/>
      <c r="BM11" s="49"/>
      <c r="BN11" s="49"/>
      <c r="BO11" s="49"/>
      <c r="BP11" s="49"/>
      <c r="BQ11" s="49"/>
      <c r="BR11" s="49"/>
      <c r="BS11" s="49"/>
      <c r="BT11" s="49"/>
      <c r="BU11" s="49"/>
      <c r="BV11" s="49"/>
      <c r="BW11" s="49"/>
      <c r="BX11" s="49"/>
      <c r="BY11" s="49"/>
      <c r="BZ11" s="49"/>
      <c r="CA11" s="49"/>
      <c r="CB11" s="49"/>
      <c r="CC11" s="49"/>
      <c r="CD11" s="49"/>
      <c r="CE11" s="37" t="str">
        <f>VLOOKUP(Tableau3[[#This Row],[NumSym]],Tableau_Lancer_la_requête_à_partir_de_Excel_Files3[[ID_Synergie]:[Avis Prog]],44)</f>
        <v>1-Favorable</v>
      </c>
      <c r="CM11" s="37"/>
      <c r="CN11" s="37"/>
      <c r="CO11" s="37"/>
      <c r="CP11" s="37"/>
      <c r="CQ11" s="37"/>
      <c r="CR11" s="37"/>
      <c r="CS11" s="37"/>
      <c r="CT11" s="37"/>
      <c r="CU11" s="37"/>
      <c r="CV11" s="37"/>
      <c r="CW11" s="37"/>
      <c r="CX11" s="37"/>
      <c r="CY11" s="37"/>
      <c r="CZ11" s="37"/>
      <c r="DA11" s="37"/>
      <c r="DB11" s="37"/>
      <c r="DC11" s="37"/>
      <c r="DD11" s="37"/>
      <c r="DE11" s="37"/>
      <c r="DF11" s="37"/>
      <c r="DG11" s="37"/>
      <c r="DH11" s="37"/>
    </row>
    <row r="12" spans="1:112" ht="75" x14ac:dyDescent="0.25">
      <c r="A12" s="43" t="s">
        <v>5</v>
      </c>
      <c r="B12" s="45" t="s">
        <v>397</v>
      </c>
      <c r="C12" s="45" t="s">
        <v>397</v>
      </c>
      <c r="D12" s="46" t="s">
        <v>398</v>
      </c>
      <c r="E12" s="46" t="s">
        <v>399</v>
      </c>
      <c r="F12" s="47">
        <v>84000</v>
      </c>
      <c r="G12" s="47">
        <v>60266.58</v>
      </c>
      <c r="H12" s="47">
        <f>IF(Tableau_Lancer_la_requête_à_partir_de_Excel_Files3[[#This Row],[Coût total Eligible FEDER]]="",Tableau_Lancer_la_requête_à_partir_de_Excel_Files3[[#This Row],[Coût total déposé]],Tableau_Lancer_la_requête_à_partir_de_Excel_Files3[[#This Row],[Coût total Eligible FEDER]])</f>
        <v>60266.58</v>
      </c>
      <c r="I12" s="47">
        <f>Tableau_Lancer_la_requête_à_partir_de_Excel_Files3[[#This Row],[Aide Massif Obtenu]]+Tableau_Lancer_la_requête_à_partir_de_Excel_Files3[[#This Row],[''Autre Public'']]</f>
        <v>47856.75</v>
      </c>
      <c r="J12" s="48">
        <f>Tableau_Lancer_la_requête_à_partir_de_Excel_Files3[[#This Row],[Aide Publique Obtenue]]/Tableau_Lancer_la_requête_à_partir_de_Excel_Files3[[#This Row],[Coût total]]</f>
        <v>0.79408438308594909</v>
      </c>
      <c r="K12" s="47">
        <f>Tableau_Lancer_la_requête_à_partir_de_Excel_Files3[[#This Row],[Etat]]+Tableau_Lancer_la_requête_à_partir_de_Excel_Files3[[#This Row],[Régions]]+Tableau_Lancer_la_requête_à_partir_de_Excel_Files3[[#This Row],[Départements]]+Tableau_Lancer_la_requête_à_partir_de_Excel_Files3[[#This Row],[''FEDER'']]</f>
        <v>37686.75</v>
      </c>
      <c r="L12" s="48">
        <f>Tableau_Lancer_la_requête_à_partir_de_Excel_Files3[[#This Row],[Aide Massif Obtenu]]/Tableau_Lancer_la_requête_à_partir_de_Excel_Files3[[#This Row],[Coût total]]</f>
        <v>0.62533414041413993</v>
      </c>
      <c r="M12" s="49">
        <f>Tableau_Lancer_la_requête_à_partir_de_Excel_Files3[[#This Row],[''FNADT'']]+Tableau_Lancer_la_requête_à_partir_de_Excel_Files3[[#This Row],[''Agriculture'']]</f>
        <v>0</v>
      </c>
      <c r="N12" s="47"/>
      <c r="O12" s="47"/>
      <c r="P12" s="49">
        <f>Tableau_Lancer_la_requête_à_partir_de_Excel_Files3[[#This Row],[''ALPC'']]+Tableau_Lancer_la_requête_à_partir_de_Excel_Files3[[#This Row],[''AURA'']]+Tableau_Lancer_la_requête_à_partir_de_Excel_Files3[[#This Row],[''BFC'']]+Tableau_Lancer_la_requête_à_partir_de_Excel_Files3[[#This Row],[''LRMP'']]</f>
        <v>6500</v>
      </c>
      <c r="Q12" s="47"/>
      <c r="R12" s="47"/>
      <c r="S12" s="47"/>
      <c r="T12" s="47">
        <v>6500</v>
      </c>
      <c r="U12" s="49">
        <f>Tableau_Lancer_la_requête_à_partir_de_Excel_Files3[[#This Row],[''03'']]+Tableau_Lancer_la_requête_à_partir_de_Excel_Files3[[#This Row],[''07'']]+Tableau_Lancer_la_requête_à_partir_de_Excel_Files3[[#This Row],[''11'']]+Tableau_Lancer_la_requête_à_partir_de_Excel_Files3[[#This Row],[''12'']]+Tableau_Lancer_la_requête_à_partir_de_Excel_Files3[[#This Row],[''15'']]+Tableau_Lancer_la_requête_à_partir_de_Excel_Files3[[#This Row],[''21'']]+Tableau_Lancer_la_requête_à_partir_de_Excel_Files3[[#This Row],[''19'']]+Tableau_Lancer_la_requête_à_partir_de_Excel_Files3[[#This Row],[''23'']]+Tableau_Lancer_la_requête_à_partir_de_Excel_Files3[[#This Row],[''30'']]+Tableau_Lancer_la_requête_à_partir_de_Excel_Files3[[#This Row],[''34'']]+Tableau_Lancer_la_requête_à_partir_de_Excel_Files3[[#This Row],[''42'']]+Tableau_Lancer_la_requête_à_partir_de_Excel_Files3[[#This Row],[''43'']]+Tableau_Lancer_la_requête_à_partir_de_Excel_Files3[[#This Row],[''46'']]+Tableau_Lancer_la_requête_à_partir_de_Excel_Files3[[#This Row],[''48'']]+Tableau_Lancer_la_requête_à_partir_de_Excel_Files3[[#This Row],[''58'']]+Tableau_Lancer_la_requête_à_partir_de_Excel_Files3[[#This Row],[''63'']]+Tableau_Lancer_la_requête_à_partir_de_Excel_Files3[[#This Row],[''69'']]+Tableau_Lancer_la_requête_à_partir_de_Excel_Files3[[#This Row],[''71'']]+Tableau_Lancer_la_requête_à_partir_de_Excel_Files3[[#This Row],[''81'']]+Tableau_Lancer_la_requête_à_partir_de_Excel_Files3[[#This Row],[''82'']]+Tableau_Lancer_la_requête_à_partir_de_Excel_Files3[[#This Row],[''87'']]+Tableau_Lancer_la_requête_à_partir_de_Excel_Files3[[#This Row],[''89'']]</f>
        <v>1053.75</v>
      </c>
      <c r="V12" s="47"/>
      <c r="W12" s="47"/>
      <c r="X12" s="47"/>
      <c r="Y12" s="47"/>
      <c r="Z12" s="47"/>
      <c r="AA12" s="47"/>
      <c r="AB12" s="47"/>
      <c r="AC12" s="47"/>
      <c r="AD12" s="47"/>
      <c r="AE12" s="47"/>
      <c r="AF12" s="47"/>
      <c r="AG12" s="47"/>
      <c r="AH12" s="47"/>
      <c r="AI12" s="47">
        <v>1053.75</v>
      </c>
      <c r="AJ12" s="47"/>
      <c r="AK12" s="47"/>
      <c r="AL12" s="47"/>
      <c r="AM12" s="47"/>
      <c r="AN12" s="47"/>
      <c r="AO12" s="47"/>
      <c r="AP12" s="47"/>
      <c r="AQ12" s="47"/>
      <c r="AR12" s="47">
        <v>30133</v>
      </c>
      <c r="AS12" s="47">
        <v>10170</v>
      </c>
      <c r="AT12" s="50" t="s">
        <v>77</v>
      </c>
      <c r="AU12" s="37"/>
      <c r="AV12" s="57" t="s">
        <v>355</v>
      </c>
      <c r="AW12" s="40" t="s">
        <v>397</v>
      </c>
      <c r="AX12" s="40" t="s">
        <v>335</v>
      </c>
      <c r="AY12" s="49">
        <f t="shared" si="0"/>
        <v>-38026</v>
      </c>
      <c r="AZ12" s="49">
        <v>-38026</v>
      </c>
      <c r="BA12" s="49"/>
      <c r="BB12" s="49">
        <f t="shared" si="1"/>
        <v>0</v>
      </c>
      <c r="BC12" s="49"/>
      <c r="BD12" s="49"/>
      <c r="BE12" s="49"/>
      <c r="BF12" s="49"/>
      <c r="BG12" s="49">
        <f t="shared" si="2"/>
        <v>0</v>
      </c>
      <c r="BH12" s="49"/>
      <c r="BI12" s="49"/>
      <c r="BJ12" s="49"/>
      <c r="BK12" s="49"/>
      <c r="BL12" s="49"/>
      <c r="BM12" s="49"/>
      <c r="BN12" s="49"/>
      <c r="BO12" s="49"/>
      <c r="BP12" s="49"/>
      <c r="BQ12" s="49"/>
      <c r="BR12" s="49"/>
      <c r="BS12" s="49"/>
      <c r="BT12" s="49"/>
      <c r="BU12" s="49"/>
      <c r="BV12" s="49"/>
      <c r="BW12" s="49"/>
      <c r="BX12" s="49"/>
      <c r="BY12" s="49"/>
      <c r="BZ12" s="49"/>
      <c r="CA12" s="49"/>
      <c r="CB12" s="49"/>
      <c r="CC12" s="49"/>
      <c r="CD12" s="49"/>
      <c r="CE12" s="37" t="str">
        <f>VLOOKUP(Tableau3[[#This Row],[NumSym]],Tableau_Lancer_la_requête_à_partir_de_Excel_Files3[[ID_Synergie]:[Avis Prog]],44)</f>
        <v>1-Favorable</v>
      </c>
      <c r="CM12" s="37"/>
      <c r="CN12" s="37"/>
      <c r="CO12" s="37"/>
      <c r="CP12" s="37"/>
      <c r="CQ12" s="37"/>
      <c r="CR12" s="37"/>
      <c r="CS12" s="37"/>
      <c r="CT12" s="37"/>
      <c r="CU12" s="37"/>
      <c r="CV12" s="37"/>
      <c r="CW12" s="37"/>
      <c r="CX12" s="37"/>
      <c r="CY12" s="37"/>
      <c r="CZ12" s="37"/>
      <c r="DA12" s="37"/>
      <c r="DB12" s="37"/>
      <c r="DC12" s="37"/>
      <c r="DD12" s="37"/>
      <c r="DE12" s="37"/>
      <c r="DF12" s="37"/>
      <c r="DG12" s="37"/>
      <c r="DH12" s="37"/>
    </row>
    <row r="13" spans="1:112" ht="75" x14ac:dyDescent="0.25">
      <c r="A13" s="43" t="s">
        <v>5</v>
      </c>
      <c r="B13" s="45" t="s">
        <v>400</v>
      </c>
      <c r="C13" s="45" t="s">
        <v>400</v>
      </c>
      <c r="D13" s="46" t="s">
        <v>401</v>
      </c>
      <c r="E13" s="46" t="s">
        <v>402</v>
      </c>
      <c r="F13" s="47">
        <v>329512.9916666667</v>
      </c>
      <c r="G13" s="47">
        <v>330859.93</v>
      </c>
      <c r="H13" s="47">
        <f>IF(Tableau_Lancer_la_requête_à_partir_de_Excel_Files3[[#This Row],[Coût total Eligible FEDER]]="",Tableau_Lancer_la_requête_à_partir_de_Excel_Files3[[#This Row],[Coût total déposé]],Tableau_Lancer_la_requête_à_partir_de_Excel_Files3[[#This Row],[Coût total Eligible FEDER]])</f>
        <v>330859.93</v>
      </c>
      <c r="I13" s="47">
        <f>Tableau_Lancer_la_requête_à_partir_de_Excel_Files3[[#This Row],[Aide Massif Obtenu]]+Tableau_Lancer_la_requête_à_partir_de_Excel_Files3[[#This Row],[''Autre Public'']]</f>
        <v>198515</v>
      </c>
      <c r="J13" s="48">
        <f>Tableau_Lancer_la_requête_à_partir_de_Excel_Files3[[#This Row],[Aide Publique Obtenue]]/Tableau_Lancer_la_requête_à_partir_de_Excel_Files3[[#This Row],[Coût total]]</f>
        <v>0.59999710451489241</v>
      </c>
      <c r="K13" s="47">
        <f>Tableau_Lancer_la_requête_à_partir_de_Excel_Files3[[#This Row],[Etat]]+Tableau_Lancer_la_requête_à_partir_de_Excel_Files3[[#This Row],[Régions]]+Tableau_Lancer_la_requête_à_partir_de_Excel_Files3[[#This Row],[Départements]]+Tableau_Lancer_la_requête_à_partir_de_Excel_Files3[[#This Row],[''FEDER'']]</f>
        <v>198515</v>
      </c>
      <c r="L13" s="48">
        <f>Tableau_Lancer_la_requête_à_partir_de_Excel_Files3[[#This Row],[Aide Massif Obtenu]]/Tableau_Lancer_la_requête_à_partir_de_Excel_Files3[[#This Row],[Coût total]]</f>
        <v>0.59999710451489241</v>
      </c>
      <c r="M13" s="49">
        <f>Tableau_Lancer_la_requête_à_partir_de_Excel_Files3[[#This Row],[''FNADT'']]+Tableau_Lancer_la_requête_à_partir_de_Excel_Files3[[#This Row],[''Agriculture'']]</f>
        <v>0</v>
      </c>
      <c r="N13" s="47"/>
      <c r="O13" s="47"/>
      <c r="P13" s="47">
        <f>Tableau_Lancer_la_requête_à_partir_de_Excel_Files3[[#This Row],[''ALPC'']]+Tableau_Lancer_la_requête_à_partir_de_Excel_Files3[[#This Row],[''AURA'']]+Tableau_Lancer_la_requête_à_partir_de_Excel_Files3[[#This Row],[''BFC'']]+Tableau_Lancer_la_requête_à_partir_de_Excel_Files3[[#This Row],[''LRMP'']]</f>
        <v>0</v>
      </c>
      <c r="Q13" s="47"/>
      <c r="R13" s="47"/>
      <c r="S13" s="47"/>
      <c r="T13" s="47"/>
      <c r="U13" s="47">
        <f>Tableau_Lancer_la_requête_à_partir_de_Excel_Files3[[#This Row],[''03'']]+Tableau_Lancer_la_requête_à_partir_de_Excel_Files3[[#This Row],[''07'']]+Tableau_Lancer_la_requête_à_partir_de_Excel_Files3[[#This Row],[''11'']]+Tableau_Lancer_la_requête_à_partir_de_Excel_Files3[[#This Row],[''12'']]+Tableau_Lancer_la_requête_à_partir_de_Excel_Files3[[#This Row],[''15'']]+Tableau_Lancer_la_requête_à_partir_de_Excel_Files3[[#This Row],[''21'']]+Tableau_Lancer_la_requête_à_partir_de_Excel_Files3[[#This Row],[''19'']]+Tableau_Lancer_la_requête_à_partir_de_Excel_Files3[[#This Row],[''23'']]+Tableau_Lancer_la_requête_à_partir_de_Excel_Files3[[#This Row],[''30'']]+Tableau_Lancer_la_requête_à_partir_de_Excel_Files3[[#This Row],[''34'']]+Tableau_Lancer_la_requête_à_partir_de_Excel_Files3[[#This Row],[''42'']]+Tableau_Lancer_la_requête_à_partir_de_Excel_Files3[[#This Row],[''43'']]+Tableau_Lancer_la_requête_à_partir_de_Excel_Files3[[#This Row],[''46'']]+Tableau_Lancer_la_requête_à_partir_de_Excel_Files3[[#This Row],[''48'']]+Tableau_Lancer_la_requête_à_partir_de_Excel_Files3[[#This Row],[''58'']]+Tableau_Lancer_la_requête_à_partir_de_Excel_Files3[[#This Row],[''63'']]+Tableau_Lancer_la_requête_à_partir_de_Excel_Files3[[#This Row],[''69'']]+Tableau_Lancer_la_requête_à_partir_de_Excel_Files3[[#This Row],[''71'']]+Tableau_Lancer_la_requête_à_partir_de_Excel_Files3[[#This Row],[''81'']]+Tableau_Lancer_la_requête_à_partir_de_Excel_Files3[[#This Row],[''82'']]+Tableau_Lancer_la_requête_à_partir_de_Excel_Files3[[#This Row],[''87'']]+Tableau_Lancer_la_requête_à_partir_de_Excel_Files3[[#This Row],[''89'']]</f>
        <v>0</v>
      </c>
      <c r="V13" s="47"/>
      <c r="W13" s="47"/>
      <c r="X13" s="47"/>
      <c r="Y13" s="47"/>
      <c r="Z13" s="47"/>
      <c r="AA13" s="47"/>
      <c r="AB13" s="47"/>
      <c r="AC13" s="47"/>
      <c r="AD13" s="47"/>
      <c r="AE13" s="47"/>
      <c r="AF13" s="47"/>
      <c r="AG13" s="47"/>
      <c r="AH13" s="47"/>
      <c r="AI13" s="47"/>
      <c r="AJ13" s="47"/>
      <c r="AK13" s="47"/>
      <c r="AL13" s="47"/>
      <c r="AM13" s="47"/>
      <c r="AN13" s="47"/>
      <c r="AO13" s="47"/>
      <c r="AP13" s="47"/>
      <c r="AQ13" s="47"/>
      <c r="AR13" s="47">
        <v>198515</v>
      </c>
      <c r="AS13" s="47">
        <v>0</v>
      </c>
      <c r="AT13" s="50" t="s">
        <v>77</v>
      </c>
      <c r="AU13" s="37"/>
      <c r="AV13" s="56" t="s">
        <v>355</v>
      </c>
      <c r="AW13" s="40" t="s">
        <v>400</v>
      </c>
      <c r="AX13" s="40" t="s">
        <v>282</v>
      </c>
      <c r="AY13" s="49">
        <f t="shared" si="0"/>
        <v>-2400</v>
      </c>
      <c r="AZ13" s="49">
        <v>-2400</v>
      </c>
      <c r="BA13" s="49"/>
      <c r="BB13" s="49">
        <f t="shared" si="1"/>
        <v>0</v>
      </c>
      <c r="BC13" s="49"/>
      <c r="BD13" s="49"/>
      <c r="BE13" s="49"/>
      <c r="BF13" s="49"/>
      <c r="BG13" s="49">
        <f t="shared" si="2"/>
        <v>0</v>
      </c>
      <c r="BH13" s="49"/>
      <c r="BI13" s="49"/>
      <c r="BJ13" s="49"/>
      <c r="BK13" s="49"/>
      <c r="BL13" s="49"/>
      <c r="BM13" s="49"/>
      <c r="BN13" s="49"/>
      <c r="BO13" s="49"/>
      <c r="BP13" s="49"/>
      <c r="BQ13" s="49"/>
      <c r="BR13" s="49"/>
      <c r="BS13" s="49"/>
      <c r="BT13" s="49"/>
      <c r="BU13" s="49"/>
      <c r="BV13" s="49"/>
      <c r="BW13" s="49"/>
      <c r="BX13" s="49"/>
      <c r="BY13" s="49"/>
      <c r="BZ13" s="49"/>
      <c r="CA13" s="49"/>
      <c r="CB13" s="49"/>
      <c r="CC13" s="49"/>
      <c r="CD13" s="49"/>
      <c r="CE13" s="37" t="str">
        <f>VLOOKUP(Tableau3[[#This Row],[NumSym]],Tableau_Lancer_la_requête_à_partir_de_Excel_Files3[[ID_Synergie]:[Avis Prog]],44)</f>
        <v>1-Favorable</v>
      </c>
      <c r="CM13" s="37"/>
      <c r="CN13" s="37"/>
      <c r="CO13" s="37"/>
      <c r="CP13" s="37"/>
      <c r="CQ13" s="37"/>
      <c r="CR13" s="37"/>
      <c r="CS13" s="37"/>
      <c r="CT13" s="37"/>
      <c r="CU13" s="37"/>
      <c r="CV13" s="37"/>
      <c r="CW13" s="37"/>
      <c r="CX13" s="37"/>
      <c r="CY13" s="37"/>
      <c r="CZ13" s="37"/>
      <c r="DA13" s="37"/>
      <c r="DB13" s="37"/>
      <c r="DC13" s="37"/>
      <c r="DD13" s="37"/>
      <c r="DE13" s="37"/>
      <c r="DF13" s="37"/>
      <c r="DG13" s="37"/>
      <c r="DH13" s="37"/>
    </row>
    <row r="14" spans="1:112" ht="45" x14ac:dyDescent="0.25">
      <c r="A14" s="43" t="s">
        <v>4</v>
      </c>
      <c r="B14" s="45" t="s">
        <v>286</v>
      </c>
      <c r="C14" s="45" t="s">
        <v>286</v>
      </c>
      <c r="D14" s="46" t="s">
        <v>287</v>
      </c>
      <c r="E14" s="46" t="s">
        <v>288</v>
      </c>
      <c r="F14" s="47">
        <v>200731.84</v>
      </c>
      <c r="G14" s="47"/>
      <c r="H14" s="47">
        <f>IF(Tableau_Lancer_la_requête_à_partir_de_Excel_Files3[[#This Row],[Coût total Eligible FEDER]]="",Tableau_Lancer_la_requête_à_partir_de_Excel_Files3[[#This Row],[Coût total déposé]],Tableau_Lancer_la_requête_à_partir_de_Excel_Files3[[#This Row],[Coût total Eligible FEDER]])</f>
        <v>200731.84</v>
      </c>
      <c r="I14" s="47">
        <f>Tableau_Lancer_la_requête_à_partir_de_Excel_Files3[[#This Row],[Aide Massif Obtenu]]+Tableau_Lancer_la_requête_à_partir_de_Excel_Files3[[#This Row],[''Autre Public'']]</f>
        <v>99789</v>
      </c>
      <c r="J14" s="48">
        <f>Tableau_Lancer_la_requête_à_partir_de_Excel_Files3[[#This Row],[Aide Publique Obtenue]]/Tableau_Lancer_la_requête_à_partir_de_Excel_Files3[[#This Row],[Coût total]]</f>
        <v>0.49712591684508051</v>
      </c>
      <c r="K14" s="47">
        <f>Tableau_Lancer_la_requête_à_partir_de_Excel_Files3[[#This Row],[Etat]]+Tableau_Lancer_la_requête_à_partir_de_Excel_Files3[[#This Row],[Régions]]+Tableau_Lancer_la_requête_à_partir_de_Excel_Files3[[#This Row],[Départements]]+Tableau_Lancer_la_requête_à_partir_de_Excel_Files3[[#This Row],[''FEDER'']]</f>
        <v>99789</v>
      </c>
      <c r="L14" s="48">
        <f>Tableau_Lancer_la_requête_à_partir_de_Excel_Files3[[#This Row],[Aide Massif Obtenu]]/Tableau_Lancer_la_requête_à_partir_de_Excel_Files3[[#This Row],[Coût total]]</f>
        <v>0.49712591684508051</v>
      </c>
      <c r="M14" s="49">
        <f>Tableau_Lancer_la_requête_à_partir_de_Excel_Files3[[#This Row],[''FNADT'']]+Tableau_Lancer_la_requête_à_partir_de_Excel_Files3[[#This Row],[''Agriculture'']]</f>
        <v>51000</v>
      </c>
      <c r="N14" s="47">
        <v>51000</v>
      </c>
      <c r="O14" s="47"/>
      <c r="P14" s="49">
        <f>Tableau_Lancer_la_requête_à_partir_de_Excel_Files3[[#This Row],[''ALPC'']]+Tableau_Lancer_la_requête_à_partir_de_Excel_Files3[[#This Row],[''AURA'']]+Tableau_Lancer_la_requête_à_partir_de_Excel_Files3[[#This Row],[''BFC'']]+Tableau_Lancer_la_requête_à_partir_de_Excel_Files3[[#This Row],[''LRMP'']]</f>
        <v>42500</v>
      </c>
      <c r="Q14" s="47">
        <v>17500</v>
      </c>
      <c r="R14" s="47">
        <v>25000</v>
      </c>
      <c r="S14" s="47"/>
      <c r="T14" s="47"/>
      <c r="U14" s="49">
        <f>Tableau_Lancer_la_requête_à_partir_de_Excel_Files3[[#This Row],[''03'']]+Tableau_Lancer_la_requête_à_partir_de_Excel_Files3[[#This Row],[''07'']]+Tableau_Lancer_la_requête_à_partir_de_Excel_Files3[[#This Row],[''11'']]+Tableau_Lancer_la_requête_à_partir_de_Excel_Files3[[#This Row],[''12'']]+Tableau_Lancer_la_requête_à_partir_de_Excel_Files3[[#This Row],[''15'']]+Tableau_Lancer_la_requête_à_partir_de_Excel_Files3[[#This Row],[''21'']]+Tableau_Lancer_la_requête_à_partir_de_Excel_Files3[[#This Row],[''19'']]+Tableau_Lancer_la_requête_à_partir_de_Excel_Files3[[#This Row],[''23'']]+Tableau_Lancer_la_requête_à_partir_de_Excel_Files3[[#This Row],[''30'']]+Tableau_Lancer_la_requête_à_partir_de_Excel_Files3[[#This Row],[''34'']]+Tableau_Lancer_la_requête_à_partir_de_Excel_Files3[[#This Row],[''42'']]+Tableau_Lancer_la_requête_à_partir_de_Excel_Files3[[#This Row],[''43'']]+Tableau_Lancer_la_requête_à_partir_de_Excel_Files3[[#This Row],[''46'']]+Tableau_Lancer_la_requête_à_partir_de_Excel_Files3[[#This Row],[''48'']]+Tableau_Lancer_la_requête_à_partir_de_Excel_Files3[[#This Row],[''58'']]+Tableau_Lancer_la_requête_à_partir_de_Excel_Files3[[#This Row],[''63'']]+Tableau_Lancer_la_requête_à_partir_de_Excel_Files3[[#This Row],[''69'']]+Tableau_Lancer_la_requête_à_partir_de_Excel_Files3[[#This Row],[''71'']]+Tableau_Lancer_la_requête_à_partir_de_Excel_Files3[[#This Row],[''81'']]+Tableau_Lancer_la_requête_à_partir_de_Excel_Files3[[#This Row],[''82'']]+Tableau_Lancer_la_requête_à_partir_de_Excel_Files3[[#This Row],[''87'']]+Tableau_Lancer_la_requête_à_partir_de_Excel_Files3[[#This Row],[''89'']]</f>
        <v>6289</v>
      </c>
      <c r="V14" s="47"/>
      <c r="W14" s="47">
        <v>6289</v>
      </c>
      <c r="X14" s="47"/>
      <c r="Y14" s="47"/>
      <c r="Z14" s="47"/>
      <c r="AA14" s="47"/>
      <c r="AB14" s="47"/>
      <c r="AC14" s="47"/>
      <c r="AD14" s="47"/>
      <c r="AE14" s="47"/>
      <c r="AF14" s="47"/>
      <c r="AG14" s="47"/>
      <c r="AH14" s="47"/>
      <c r="AI14" s="47"/>
      <c r="AJ14" s="47"/>
      <c r="AK14" s="47"/>
      <c r="AL14" s="47"/>
      <c r="AM14" s="47"/>
      <c r="AN14" s="47"/>
      <c r="AO14" s="47"/>
      <c r="AP14" s="47"/>
      <c r="AQ14" s="47"/>
      <c r="AR14" s="47">
        <v>0</v>
      </c>
      <c r="AS14" s="47">
        <v>0</v>
      </c>
      <c r="AT14" s="47" t="s">
        <v>77</v>
      </c>
      <c r="AU14" s="37"/>
      <c r="AV14" s="55" t="s">
        <v>325</v>
      </c>
      <c r="AW14" s="40" t="s">
        <v>286</v>
      </c>
      <c r="AX14" s="40"/>
      <c r="AY14" s="49">
        <f t="shared" si="0"/>
        <v>0</v>
      </c>
      <c r="AZ14" s="47"/>
      <c r="BA14" s="47"/>
      <c r="BB14" s="49">
        <f t="shared" si="1"/>
        <v>0</v>
      </c>
      <c r="BC14" s="47"/>
      <c r="BD14" s="47"/>
      <c r="BE14" s="47"/>
      <c r="BF14" s="47"/>
      <c r="BG14" s="49">
        <f t="shared" si="2"/>
        <v>0</v>
      </c>
      <c r="BH14" s="47"/>
      <c r="BI14" s="47"/>
      <c r="BJ14" s="47"/>
      <c r="BK14" s="47"/>
      <c r="BL14" s="47"/>
      <c r="BM14" s="47"/>
      <c r="BN14" s="47"/>
      <c r="BO14" s="47"/>
      <c r="BP14" s="47"/>
      <c r="BQ14" s="47"/>
      <c r="BR14" s="47"/>
      <c r="BS14" s="47"/>
      <c r="BT14" s="47"/>
      <c r="BU14" s="47"/>
      <c r="BV14" s="47"/>
      <c r="BW14" s="47"/>
      <c r="BX14" s="47"/>
      <c r="BY14" s="47"/>
      <c r="BZ14" s="47"/>
      <c r="CA14" s="47"/>
      <c r="CB14" s="47"/>
      <c r="CC14" s="47"/>
      <c r="CD14" s="47"/>
      <c r="CE14" s="37" t="e">
        <f>VLOOKUP(Tableau3[[#This Row],[NumSym]],Tableau_Lancer_la_requête_à_partir_de_Excel_Files3[[ID_Synergie]:[Avis Prog]],44)</f>
        <v>#N/A</v>
      </c>
      <c r="CM14" s="37"/>
      <c r="CN14" s="37"/>
      <c r="CO14" s="37"/>
      <c r="CP14" s="37"/>
      <c r="CQ14" s="37"/>
      <c r="CR14" s="37"/>
      <c r="CS14" s="37"/>
      <c r="CT14" s="37"/>
      <c r="CU14" s="37"/>
      <c r="CV14" s="37"/>
      <c r="CW14" s="37"/>
      <c r="CX14" s="37"/>
      <c r="CY14" s="37"/>
      <c r="CZ14" s="37"/>
      <c r="DA14" s="37"/>
      <c r="DB14" s="37"/>
      <c r="DC14" s="37"/>
      <c r="DD14" s="37"/>
      <c r="DE14" s="37"/>
      <c r="DF14" s="37"/>
      <c r="DG14" s="37"/>
      <c r="DH14" s="37"/>
    </row>
    <row r="15" spans="1:112" ht="90" x14ac:dyDescent="0.25">
      <c r="A15" s="43" t="s">
        <v>5</v>
      </c>
      <c r="B15" s="45" t="s">
        <v>296</v>
      </c>
      <c r="C15" s="45" t="s">
        <v>296</v>
      </c>
      <c r="D15" s="46" t="s">
        <v>178</v>
      </c>
      <c r="E15" s="46" t="s">
        <v>297</v>
      </c>
      <c r="F15" s="47">
        <v>199703.22</v>
      </c>
      <c r="G15" s="47">
        <v>178308.45</v>
      </c>
      <c r="H15" s="47">
        <f>IF(Tableau_Lancer_la_requête_à_partir_de_Excel_Files3[[#This Row],[Coût total Eligible FEDER]]="",Tableau_Lancer_la_requête_à_partir_de_Excel_Files3[[#This Row],[Coût total déposé]],Tableau_Lancer_la_requête_à_partir_de_Excel_Files3[[#This Row],[Coût total Eligible FEDER]])</f>
        <v>178308.45</v>
      </c>
      <c r="I15" s="47">
        <f>Tableau_Lancer_la_requête_à_partir_de_Excel_Files3[[#This Row],[Aide Massif Obtenu]]+Tableau_Lancer_la_requête_à_partir_de_Excel_Files3[[#This Row],[''Autre Public'']]</f>
        <v>124815.69</v>
      </c>
      <c r="J15" s="48">
        <f>Tableau_Lancer_la_requête_à_partir_de_Excel_Files3[[#This Row],[Aide Publique Obtenue]]/Tableau_Lancer_la_requête_à_partir_de_Excel_Files3[[#This Row],[Coût total]]</f>
        <v>0.69999873814168645</v>
      </c>
      <c r="K15" s="47">
        <f>Tableau_Lancer_la_requête_à_partir_de_Excel_Files3[[#This Row],[Etat]]+Tableau_Lancer_la_requête_à_partir_de_Excel_Files3[[#This Row],[Régions]]+Tableau_Lancer_la_requête_à_partir_de_Excel_Files3[[#This Row],[Départements]]+Tableau_Lancer_la_requête_à_partir_de_Excel_Files3[[#This Row],[''FEDER'']]</f>
        <v>124815.69</v>
      </c>
      <c r="L15" s="48">
        <f>Tableau_Lancer_la_requête_à_partir_de_Excel_Files3[[#This Row],[Aide Massif Obtenu]]/Tableau_Lancer_la_requête_à_partir_de_Excel_Files3[[#This Row],[Coût total]]</f>
        <v>0.69999873814168645</v>
      </c>
      <c r="M15" s="49">
        <f>Tableau_Lancer_la_requête_à_partir_de_Excel_Files3[[#This Row],[''FNADT'']]+Tableau_Lancer_la_requête_à_partir_de_Excel_Files3[[#This Row],[''Agriculture'']]</f>
        <v>35661.69</v>
      </c>
      <c r="N15" s="47">
        <v>35661.69</v>
      </c>
      <c r="O15" s="47"/>
      <c r="P15" s="49">
        <f>Tableau_Lancer_la_requête_à_partir_de_Excel_Files3[[#This Row],[''ALPC'']]+Tableau_Lancer_la_requête_à_partir_de_Excel_Files3[[#This Row],[''AURA'']]+Tableau_Lancer_la_requête_à_partir_de_Excel_Files3[[#This Row],[''BFC'']]+Tableau_Lancer_la_requête_à_partir_de_Excel_Files3[[#This Row],[''LRMP'']]</f>
        <v>0</v>
      </c>
      <c r="Q15" s="47"/>
      <c r="R15" s="47"/>
      <c r="S15" s="47"/>
      <c r="T15" s="47"/>
      <c r="U15" s="49">
        <f>Tableau_Lancer_la_requête_à_partir_de_Excel_Files3[[#This Row],[''03'']]+Tableau_Lancer_la_requête_à_partir_de_Excel_Files3[[#This Row],[''07'']]+Tableau_Lancer_la_requête_à_partir_de_Excel_Files3[[#This Row],[''11'']]+Tableau_Lancer_la_requête_à_partir_de_Excel_Files3[[#This Row],[''12'']]+Tableau_Lancer_la_requête_à_partir_de_Excel_Files3[[#This Row],[''15'']]+Tableau_Lancer_la_requête_à_partir_de_Excel_Files3[[#This Row],[''21'']]+Tableau_Lancer_la_requête_à_partir_de_Excel_Files3[[#This Row],[''19'']]+Tableau_Lancer_la_requête_à_partir_de_Excel_Files3[[#This Row],[''23'']]+Tableau_Lancer_la_requête_à_partir_de_Excel_Files3[[#This Row],[''30'']]+Tableau_Lancer_la_requête_à_partir_de_Excel_Files3[[#This Row],[''34'']]+Tableau_Lancer_la_requête_à_partir_de_Excel_Files3[[#This Row],[''42'']]+Tableau_Lancer_la_requête_à_partir_de_Excel_Files3[[#This Row],[''43'']]+Tableau_Lancer_la_requête_à_partir_de_Excel_Files3[[#This Row],[''46'']]+Tableau_Lancer_la_requête_à_partir_de_Excel_Files3[[#This Row],[''48'']]+Tableau_Lancer_la_requête_à_partir_de_Excel_Files3[[#This Row],[''58'']]+Tableau_Lancer_la_requête_à_partir_de_Excel_Files3[[#This Row],[''63'']]+Tableau_Lancer_la_requête_à_partir_de_Excel_Files3[[#This Row],[''69'']]+Tableau_Lancer_la_requête_à_partir_de_Excel_Files3[[#This Row],[''71'']]+Tableau_Lancer_la_requête_à_partir_de_Excel_Files3[[#This Row],[''81'']]+Tableau_Lancer_la_requête_à_partir_de_Excel_Files3[[#This Row],[''82'']]+Tableau_Lancer_la_requête_à_partir_de_Excel_Files3[[#This Row],[''87'']]+Tableau_Lancer_la_requête_à_partir_de_Excel_Files3[[#This Row],[''89'']]</f>
        <v>0</v>
      </c>
      <c r="V15" s="47"/>
      <c r="W15" s="47"/>
      <c r="X15" s="47"/>
      <c r="Y15" s="47"/>
      <c r="Z15" s="47"/>
      <c r="AA15" s="47"/>
      <c r="AB15" s="47"/>
      <c r="AC15" s="47"/>
      <c r="AD15" s="47"/>
      <c r="AE15" s="47"/>
      <c r="AF15" s="47"/>
      <c r="AG15" s="47"/>
      <c r="AH15" s="47"/>
      <c r="AI15" s="47"/>
      <c r="AJ15" s="47"/>
      <c r="AK15" s="47"/>
      <c r="AL15" s="47"/>
      <c r="AM15" s="47"/>
      <c r="AN15" s="47"/>
      <c r="AO15" s="47"/>
      <c r="AP15" s="47"/>
      <c r="AQ15" s="47"/>
      <c r="AR15" s="47">
        <v>89154</v>
      </c>
      <c r="AS15" s="47">
        <v>0</v>
      </c>
      <c r="AT15" s="41" t="s">
        <v>77</v>
      </c>
      <c r="AV15" s="64" t="s">
        <v>327</v>
      </c>
      <c r="AW15" s="40" t="s">
        <v>296</v>
      </c>
      <c r="AX15" s="49"/>
      <c r="AY15" s="49">
        <f t="shared" si="0"/>
        <v>0</v>
      </c>
      <c r="BA15" s="49">
        <f t="shared" ref="BA15:BA23" si="3">SUM(BB15:BE15)</f>
        <v>0</v>
      </c>
      <c r="BB15" s="49">
        <f t="shared" si="1"/>
        <v>0</v>
      </c>
      <c r="BF15" s="49">
        <f t="shared" ref="BF15:BF23" si="4">SUM(BG15:CB15)</f>
        <v>0</v>
      </c>
      <c r="BG15" s="49">
        <f t="shared" si="2"/>
        <v>0</v>
      </c>
      <c r="CE15" s="37" t="e">
        <f>VLOOKUP(Tableau3[[#This Row],[NumSym]],Tableau_Lancer_la_requête_à_partir_de_Excel_Files3[[ID_Synergie]:[Avis Prog]],44)</f>
        <v>#N/A</v>
      </c>
      <c r="CM15" s="37"/>
      <c r="CN15" s="37"/>
      <c r="CO15" s="37"/>
      <c r="CP15" s="37"/>
      <c r="CQ15" s="37"/>
      <c r="CR15" s="37"/>
      <c r="CS15" s="37"/>
      <c r="CT15" s="37"/>
      <c r="CU15" s="37"/>
      <c r="CV15" s="37"/>
      <c r="CW15" s="37"/>
      <c r="CX15" s="37"/>
      <c r="CY15" s="37"/>
      <c r="CZ15" s="37"/>
      <c r="DA15" s="37"/>
      <c r="DB15" s="37"/>
      <c r="DC15" s="37"/>
      <c r="DD15" s="37"/>
      <c r="DE15" s="37"/>
      <c r="DF15" s="37"/>
      <c r="DG15" s="37"/>
      <c r="DH15" s="37"/>
    </row>
    <row r="16" spans="1:112" ht="90" x14ac:dyDescent="0.25">
      <c r="A16" s="43" t="s">
        <v>5</v>
      </c>
      <c r="B16" s="45" t="s">
        <v>298</v>
      </c>
      <c r="C16" s="45" t="s">
        <v>298</v>
      </c>
      <c r="D16" s="46" t="s">
        <v>182</v>
      </c>
      <c r="E16" s="46" t="s">
        <v>299</v>
      </c>
      <c r="F16" s="47">
        <v>325860.57928645902</v>
      </c>
      <c r="G16" s="47">
        <v>29951.95</v>
      </c>
      <c r="H16" s="47">
        <f>IF(Tableau_Lancer_la_requête_à_partir_de_Excel_Files3[[#This Row],[Coût total Eligible FEDER]]="",Tableau_Lancer_la_requête_à_partir_de_Excel_Files3[[#This Row],[Coût total déposé]],Tableau_Lancer_la_requête_à_partir_de_Excel_Files3[[#This Row],[Coût total Eligible FEDER]])</f>
        <v>29951.95</v>
      </c>
      <c r="I16" s="47">
        <f>Tableau_Lancer_la_requête_à_partir_de_Excel_Files3[[#This Row],[Aide Massif Obtenu]]+Tableau_Lancer_la_requête_à_partir_de_Excel_Files3[[#This Row],[''Autre Public'']]</f>
        <v>20966.39</v>
      </c>
      <c r="J16" s="48">
        <f>Tableau_Lancer_la_requête_à_partir_de_Excel_Files3[[#This Row],[Aide Publique Obtenue]]/Tableau_Lancer_la_requête_à_partir_de_Excel_Files3[[#This Row],[Coût total]]</f>
        <v>0.70000083467019669</v>
      </c>
      <c r="K16" s="47">
        <f>Tableau_Lancer_la_requête_à_partir_de_Excel_Files3[[#This Row],[Etat]]+Tableau_Lancer_la_requête_à_partir_de_Excel_Files3[[#This Row],[Régions]]+Tableau_Lancer_la_requête_à_partir_de_Excel_Files3[[#This Row],[Départements]]+Tableau_Lancer_la_requête_à_partir_de_Excel_Files3[[#This Row],[''FEDER'']]</f>
        <v>20966.39</v>
      </c>
      <c r="L16" s="48">
        <f>Tableau_Lancer_la_requête_à_partir_de_Excel_Files3[[#This Row],[Aide Massif Obtenu]]/Tableau_Lancer_la_requête_à_partir_de_Excel_Files3[[#This Row],[Coût total]]</f>
        <v>0.70000083467019669</v>
      </c>
      <c r="M16" s="49">
        <f>Tableau_Lancer_la_requête_à_partir_de_Excel_Files3[[#This Row],[''FNADT'']]+Tableau_Lancer_la_requête_à_partir_de_Excel_Files3[[#This Row],[''Agriculture'']]</f>
        <v>5990.39</v>
      </c>
      <c r="N16" s="47">
        <v>5990.39</v>
      </c>
      <c r="O16" s="47"/>
      <c r="P16" s="49">
        <f>Tableau_Lancer_la_requête_à_partir_de_Excel_Files3[[#This Row],[''ALPC'']]+Tableau_Lancer_la_requête_à_partir_de_Excel_Files3[[#This Row],[''AURA'']]+Tableau_Lancer_la_requête_à_partir_de_Excel_Files3[[#This Row],[''BFC'']]+Tableau_Lancer_la_requête_à_partir_de_Excel_Files3[[#This Row],[''LRMP'']]</f>
        <v>0</v>
      </c>
      <c r="Q16" s="47"/>
      <c r="R16" s="47"/>
      <c r="S16" s="47"/>
      <c r="T16" s="47"/>
      <c r="U16" s="49">
        <f>Tableau_Lancer_la_requête_à_partir_de_Excel_Files3[[#This Row],[''03'']]+Tableau_Lancer_la_requête_à_partir_de_Excel_Files3[[#This Row],[''07'']]+Tableau_Lancer_la_requête_à_partir_de_Excel_Files3[[#This Row],[''11'']]+Tableau_Lancer_la_requête_à_partir_de_Excel_Files3[[#This Row],[''12'']]+Tableau_Lancer_la_requête_à_partir_de_Excel_Files3[[#This Row],[''15'']]+Tableau_Lancer_la_requête_à_partir_de_Excel_Files3[[#This Row],[''21'']]+Tableau_Lancer_la_requête_à_partir_de_Excel_Files3[[#This Row],[''19'']]+Tableau_Lancer_la_requête_à_partir_de_Excel_Files3[[#This Row],[''23'']]+Tableau_Lancer_la_requête_à_partir_de_Excel_Files3[[#This Row],[''30'']]+Tableau_Lancer_la_requête_à_partir_de_Excel_Files3[[#This Row],[''34'']]+Tableau_Lancer_la_requête_à_partir_de_Excel_Files3[[#This Row],[''42'']]+Tableau_Lancer_la_requête_à_partir_de_Excel_Files3[[#This Row],[''43'']]+Tableau_Lancer_la_requête_à_partir_de_Excel_Files3[[#This Row],[''46'']]+Tableau_Lancer_la_requête_à_partir_de_Excel_Files3[[#This Row],[''48'']]+Tableau_Lancer_la_requête_à_partir_de_Excel_Files3[[#This Row],[''58'']]+Tableau_Lancer_la_requête_à_partir_de_Excel_Files3[[#This Row],[''63'']]+Tableau_Lancer_la_requête_à_partir_de_Excel_Files3[[#This Row],[''69'']]+Tableau_Lancer_la_requête_à_partir_de_Excel_Files3[[#This Row],[''71'']]+Tableau_Lancer_la_requête_à_partir_de_Excel_Files3[[#This Row],[''81'']]+Tableau_Lancer_la_requête_à_partir_de_Excel_Files3[[#This Row],[''82'']]+Tableau_Lancer_la_requête_à_partir_de_Excel_Files3[[#This Row],[''87'']]+Tableau_Lancer_la_requête_à_partir_de_Excel_Files3[[#This Row],[''89'']]</f>
        <v>0</v>
      </c>
      <c r="V16" s="47"/>
      <c r="W16" s="47"/>
      <c r="X16" s="47"/>
      <c r="Y16" s="47"/>
      <c r="Z16" s="47"/>
      <c r="AA16" s="47"/>
      <c r="AB16" s="47"/>
      <c r="AC16" s="47"/>
      <c r="AD16" s="47"/>
      <c r="AE16" s="47"/>
      <c r="AF16" s="47"/>
      <c r="AG16" s="47"/>
      <c r="AH16" s="47"/>
      <c r="AI16" s="47"/>
      <c r="AJ16" s="47"/>
      <c r="AK16" s="47"/>
      <c r="AL16" s="47"/>
      <c r="AM16" s="47"/>
      <c r="AN16" s="47"/>
      <c r="AO16" s="47"/>
      <c r="AP16" s="47"/>
      <c r="AQ16" s="47"/>
      <c r="AR16" s="47">
        <v>14976</v>
      </c>
      <c r="AS16" s="47">
        <v>0</v>
      </c>
      <c r="AT16" s="41" t="s">
        <v>77</v>
      </c>
      <c r="AV16" s="55" t="s">
        <v>327</v>
      </c>
      <c r="AW16" s="40" t="s">
        <v>298</v>
      </c>
      <c r="AX16" s="49"/>
      <c r="AY16" s="49">
        <f t="shared" si="0"/>
        <v>0</v>
      </c>
      <c r="BA16" s="49">
        <f t="shared" si="3"/>
        <v>0</v>
      </c>
      <c r="BB16" s="49">
        <f t="shared" si="1"/>
        <v>0</v>
      </c>
      <c r="BF16" s="49">
        <f t="shared" si="4"/>
        <v>0</v>
      </c>
      <c r="BG16" s="49">
        <f t="shared" si="2"/>
        <v>0</v>
      </c>
      <c r="CE16" s="37" t="e">
        <f>VLOOKUP(Tableau3[[#This Row],[NumSym]],Tableau_Lancer_la_requête_à_partir_de_Excel_Files3[[ID_Synergie]:[Avis Prog]],44)</f>
        <v>#N/A</v>
      </c>
      <c r="CM16" s="37"/>
      <c r="CN16" s="37"/>
      <c r="CO16" s="37"/>
      <c r="CP16" s="37"/>
      <c r="CQ16" s="37"/>
      <c r="CR16" s="37"/>
      <c r="CS16" s="37"/>
      <c r="CT16" s="37"/>
      <c r="CU16" s="37"/>
      <c r="CV16" s="37"/>
      <c r="CW16" s="37"/>
      <c r="CX16" s="37"/>
      <c r="CY16" s="37"/>
      <c r="CZ16" s="37"/>
      <c r="DA16" s="37"/>
      <c r="DB16" s="37"/>
      <c r="DC16" s="37"/>
      <c r="DD16" s="37"/>
      <c r="DE16" s="37"/>
      <c r="DF16" s="37"/>
      <c r="DG16" s="37"/>
      <c r="DH16" s="37"/>
    </row>
    <row r="17" spans="1:112" ht="180" x14ac:dyDescent="0.25">
      <c r="A17" s="43" t="s">
        <v>5</v>
      </c>
      <c r="B17" s="45" t="s">
        <v>300</v>
      </c>
      <c r="C17" s="45" t="s">
        <v>300</v>
      </c>
      <c r="D17" s="46" t="s">
        <v>301</v>
      </c>
      <c r="E17" s="46" t="s">
        <v>299</v>
      </c>
      <c r="F17" s="47">
        <v>136518.49699999997</v>
      </c>
      <c r="G17" s="47">
        <v>143108.35</v>
      </c>
      <c r="H17" s="47">
        <f>IF(Tableau_Lancer_la_requête_à_partir_de_Excel_Files3[[#This Row],[Coût total Eligible FEDER]]="",Tableau_Lancer_la_requête_à_partir_de_Excel_Files3[[#This Row],[Coût total déposé]],Tableau_Lancer_la_requête_à_partir_de_Excel_Files3[[#This Row],[Coût total Eligible FEDER]])</f>
        <v>143108.35</v>
      </c>
      <c r="I17" s="47">
        <f>Tableau_Lancer_la_requête_à_partir_de_Excel_Files3[[#This Row],[Aide Massif Obtenu]]+Tableau_Lancer_la_requête_à_partir_de_Excel_Files3[[#This Row],[''Autre Public'']]</f>
        <v>100175.67</v>
      </c>
      <c r="J17" s="48">
        <f>Tableau_Lancer_la_requête_à_partir_de_Excel_Files3[[#This Row],[Aide Publique Obtenue]]/Tableau_Lancer_la_requête_à_partir_de_Excel_Files3[[#This Row],[Coût total]]</f>
        <v>0.69999877715032</v>
      </c>
      <c r="K17" s="47">
        <f>Tableau_Lancer_la_requête_à_partir_de_Excel_Files3[[#This Row],[Etat]]+Tableau_Lancer_la_requête_à_partir_de_Excel_Files3[[#This Row],[Régions]]+Tableau_Lancer_la_requête_à_partir_de_Excel_Files3[[#This Row],[Départements]]+Tableau_Lancer_la_requête_à_partir_de_Excel_Files3[[#This Row],[''FEDER'']]</f>
        <v>100175.67</v>
      </c>
      <c r="L17" s="48">
        <f>Tableau_Lancer_la_requête_à_partir_de_Excel_Files3[[#This Row],[Aide Massif Obtenu]]/Tableau_Lancer_la_requête_à_partir_de_Excel_Files3[[#This Row],[Coût total]]</f>
        <v>0.69999877715032</v>
      </c>
      <c r="M17" s="49">
        <f>Tableau_Lancer_la_requête_à_partir_de_Excel_Files3[[#This Row],[''FNADT'']]+Tableau_Lancer_la_requête_à_partir_de_Excel_Files3[[#This Row],[''Agriculture'']]</f>
        <v>28621.67</v>
      </c>
      <c r="N17" s="47">
        <v>28621.67</v>
      </c>
      <c r="O17" s="47"/>
      <c r="P17" s="49">
        <f>Tableau_Lancer_la_requête_à_partir_de_Excel_Files3[[#This Row],[''ALPC'']]+Tableau_Lancer_la_requête_à_partir_de_Excel_Files3[[#This Row],[''AURA'']]+Tableau_Lancer_la_requête_à_partir_de_Excel_Files3[[#This Row],[''BFC'']]+Tableau_Lancer_la_requête_à_partir_de_Excel_Files3[[#This Row],[''LRMP'']]</f>
        <v>0</v>
      </c>
      <c r="Q17" s="47"/>
      <c r="R17" s="47"/>
      <c r="S17" s="47"/>
      <c r="T17" s="47"/>
      <c r="U17" s="49">
        <f>Tableau_Lancer_la_requête_à_partir_de_Excel_Files3[[#This Row],[''03'']]+Tableau_Lancer_la_requête_à_partir_de_Excel_Files3[[#This Row],[''07'']]+Tableau_Lancer_la_requête_à_partir_de_Excel_Files3[[#This Row],[''11'']]+Tableau_Lancer_la_requête_à_partir_de_Excel_Files3[[#This Row],[''12'']]+Tableau_Lancer_la_requête_à_partir_de_Excel_Files3[[#This Row],[''15'']]+Tableau_Lancer_la_requête_à_partir_de_Excel_Files3[[#This Row],[''21'']]+Tableau_Lancer_la_requête_à_partir_de_Excel_Files3[[#This Row],[''19'']]+Tableau_Lancer_la_requête_à_partir_de_Excel_Files3[[#This Row],[''23'']]+Tableau_Lancer_la_requête_à_partir_de_Excel_Files3[[#This Row],[''30'']]+Tableau_Lancer_la_requête_à_partir_de_Excel_Files3[[#This Row],[''34'']]+Tableau_Lancer_la_requête_à_partir_de_Excel_Files3[[#This Row],[''42'']]+Tableau_Lancer_la_requête_à_partir_de_Excel_Files3[[#This Row],[''43'']]+Tableau_Lancer_la_requête_à_partir_de_Excel_Files3[[#This Row],[''46'']]+Tableau_Lancer_la_requête_à_partir_de_Excel_Files3[[#This Row],[''48'']]+Tableau_Lancer_la_requête_à_partir_de_Excel_Files3[[#This Row],[''58'']]+Tableau_Lancer_la_requête_à_partir_de_Excel_Files3[[#This Row],[''63'']]+Tableau_Lancer_la_requête_à_partir_de_Excel_Files3[[#This Row],[''69'']]+Tableau_Lancer_la_requête_à_partir_de_Excel_Files3[[#This Row],[''71'']]+Tableau_Lancer_la_requête_à_partir_de_Excel_Files3[[#This Row],[''81'']]+Tableau_Lancer_la_requête_à_partir_de_Excel_Files3[[#This Row],[''82'']]+Tableau_Lancer_la_requête_à_partir_de_Excel_Files3[[#This Row],[''87'']]+Tableau_Lancer_la_requête_à_partir_de_Excel_Files3[[#This Row],[''89'']]</f>
        <v>0</v>
      </c>
      <c r="V17" s="47"/>
      <c r="W17" s="47"/>
      <c r="X17" s="47"/>
      <c r="Y17" s="47"/>
      <c r="Z17" s="47"/>
      <c r="AA17" s="47"/>
      <c r="AB17" s="47"/>
      <c r="AC17" s="47"/>
      <c r="AD17" s="47"/>
      <c r="AE17" s="47"/>
      <c r="AF17" s="47"/>
      <c r="AG17" s="47"/>
      <c r="AH17" s="47"/>
      <c r="AI17" s="47"/>
      <c r="AJ17" s="47"/>
      <c r="AK17" s="47"/>
      <c r="AL17" s="47"/>
      <c r="AM17" s="47"/>
      <c r="AN17" s="47"/>
      <c r="AO17" s="47"/>
      <c r="AP17" s="47"/>
      <c r="AQ17" s="47"/>
      <c r="AR17" s="47">
        <v>71554</v>
      </c>
      <c r="AS17" s="47">
        <v>0</v>
      </c>
      <c r="AT17" s="41" t="s">
        <v>77</v>
      </c>
      <c r="AV17" s="64" t="s">
        <v>356</v>
      </c>
      <c r="AW17" s="40" t="s">
        <v>300</v>
      </c>
      <c r="AX17" s="49"/>
      <c r="AY17" s="49">
        <f t="shared" si="0"/>
        <v>0</v>
      </c>
      <c r="BA17" s="49">
        <f t="shared" si="3"/>
        <v>0</v>
      </c>
      <c r="BB17" s="49">
        <f t="shared" si="1"/>
        <v>0</v>
      </c>
      <c r="BF17" s="49">
        <f t="shared" si="4"/>
        <v>0</v>
      </c>
      <c r="BG17" s="49">
        <f t="shared" si="2"/>
        <v>0</v>
      </c>
      <c r="CE17" s="37" t="e">
        <f>VLOOKUP(Tableau3[[#This Row],[NumSym]],Tableau_Lancer_la_requête_à_partir_de_Excel_Files3[[ID_Synergie]:[Avis Prog]],44)</f>
        <v>#N/A</v>
      </c>
      <c r="CM17" s="37"/>
      <c r="CN17" s="37"/>
      <c r="CO17" s="37"/>
      <c r="CP17" s="37"/>
      <c r="CQ17" s="37"/>
      <c r="CR17" s="37"/>
      <c r="CS17" s="37"/>
      <c r="CT17" s="37"/>
      <c r="CU17" s="37"/>
      <c r="CV17" s="37"/>
      <c r="CW17" s="37"/>
      <c r="CX17" s="37"/>
      <c r="CY17" s="37"/>
      <c r="CZ17" s="37"/>
      <c r="DA17" s="37"/>
      <c r="DB17" s="37"/>
      <c r="DC17" s="37"/>
      <c r="DD17" s="37"/>
      <c r="DE17" s="37"/>
      <c r="DF17" s="37"/>
      <c r="DG17" s="37"/>
      <c r="DH17" s="37"/>
    </row>
    <row r="18" spans="1:112" ht="180" x14ac:dyDescent="0.25">
      <c r="A18" s="43" t="s">
        <v>5</v>
      </c>
      <c r="B18" s="45" t="s">
        <v>302</v>
      </c>
      <c r="C18" s="45" t="s">
        <v>302</v>
      </c>
      <c r="D18" s="46" t="s">
        <v>303</v>
      </c>
      <c r="E18" s="46" t="s">
        <v>299</v>
      </c>
      <c r="F18" s="47">
        <v>500093.6</v>
      </c>
      <c r="G18" s="47">
        <v>500093.6</v>
      </c>
      <c r="H18" s="47">
        <f>IF(Tableau_Lancer_la_requête_à_partir_de_Excel_Files3[[#This Row],[Coût total Eligible FEDER]]="",Tableau_Lancer_la_requête_à_partir_de_Excel_Files3[[#This Row],[Coût total déposé]],Tableau_Lancer_la_requête_à_partir_de_Excel_Files3[[#This Row],[Coût total Eligible FEDER]])</f>
        <v>500093.6</v>
      </c>
      <c r="I18" s="47">
        <f>Tableau_Lancer_la_requête_à_partir_de_Excel_Files3[[#This Row],[Aide Massif Obtenu]]+Tableau_Lancer_la_requête_à_partir_de_Excel_Files3[[#This Row],[''Autre Public'']]</f>
        <v>350065.72</v>
      </c>
      <c r="J18" s="48">
        <f>Tableau_Lancer_la_requête_à_partir_de_Excel_Files3[[#This Row],[Aide Publique Obtenue]]/Tableau_Lancer_la_requête_à_partir_de_Excel_Files3[[#This Row],[Coût total]]</f>
        <v>0.70000039992513396</v>
      </c>
      <c r="K18" s="47">
        <f>Tableau_Lancer_la_requête_à_partir_de_Excel_Files3[[#This Row],[Etat]]+Tableau_Lancer_la_requête_à_partir_de_Excel_Files3[[#This Row],[Régions]]+Tableau_Lancer_la_requête_à_partir_de_Excel_Files3[[#This Row],[Départements]]+Tableau_Lancer_la_requête_à_partir_de_Excel_Files3[[#This Row],[''FEDER'']]</f>
        <v>350065.72</v>
      </c>
      <c r="L18" s="48">
        <f>Tableau_Lancer_la_requête_à_partir_de_Excel_Files3[[#This Row],[Aide Massif Obtenu]]/Tableau_Lancer_la_requête_à_partir_de_Excel_Files3[[#This Row],[Coût total]]</f>
        <v>0.70000039992513396</v>
      </c>
      <c r="M18" s="49">
        <f>Tableau_Lancer_la_requête_à_partir_de_Excel_Files3[[#This Row],[''FNADT'']]+Tableau_Lancer_la_requête_à_partir_de_Excel_Files3[[#This Row],[''Agriculture'']]</f>
        <v>100018.72</v>
      </c>
      <c r="N18" s="47">
        <v>100018.72</v>
      </c>
      <c r="O18" s="47"/>
      <c r="P18" s="49">
        <f>Tableau_Lancer_la_requête_à_partir_de_Excel_Files3[[#This Row],[''ALPC'']]+Tableau_Lancer_la_requête_à_partir_de_Excel_Files3[[#This Row],[''AURA'']]+Tableau_Lancer_la_requête_à_partir_de_Excel_Files3[[#This Row],[''BFC'']]+Tableau_Lancer_la_requête_à_partir_de_Excel_Files3[[#This Row],[''LRMP'']]</f>
        <v>0</v>
      </c>
      <c r="Q18" s="47"/>
      <c r="R18" s="47"/>
      <c r="S18" s="47"/>
      <c r="T18" s="47"/>
      <c r="U18" s="49">
        <f>Tableau_Lancer_la_requête_à_partir_de_Excel_Files3[[#This Row],[''03'']]+Tableau_Lancer_la_requête_à_partir_de_Excel_Files3[[#This Row],[''07'']]+Tableau_Lancer_la_requête_à_partir_de_Excel_Files3[[#This Row],[''11'']]+Tableau_Lancer_la_requête_à_partir_de_Excel_Files3[[#This Row],[''12'']]+Tableau_Lancer_la_requête_à_partir_de_Excel_Files3[[#This Row],[''15'']]+Tableau_Lancer_la_requête_à_partir_de_Excel_Files3[[#This Row],[''21'']]+Tableau_Lancer_la_requête_à_partir_de_Excel_Files3[[#This Row],[''19'']]+Tableau_Lancer_la_requête_à_partir_de_Excel_Files3[[#This Row],[''23'']]+Tableau_Lancer_la_requête_à_partir_de_Excel_Files3[[#This Row],[''30'']]+Tableau_Lancer_la_requête_à_partir_de_Excel_Files3[[#This Row],[''34'']]+Tableau_Lancer_la_requête_à_partir_de_Excel_Files3[[#This Row],[''42'']]+Tableau_Lancer_la_requête_à_partir_de_Excel_Files3[[#This Row],[''43'']]+Tableau_Lancer_la_requête_à_partir_de_Excel_Files3[[#This Row],[''46'']]+Tableau_Lancer_la_requête_à_partir_de_Excel_Files3[[#This Row],[''48'']]+Tableau_Lancer_la_requête_à_partir_de_Excel_Files3[[#This Row],[''58'']]+Tableau_Lancer_la_requête_à_partir_de_Excel_Files3[[#This Row],[''63'']]+Tableau_Lancer_la_requête_à_partir_de_Excel_Files3[[#This Row],[''69'']]+Tableau_Lancer_la_requête_à_partir_de_Excel_Files3[[#This Row],[''71'']]+Tableau_Lancer_la_requête_à_partir_de_Excel_Files3[[#This Row],[''81'']]+Tableau_Lancer_la_requête_à_partir_de_Excel_Files3[[#This Row],[''82'']]+Tableau_Lancer_la_requête_à_partir_de_Excel_Files3[[#This Row],[''87'']]+Tableau_Lancer_la_requête_à_partir_de_Excel_Files3[[#This Row],[''89'']]</f>
        <v>0</v>
      </c>
      <c r="V18" s="47"/>
      <c r="W18" s="47"/>
      <c r="X18" s="47"/>
      <c r="Y18" s="47"/>
      <c r="Z18" s="47"/>
      <c r="AA18" s="47"/>
      <c r="AB18" s="47"/>
      <c r="AC18" s="47"/>
      <c r="AD18" s="47"/>
      <c r="AE18" s="47"/>
      <c r="AF18" s="47"/>
      <c r="AG18" s="47"/>
      <c r="AH18" s="47"/>
      <c r="AI18" s="47"/>
      <c r="AJ18" s="47"/>
      <c r="AK18" s="47"/>
      <c r="AL18" s="47"/>
      <c r="AM18" s="47"/>
      <c r="AN18" s="47"/>
      <c r="AO18" s="47"/>
      <c r="AP18" s="47"/>
      <c r="AQ18" s="47"/>
      <c r="AR18" s="47">
        <v>250047</v>
      </c>
      <c r="AS18" s="47">
        <v>0</v>
      </c>
      <c r="AT18" s="41" t="s">
        <v>77</v>
      </c>
      <c r="AV18" s="55" t="s">
        <v>356</v>
      </c>
      <c r="AW18" s="40" t="s">
        <v>302</v>
      </c>
      <c r="AX18" s="49"/>
      <c r="AY18" s="49">
        <f t="shared" si="0"/>
        <v>0</v>
      </c>
      <c r="BA18" s="49">
        <f t="shared" si="3"/>
        <v>0</v>
      </c>
      <c r="BB18" s="49">
        <f t="shared" si="1"/>
        <v>0</v>
      </c>
      <c r="BF18" s="49">
        <f t="shared" si="4"/>
        <v>0</v>
      </c>
      <c r="BG18" s="49">
        <f t="shared" si="2"/>
        <v>0</v>
      </c>
      <c r="CE18" s="37" t="e">
        <f>VLOOKUP(Tableau3[[#This Row],[NumSym]],Tableau_Lancer_la_requête_à_partir_de_Excel_Files3[[ID_Synergie]:[Avis Prog]],44)</f>
        <v>#N/A</v>
      </c>
      <c r="CM18" s="37"/>
      <c r="CN18" s="37"/>
      <c r="CO18" s="37"/>
      <c r="CP18" s="37"/>
      <c r="CQ18" s="37"/>
      <c r="CR18" s="37"/>
      <c r="CS18" s="37"/>
      <c r="CT18" s="37"/>
      <c r="CU18" s="37"/>
      <c r="CV18" s="37"/>
      <c r="CW18" s="37"/>
      <c r="CX18" s="37"/>
      <c r="CY18" s="37"/>
      <c r="CZ18" s="37"/>
      <c r="DA18" s="37"/>
      <c r="DB18" s="37"/>
      <c r="DC18" s="37"/>
      <c r="DD18" s="37"/>
      <c r="DE18" s="37"/>
      <c r="DF18" s="37"/>
      <c r="DG18" s="37"/>
      <c r="DH18" s="37"/>
    </row>
    <row r="19" spans="1:112" ht="90" x14ac:dyDescent="0.25">
      <c r="A19" s="43" t="s">
        <v>5</v>
      </c>
      <c r="B19" s="45" t="s">
        <v>304</v>
      </c>
      <c r="C19" s="45" t="s">
        <v>304</v>
      </c>
      <c r="D19" s="46" t="s">
        <v>305</v>
      </c>
      <c r="E19" s="46" t="s">
        <v>299</v>
      </c>
      <c r="F19" s="47">
        <v>192427.82</v>
      </c>
      <c r="G19" s="47">
        <v>172475.92</v>
      </c>
      <c r="H19" s="47">
        <f>IF(Tableau_Lancer_la_requête_à_partir_de_Excel_Files3[[#This Row],[Coût total Eligible FEDER]]="",Tableau_Lancer_la_requête_à_partir_de_Excel_Files3[[#This Row],[Coût total déposé]],Tableau_Lancer_la_requête_à_partir_de_Excel_Files3[[#This Row],[Coût total Eligible FEDER]])</f>
        <v>172475.92</v>
      </c>
      <c r="I19" s="47">
        <f>Tableau_Lancer_la_requête_à_partir_de_Excel_Files3[[#This Row],[Aide Massif Obtenu]]+Tableau_Lancer_la_requête_à_partir_de_Excel_Files3[[#This Row],[''Autre Public'']]</f>
        <v>120733.18</v>
      </c>
      <c r="J19" s="48">
        <f>Tableau_Lancer_la_requête_à_partir_de_Excel_Files3[[#This Row],[Aide Publique Obtenue]]/Tableau_Lancer_la_requête_à_partir_de_Excel_Files3[[#This Row],[Coût total]]</f>
        <v>0.70000020872478885</v>
      </c>
      <c r="K19" s="47">
        <f>Tableau_Lancer_la_requête_à_partir_de_Excel_Files3[[#This Row],[Etat]]+Tableau_Lancer_la_requête_à_partir_de_Excel_Files3[[#This Row],[Régions]]+Tableau_Lancer_la_requête_à_partir_de_Excel_Files3[[#This Row],[Départements]]+Tableau_Lancer_la_requête_à_partir_de_Excel_Files3[[#This Row],[''FEDER'']]</f>
        <v>120733.18</v>
      </c>
      <c r="L19" s="48">
        <f>Tableau_Lancer_la_requête_à_partir_de_Excel_Files3[[#This Row],[Aide Massif Obtenu]]/Tableau_Lancer_la_requête_à_partir_de_Excel_Files3[[#This Row],[Coût total]]</f>
        <v>0.70000020872478885</v>
      </c>
      <c r="M19" s="49">
        <f>Tableau_Lancer_la_requête_à_partir_de_Excel_Files3[[#This Row],[''FNADT'']]+Tableau_Lancer_la_requête_à_partir_de_Excel_Files3[[#This Row],[''Agriculture'']]</f>
        <v>34495.18</v>
      </c>
      <c r="N19" s="47">
        <v>34495.18</v>
      </c>
      <c r="O19" s="47"/>
      <c r="P19" s="49">
        <f>Tableau_Lancer_la_requête_à_partir_de_Excel_Files3[[#This Row],[''ALPC'']]+Tableau_Lancer_la_requête_à_partir_de_Excel_Files3[[#This Row],[''AURA'']]+Tableau_Lancer_la_requête_à_partir_de_Excel_Files3[[#This Row],[''BFC'']]+Tableau_Lancer_la_requête_à_partir_de_Excel_Files3[[#This Row],[''LRMP'']]</f>
        <v>0</v>
      </c>
      <c r="Q19" s="47"/>
      <c r="R19" s="47"/>
      <c r="S19" s="47"/>
      <c r="T19" s="47"/>
      <c r="U19" s="49">
        <f>Tableau_Lancer_la_requête_à_partir_de_Excel_Files3[[#This Row],[''03'']]+Tableau_Lancer_la_requête_à_partir_de_Excel_Files3[[#This Row],[''07'']]+Tableau_Lancer_la_requête_à_partir_de_Excel_Files3[[#This Row],[''11'']]+Tableau_Lancer_la_requête_à_partir_de_Excel_Files3[[#This Row],[''12'']]+Tableau_Lancer_la_requête_à_partir_de_Excel_Files3[[#This Row],[''15'']]+Tableau_Lancer_la_requête_à_partir_de_Excel_Files3[[#This Row],[''21'']]+Tableau_Lancer_la_requête_à_partir_de_Excel_Files3[[#This Row],[''19'']]+Tableau_Lancer_la_requête_à_partir_de_Excel_Files3[[#This Row],[''23'']]+Tableau_Lancer_la_requête_à_partir_de_Excel_Files3[[#This Row],[''30'']]+Tableau_Lancer_la_requête_à_partir_de_Excel_Files3[[#This Row],[''34'']]+Tableau_Lancer_la_requête_à_partir_de_Excel_Files3[[#This Row],[''42'']]+Tableau_Lancer_la_requête_à_partir_de_Excel_Files3[[#This Row],[''43'']]+Tableau_Lancer_la_requête_à_partir_de_Excel_Files3[[#This Row],[''46'']]+Tableau_Lancer_la_requête_à_partir_de_Excel_Files3[[#This Row],[''48'']]+Tableau_Lancer_la_requête_à_partir_de_Excel_Files3[[#This Row],[''58'']]+Tableau_Lancer_la_requête_à_partir_de_Excel_Files3[[#This Row],[''63'']]+Tableau_Lancer_la_requête_à_partir_de_Excel_Files3[[#This Row],[''69'']]+Tableau_Lancer_la_requête_à_partir_de_Excel_Files3[[#This Row],[''71'']]+Tableau_Lancer_la_requête_à_partir_de_Excel_Files3[[#This Row],[''81'']]+Tableau_Lancer_la_requête_à_partir_de_Excel_Files3[[#This Row],[''82'']]+Tableau_Lancer_la_requête_à_partir_de_Excel_Files3[[#This Row],[''87'']]+Tableau_Lancer_la_requête_à_partir_de_Excel_Files3[[#This Row],[''89'']]</f>
        <v>0</v>
      </c>
      <c r="V19" s="47"/>
      <c r="W19" s="47"/>
      <c r="X19" s="47"/>
      <c r="Y19" s="47"/>
      <c r="Z19" s="47"/>
      <c r="AA19" s="47"/>
      <c r="AB19" s="47"/>
      <c r="AC19" s="47"/>
      <c r="AD19" s="47"/>
      <c r="AE19" s="47"/>
      <c r="AF19" s="47"/>
      <c r="AG19" s="47"/>
      <c r="AH19" s="47"/>
      <c r="AI19" s="47"/>
      <c r="AJ19" s="47"/>
      <c r="AK19" s="47"/>
      <c r="AL19" s="47"/>
      <c r="AM19" s="47"/>
      <c r="AN19" s="47"/>
      <c r="AO19" s="47"/>
      <c r="AP19" s="47"/>
      <c r="AQ19" s="47"/>
      <c r="AR19" s="47">
        <v>86238</v>
      </c>
      <c r="AS19" s="47">
        <v>0</v>
      </c>
      <c r="AT19" s="41" t="s">
        <v>77</v>
      </c>
      <c r="AV19" s="64" t="s">
        <v>327</v>
      </c>
      <c r="AW19" s="40" t="s">
        <v>304</v>
      </c>
      <c r="AX19" s="49"/>
      <c r="AY19" s="49">
        <f t="shared" si="0"/>
        <v>0</v>
      </c>
      <c r="BA19" s="49">
        <f t="shared" si="3"/>
        <v>0</v>
      </c>
      <c r="BB19" s="49">
        <f t="shared" si="1"/>
        <v>0</v>
      </c>
      <c r="BF19" s="49">
        <f t="shared" si="4"/>
        <v>0</v>
      </c>
      <c r="BG19" s="49">
        <f t="shared" si="2"/>
        <v>0</v>
      </c>
      <c r="CE19" s="37" t="e">
        <f>VLOOKUP(Tableau3[[#This Row],[NumSym]],Tableau_Lancer_la_requête_à_partir_de_Excel_Files3[[ID_Synergie]:[Avis Prog]],44)</f>
        <v>#N/A</v>
      </c>
      <c r="CM19" s="37"/>
      <c r="CN19" s="37"/>
      <c r="CO19" s="37"/>
      <c r="CP19" s="37"/>
      <c r="CQ19" s="37"/>
      <c r="CR19" s="37"/>
      <c r="CS19" s="37"/>
      <c r="CT19" s="37"/>
      <c r="CU19" s="37"/>
      <c r="CV19" s="37"/>
      <c r="CW19" s="37"/>
      <c r="CX19" s="37"/>
      <c r="CY19" s="37"/>
      <c r="CZ19" s="37"/>
      <c r="DA19" s="37"/>
      <c r="DB19" s="37"/>
      <c r="DC19" s="37"/>
      <c r="DD19" s="37"/>
      <c r="DE19" s="37"/>
      <c r="DF19" s="37"/>
      <c r="DG19" s="37"/>
      <c r="DH19" s="37"/>
    </row>
    <row r="20" spans="1:112" ht="90" x14ac:dyDescent="0.25">
      <c r="A20" s="43" t="s">
        <v>5</v>
      </c>
      <c r="B20" s="45" t="s">
        <v>306</v>
      </c>
      <c r="C20" s="45" t="s">
        <v>306</v>
      </c>
      <c r="D20" s="46" t="s">
        <v>307</v>
      </c>
      <c r="E20" s="46" t="s">
        <v>299</v>
      </c>
      <c r="F20" s="47">
        <v>186336.74</v>
      </c>
      <c r="G20" s="47">
        <v>183186.38</v>
      </c>
      <c r="H20" s="47">
        <f>IF(Tableau_Lancer_la_requête_à_partir_de_Excel_Files3[[#This Row],[Coût total Eligible FEDER]]="",Tableau_Lancer_la_requête_à_partir_de_Excel_Files3[[#This Row],[Coût total déposé]],Tableau_Lancer_la_requête_à_partir_de_Excel_Files3[[#This Row],[Coût total Eligible FEDER]])</f>
        <v>183186.38</v>
      </c>
      <c r="I20" s="47">
        <f>Tableau_Lancer_la_requête_à_partir_de_Excel_Files3[[#This Row],[Aide Massif Obtenu]]+Tableau_Lancer_la_requête_à_partir_de_Excel_Files3[[#This Row],[''Autre Public'']]</f>
        <v>128230.28</v>
      </c>
      <c r="J20" s="48">
        <f>Tableau_Lancer_la_requête_à_partir_de_Excel_Files3[[#This Row],[Aide Publique Obtenue]]/Tableau_Lancer_la_requête_à_partir_de_Excel_Files3[[#This Row],[Coût total]]</f>
        <v>0.69999898464067034</v>
      </c>
      <c r="K20" s="47">
        <f>Tableau_Lancer_la_requête_à_partir_de_Excel_Files3[[#This Row],[Etat]]+Tableau_Lancer_la_requête_à_partir_de_Excel_Files3[[#This Row],[Régions]]+Tableau_Lancer_la_requête_à_partir_de_Excel_Files3[[#This Row],[Départements]]+Tableau_Lancer_la_requête_à_partir_de_Excel_Files3[[#This Row],[''FEDER'']]</f>
        <v>128230.28</v>
      </c>
      <c r="L20" s="48">
        <f>Tableau_Lancer_la_requête_à_partir_de_Excel_Files3[[#This Row],[Aide Massif Obtenu]]/Tableau_Lancer_la_requête_à_partir_de_Excel_Files3[[#This Row],[Coût total]]</f>
        <v>0.69999898464067034</v>
      </c>
      <c r="M20" s="49">
        <f>Tableau_Lancer_la_requête_à_partir_de_Excel_Files3[[#This Row],[''FNADT'']]+Tableau_Lancer_la_requête_à_partir_de_Excel_Files3[[#This Row],[''Agriculture'']]</f>
        <v>36637.279999999999</v>
      </c>
      <c r="N20" s="47">
        <v>36637.279999999999</v>
      </c>
      <c r="O20" s="47"/>
      <c r="P20" s="49">
        <f>Tableau_Lancer_la_requête_à_partir_de_Excel_Files3[[#This Row],[''ALPC'']]+Tableau_Lancer_la_requête_à_partir_de_Excel_Files3[[#This Row],[''AURA'']]+Tableau_Lancer_la_requête_à_partir_de_Excel_Files3[[#This Row],[''BFC'']]+Tableau_Lancer_la_requête_à_partir_de_Excel_Files3[[#This Row],[''LRMP'']]</f>
        <v>0</v>
      </c>
      <c r="Q20" s="47"/>
      <c r="R20" s="47"/>
      <c r="S20" s="47"/>
      <c r="T20" s="47"/>
      <c r="U20" s="49">
        <f>Tableau_Lancer_la_requête_à_partir_de_Excel_Files3[[#This Row],[''03'']]+Tableau_Lancer_la_requête_à_partir_de_Excel_Files3[[#This Row],[''07'']]+Tableau_Lancer_la_requête_à_partir_de_Excel_Files3[[#This Row],[''11'']]+Tableau_Lancer_la_requête_à_partir_de_Excel_Files3[[#This Row],[''12'']]+Tableau_Lancer_la_requête_à_partir_de_Excel_Files3[[#This Row],[''15'']]+Tableau_Lancer_la_requête_à_partir_de_Excel_Files3[[#This Row],[''21'']]+Tableau_Lancer_la_requête_à_partir_de_Excel_Files3[[#This Row],[''19'']]+Tableau_Lancer_la_requête_à_partir_de_Excel_Files3[[#This Row],[''23'']]+Tableau_Lancer_la_requête_à_partir_de_Excel_Files3[[#This Row],[''30'']]+Tableau_Lancer_la_requête_à_partir_de_Excel_Files3[[#This Row],[''34'']]+Tableau_Lancer_la_requête_à_partir_de_Excel_Files3[[#This Row],[''42'']]+Tableau_Lancer_la_requête_à_partir_de_Excel_Files3[[#This Row],[''43'']]+Tableau_Lancer_la_requête_à_partir_de_Excel_Files3[[#This Row],[''46'']]+Tableau_Lancer_la_requête_à_partir_de_Excel_Files3[[#This Row],[''48'']]+Tableau_Lancer_la_requête_à_partir_de_Excel_Files3[[#This Row],[''58'']]+Tableau_Lancer_la_requête_à_partir_de_Excel_Files3[[#This Row],[''63'']]+Tableau_Lancer_la_requête_à_partir_de_Excel_Files3[[#This Row],[''69'']]+Tableau_Lancer_la_requête_à_partir_de_Excel_Files3[[#This Row],[''71'']]+Tableau_Lancer_la_requête_à_partir_de_Excel_Files3[[#This Row],[''81'']]+Tableau_Lancer_la_requête_à_partir_de_Excel_Files3[[#This Row],[''82'']]+Tableau_Lancer_la_requête_à_partir_de_Excel_Files3[[#This Row],[''87'']]+Tableau_Lancer_la_requête_à_partir_de_Excel_Files3[[#This Row],[''89'']]</f>
        <v>0</v>
      </c>
      <c r="V20" s="47"/>
      <c r="W20" s="47"/>
      <c r="X20" s="47"/>
      <c r="Y20" s="47"/>
      <c r="Z20" s="47"/>
      <c r="AA20" s="47"/>
      <c r="AB20" s="47"/>
      <c r="AC20" s="47"/>
      <c r="AD20" s="47"/>
      <c r="AE20" s="47"/>
      <c r="AF20" s="47"/>
      <c r="AG20" s="47"/>
      <c r="AH20" s="47"/>
      <c r="AI20" s="47"/>
      <c r="AJ20" s="47"/>
      <c r="AK20" s="47"/>
      <c r="AL20" s="47"/>
      <c r="AM20" s="47"/>
      <c r="AN20" s="47"/>
      <c r="AO20" s="47"/>
      <c r="AP20" s="47"/>
      <c r="AQ20" s="47"/>
      <c r="AR20" s="47">
        <v>91593</v>
      </c>
      <c r="AS20" s="47">
        <v>0</v>
      </c>
      <c r="AT20" s="41" t="s">
        <v>77</v>
      </c>
      <c r="AV20" s="55" t="s">
        <v>327</v>
      </c>
      <c r="AW20" s="40" t="s">
        <v>306</v>
      </c>
      <c r="AX20" s="49"/>
      <c r="AY20" s="49">
        <f t="shared" si="0"/>
        <v>0</v>
      </c>
      <c r="BA20" s="49">
        <f t="shared" si="3"/>
        <v>0</v>
      </c>
      <c r="BB20" s="49">
        <f t="shared" si="1"/>
        <v>0</v>
      </c>
      <c r="BF20" s="49">
        <f t="shared" si="4"/>
        <v>0</v>
      </c>
      <c r="BG20" s="49">
        <f t="shared" si="2"/>
        <v>0</v>
      </c>
      <c r="CE20" s="37" t="e">
        <f>VLOOKUP(Tableau3[[#This Row],[NumSym]],Tableau_Lancer_la_requête_à_partir_de_Excel_Files3[[ID_Synergie]:[Avis Prog]],44)</f>
        <v>#N/A</v>
      </c>
      <c r="CM20" s="37"/>
      <c r="CN20" s="37"/>
      <c r="CO20" s="37"/>
      <c r="CP20" s="37"/>
      <c r="CQ20" s="37"/>
      <c r="CR20" s="37"/>
      <c r="CS20" s="37"/>
      <c r="CT20" s="37"/>
      <c r="CU20" s="37"/>
      <c r="CV20" s="37"/>
      <c r="CW20" s="37"/>
      <c r="CX20" s="37"/>
      <c r="CY20" s="37"/>
      <c r="CZ20" s="37"/>
      <c r="DA20" s="37"/>
      <c r="DB20" s="37"/>
      <c r="DC20" s="37"/>
      <c r="DD20" s="37"/>
      <c r="DE20" s="37"/>
      <c r="DF20" s="37"/>
      <c r="DG20" s="37"/>
      <c r="DH20" s="37"/>
    </row>
    <row r="21" spans="1:112" ht="90" x14ac:dyDescent="0.25">
      <c r="A21" s="43" t="s">
        <v>5</v>
      </c>
      <c r="B21" s="45" t="s">
        <v>308</v>
      </c>
      <c r="C21" s="45" t="s">
        <v>308</v>
      </c>
      <c r="D21" s="46" t="s">
        <v>183</v>
      </c>
      <c r="E21" s="46" t="s">
        <v>299</v>
      </c>
      <c r="F21" s="47">
        <v>246000</v>
      </c>
      <c r="G21" s="47">
        <v>218250.06</v>
      </c>
      <c r="H21" s="47">
        <f>IF(Tableau_Lancer_la_requête_à_partir_de_Excel_Files3[[#This Row],[Coût total Eligible FEDER]]="",Tableau_Lancer_la_requête_à_partir_de_Excel_Files3[[#This Row],[Coût total déposé]],Tableau_Lancer_la_requête_à_partir_de_Excel_Files3[[#This Row],[Coût total Eligible FEDER]])</f>
        <v>218250.06</v>
      </c>
      <c r="I21" s="47">
        <f>Tableau_Lancer_la_requête_à_partir_de_Excel_Files3[[#This Row],[Aide Massif Obtenu]]+Tableau_Lancer_la_requête_à_partir_de_Excel_Files3[[#This Row],[''Autre Public'']]</f>
        <v>152775.01</v>
      </c>
      <c r="J21" s="48">
        <f>Tableau_Lancer_la_requête_à_partir_de_Excel_Files3[[#This Row],[Aide Publique Obtenue]]/Tableau_Lancer_la_requête_à_partir_de_Excel_Files3[[#This Row],[Coût total]]</f>
        <v>0.69999985337919268</v>
      </c>
      <c r="K21" s="47">
        <f>Tableau_Lancer_la_requête_à_partir_de_Excel_Files3[[#This Row],[Etat]]+Tableau_Lancer_la_requête_à_partir_de_Excel_Files3[[#This Row],[Régions]]+Tableau_Lancer_la_requête_à_partir_de_Excel_Files3[[#This Row],[Départements]]+Tableau_Lancer_la_requête_à_partir_de_Excel_Files3[[#This Row],[''FEDER'']]</f>
        <v>152775.01</v>
      </c>
      <c r="L21" s="48">
        <f>Tableau_Lancer_la_requête_à_partir_de_Excel_Files3[[#This Row],[Aide Massif Obtenu]]/Tableau_Lancer_la_requête_à_partir_de_Excel_Files3[[#This Row],[Coût total]]</f>
        <v>0.69999985337919268</v>
      </c>
      <c r="M21" s="49">
        <f>Tableau_Lancer_la_requête_à_partir_de_Excel_Files3[[#This Row],[''FNADT'']]+Tableau_Lancer_la_requête_à_partir_de_Excel_Files3[[#This Row],[''Agriculture'']]</f>
        <v>43650.01</v>
      </c>
      <c r="N21" s="47">
        <v>43650.01</v>
      </c>
      <c r="O21" s="47"/>
      <c r="P21" s="49">
        <f>Tableau_Lancer_la_requête_à_partir_de_Excel_Files3[[#This Row],[''ALPC'']]+Tableau_Lancer_la_requête_à_partir_de_Excel_Files3[[#This Row],[''AURA'']]+Tableau_Lancer_la_requête_à_partir_de_Excel_Files3[[#This Row],[''BFC'']]+Tableau_Lancer_la_requête_à_partir_de_Excel_Files3[[#This Row],[''LRMP'']]</f>
        <v>0</v>
      </c>
      <c r="Q21" s="47"/>
      <c r="R21" s="47"/>
      <c r="S21" s="47"/>
      <c r="T21" s="47"/>
      <c r="U21" s="49">
        <f>Tableau_Lancer_la_requête_à_partir_de_Excel_Files3[[#This Row],[''03'']]+Tableau_Lancer_la_requête_à_partir_de_Excel_Files3[[#This Row],[''07'']]+Tableau_Lancer_la_requête_à_partir_de_Excel_Files3[[#This Row],[''11'']]+Tableau_Lancer_la_requête_à_partir_de_Excel_Files3[[#This Row],[''12'']]+Tableau_Lancer_la_requête_à_partir_de_Excel_Files3[[#This Row],[''15'']]+Tableau_Lancer_la_requête_à_partir_de_Excel_Files3[[#This Row],[''21'']]+Tableau_Lancer_la_requête_à_partir_de_Excel_Files3[[#This Row],[''19'']]+Tableau_Lancer_la_requête_à_partir_de_Excel_Files3[[#This Row],[''23'']]+Tableau_Lancer_la_requête_à_partir_de_Excel_Files3[[#This Row],[''30'']]+Tableau_Lancer_la_requête_à_partir_de_Excel_Files3[[#This Row],[''34'']]+Tableau_Lancer_la_requête_à_partir_de_Excel_Files3[[#This Row],[''42'']]+Tableau_Lancer_la_requête_à_partir_de_Excel_Files3[[#This Row],[''43'']]+Tableau_Lancer_la_requête_à_partir_de_Excel_Files3[[#This Row],[''46'']]+Tableau_Lancer_la_requête_à_partir_de_Excel_Files3[[#This Row],[''48'']]+Tableau_Lancer_la_requête_à_partir_de_Excel_Files3[[#This Row],[''58'']]+Tableau_Lancer_la_requête_à_partir_de_Excel_Files3[[#This Row],[''63'']]+Tableau_Lancer_la_requête_à_partir_de_Excel_Files3[[#This Row],[''69'']]+Tableau_Lancer_la_requête_à_partir_de_Excel_Files3[[#This Row],[''71'']]+Tableau_Lancer_la_requête_à_partir_de_Excel_Files3[[#This Row],[''81'']]+Tableau_Lancer_la_requête_à_partir_de_Excel_Files3[[#This Row],[''82'']]+Tableau_Lancer_la_requête_à_partir_de_Excel_Files3[[#This Row],[''87'']]+Tableau_Lancer_la_requête_à_partir_de_Excel_Files3[[#This Row],[''89'']]</f>
        <v>0</v>
      </c>
      <c r="V21" s="47"/>
      <c r="W21" s="47"/>
      <c r="X21" s="47"/>
      <c r="Y21" s="47"/>
      <c r="Z21" s="47"/>
      <c r="AA21" s="47"/>
      <c r="AB21" s="47"/>
      <c r="AC21" s="47"/>
      <c r="AD21" s="47"/>
      <c r="AE21" s="47"/>
      <c r="AF21" s="47"/>
      <c r="AG21" s="47"/>
      <c r="AH21" s="47"/>
      <c r="AI21" s="47"/>
      <c r="AJ21" s="47"/>
      <c r="AK21" s="47"/>
      <c r="AL21" s="47"/>
      <c r="AM21" s="47"/>
      <c r="AN21" s="47"/>
      <c r="AO21" s="47"/>
      <c r="AP21" s="47"/>
      <c r="AQ21" s="47"/>
      <c r="AR21" s="47">
        <v>109125</v>
      </c>
      <c r="AS21" s="47">
        <v>0</v>
      </c>
      <c r="AT21" s="41" t="s">
        <v>77</v>
      </c>
      <c r="AV21" s="64" t="s">
        <v>327</v>
      </c>
      <c r="AW21" s="40" t="s">
        <v>308</v>
      </c>
      <c r="AX21" s="49"/>
      <c r="AY21" s="49">
        <f t="shared" si="0"/>
        <v>0</v>
      </c>
      <c r="BA21" s="49">
        <f t="shared" si="3"/>
        <v>0</v>
      </c>
      <c r="BB21" s="49">
        <f t="shared" si="1"/>
        <v>0</v>
      </c>
      <c r="BF21" s="49">
        <f t="shared" si="4"/>
        <v>0</v>
      </c>
      <c r="BG21" s="49">
        <f t="shared" si="2"/>
        <v>0</v>
      </c>
      <c r="CE21" s="37" t="e">
        <f>VLOOKUP(Tableau3[[#This Row],[NumSym]],Tableau_Lancer_la_requête_à_partir_de_Excel_Files3[[ID_Synergie]:[Avis Prog]],44)</f>
        <v>#N/A</v>
      </c>
      <c r="CM21" s="37"/>
      <c r="CN21" s="37"/>
      <c r="CO21" s="37"/>
      <c r="CP21" s="37"/>
      <c r="CQ21" s="37"/>
      <c r="CR21" s="37"/>
      <c r="CS21" s="37"/>
      <c r="CT21" s="37"/>
      <c r="CU21" s="37"/>
      <c r="CV21" s="37"/>
      <c r="CW21" s="37"/>
      <c r="CX21" s="37"/>
      <c r="CY21" s="37"/>
      <c r="CZ21" s="37"/>
      <c r="DA21" s="37"/>
      <c r="DB21" s="37"/>
      <c r="DC21" s="37"/>
      <c r="DD21" s="37"/>
      <c r="DE21" s="37"/>
      <c r="DF21" s="37"/>
      <c r="DG21" s="37"/>
      <c r="DH21" s="37"/>
    </row>
    <row r="22" spans="1:112" ht="75" x14ac:dyDescent="0.25">
      <c r="A22" s="43" t="s">
        <v>5</v>
      </c>
      <c r="B22" s="45" t="s">
        <v>403</v>
      </c>
      <c r="C22" s="45" t="s">
        <v>403</v>
      </c>
      <c r="D22" s="46" t="s">
        <v>404</v>
      </c>
      <c r="E22" s="46" t="s">
        <v>405</v>
      </c>
      <c r="F22" s="47">
        <v>260439.78644</v>
      </c>
      <c r="G22" s="47">
        <v>258758.82</v>
      </c>
      <c r="H22" s="47">
        <f>IF(Tableau_Lancer_la_requête_à_partir_de_Excel_Files3[[#This Row],[Coût total Eligible FEDER]]="",Tableau_Lancer_la_requête_à_partir_de_Excel_Files3[[#This Row],[Coût total déposé]],Tableau_Lancer_la_requête_à_partir_de_Excel_Files3[[#This Row],[Coût total Eligible FEDER]])</f>
        <v>258758.82</v>
      </c>
      <c r="I22" s="47">
        <f>Tableau_Lancer_la_requête_à_partir_de_Excel_Files3[[#This Row],[Aide Massif Obtenu]]+Tableau_Lancer_la_requête_à_partir_de_Excel_Files3[[#This Row],[''Autre Public'']]</f>
        <v>179494.8088458167</v>
      </c>
      <c r="J22" s="48">
        <f>Tableau_Lancer_la_requête_à_partir_de_Excel_Files3[[#This Row],[Aide Publique Obtenue]]/Tableau_Lancer_la_requête_à_partir_de_Excel_Files3[[#This Row],[Coût total]]</f>
        <v>0.69367609902463112</v>
      </c>
      <c r="K22" s="47">
        <f>Tableau_Lancer_la_requête_à_partir_de_Excel_Files3[[#This Row],[Etat]]+Tableau_Lancer_la_requête_à_partir_de_Excel_Files3[[#This Row],[Régions]]+Tableau_Lancer_la_requête_à_partir_de_Excel_Files3[[#This Row],[Départements]]+Tableau_Lancer_la_requête_à_partir_de_Excel_Files3[[#This Row],[''FEDER'']]</f>
        <v>179494.8088458167</v>
      </c>
      <c r="L22" s="48">
        <f>Tableau_Lancer_la_requête_à_partir_de_Excel_Files3[[#This Row],[Aide Massif Obtenu]]/Tableau_Lancer_la_requête_à_partir_de_Excel_Files3[[#This Row],[Coût total]]</f>
        <v>0.69367609902463112</v>
      </c>
      <c r="M22" s="49">
        <f>Tableau_Lancer_la_requête_à_partir_de_Excel_Files3[[#This Row],[''FNADT'']]+Tableau_Lancer_la_requête_à_partir_de_Excel_Files3[[#This Row],[''Agriculture'']]</f>
        <v>25757.67</v>
      </c>
      <c r="N22" s="47">
        <v>25757.67</v>
      </c>
      <c r="O22" s="47"/>
      <c r="P22" s="49">
        <f>Tableau_Lancer_la_requête_à_partir_de_Excel_Files3[[#This Row],[''ALPC'']]+Tableau_Lancer_la_requête_à_partir_de_Excel_Files3[[#This Row],[''AURA'']]+Tableau_Lancer_la_requête_à_partir_de_Excel_Files3[[#This Row],[''BFC'']]+Tableau_Lancer_la_requête_à_partir_de_Excel_Files3[[#This Row],[''LRMP'']]</f>
        <v>22571.09</v>
      </c>
      <c r="Q22" s="47"/>
      <c r="R22" s="47">
        <v>9655</v>
      </c>
      <c r="S22" s="47"/>
      <c r="T22" s="47">
        <v>12916.09</v>
      </c>
      <c r="U22" s="49">
        <f>Tableau_Lancer_la_requête_à_partir_de_Excel_Files3[[#This Row],[''03'']]+Tableau_Lancer_la_requête_à_partir_de_Excel_Files3[[#This Row],[''07'']]+Tableau_Lancer_la_requête_à_partir_de_Excel_Files3[[#This Row],[''11'']]+Tableau_Lancer_la_requête_à_partir_de_Excel_Files3[[#This Row],[''12'']]+Tableau_Lancer_la_requête_à_partir_de_Excel_Files3[[#This Row],[''15'']]+Tableau_Lancer_la_requête_à_partir_de_Excel_Files3[[#This Row],[''21'']]+Tableau_Lancer_la_requête_à_partir_de_Excel_Files3[[#This Row],[''19'']]+Tableau_Lancer_la_requête_à_partir_de_Excel_Files3[[#This Row],[''23'']]+Tableau_Lancer_la_requête_à_partir_de_Excel_Files3[[#This Row],[''30'']]+Tableau_Lancer_la_requête_à_partir_de_Excel_Files3[[#This Row],[''34'']]+Tableau_Lancer_la_requête_à_partir_de_Excel_Files3[[#This Row],[''42'']]+Tableau_Lancer_la_requête_à_partir_de_Excel_Files3[[#This Row],[''43'']]+Tableau_Lancer_la_requête_à_partir_de_Excel_Files3[[#This Row],[''46'']]+Tableau_Lancer_la_requête_à_partir_de_Excel_Files3[[#This Row],[''48'']]+Tableau_Lancer_la_requête_à_partir_de_Excel_Files3[[#This Row],[''58'']]+Tableau_Lancer_la_requête_à_partir_de_Excel_Files3[[#This Row],[''63'']]+Tableau_Lancer_la_requête_à_partir_de_Excel_Files3[[#This Row],[''69'']]+Tableau_Lancer_la_requête_à_partir_de_Excel_Files3[[#This Row],[''71'']]+Tableau_Lancer_la_requête_à_partir_de_Excel_Files3[[#This Row],[''81'']]+Tableau_Lancer_la_requête_à_partir_de_Excel_Files3[[#This Row],[''82'']]+Tableau_Lancer_la_requête_à_partir_de_Excel_Files3[[#This Row],[''87'']]+Tableau_Lancer_la_requête_à_partir_de_Excel_Files3[[#This Row],[''89'']]</f>
        <v>28307.048845816713</v>
      </c>
      <c r="V22" s="47"/>
      <c r="W22" s="47"/>
      <c r="X22" s="47"/>
      <c r="Y22" s="47"/>
      <c r="Z22" s="47"/>
      <c r="AA22" s="47"/>
      <c r="AB22" s="47"/>
      <c r="AC22" s="47"/>
      <c r="AD22" s="47">
        <v>8941.9108349914513</v>
      </c>
      <c r="AE22" s="47"/>
      <c r="AF22" s="47"/>
      <c r="AG22" s="47">
        <v>10920</v>
      </c>
      <c r="AH22" s="47"/>
      <c r="AI22" s="47">
        <v>8445.1380108252597</v>
      </c>
      <c r="AJ22" s="47"/>
      <c r="AK22" s="47"/>
      <c r="AL22" s="47"/>
      <c r="AM22" s="47"/>
      <c r="AN22" s="47"/>
      <c r="AO22" s="47"/>
      <c r="AP22" s="47"/>
      <c r="AQ22" s="47"/>
      <c r="AR22" s="47">
        <v>102859</v>
      </c>
      <c r="AS22" s="47">
        <v>0</v>
      </c>
      <c r="AT22" s="41" t="s">
        <v>77</v>
      </c>
      <c r="AV22" s="55" t="s">
        <v>355</v>
      </c>
      <c r="AW22" s="40" t="s">
        <v>403</v>
      </c>
      <c r="AX22" s="49"/>
      <c r="AY22" s="49">
        <f t="shared" si="0"/>
        <v>0</v>
      </c>
      <c r="BA22" s="49">
        <f t="shared" si="3"/>
        <v>0</v>
      </c>
      <c r="BB22" s="49">
        <f t="shared" si="1"/>
        <v>0</v>
      </c>
      <c r="BF22" s="49">
        <f t="shared" si="4"/>
        <v>0</v>
      </c>
      <c r="BG22" s="49">
        <f t="shared" si="2"/>
        <v>0</v>
      </c>
      <c r="CE22" s="37" t="e">
        <f>VLOOKUP(Tableau3[[#This Row],[NumSym]],Tableau_Lancer_la_requête_à_partir_de_Excel_Files3[[ID_Synergie]:[Avis Prog]],44)</f>
        <v>#N/A</v>
      </c>
      <c r="CM22" s="37"/>
      <c r="CN22" s="37"/>
      <c r="CO22" s="37"/>
      <c r="CP22" s="37"/>
      <c r="CQ22" s="37"/>
      <c r="CR22" s="37"/>
      <c r="CS22" s="37"/>
      <c r="CT22" s="37"/>
      <c r="CU22" s="37"/>
      <c r="CV22" s="37"/>
      <c r="CW22" s="37"/>
      <c r="CX22" s="37"/>
      <c r="CY22" s="37"/>
      <c r="CZ22" s="37"/>
      <c r="DA22" s="37"/>
      <c r="DB22" s="37"/>
      <c r="DC22" s="37"/>
      <c r="DD22" s="37"/>
      <c r="DE22" s="37"/>
      <c r="DF22" s="37"/>
      <c r="DG22" s="37"/>
      <c r="DH22" s="37"/>
    </row>
    <row r="23" spans="1:112" ht="75" x14ac:dyDescent="0.25">
      <c r="A23" s="43" t="s">
        <v>4</v>
      </c>
      <c r="B23" s="45" t="s">
        <v>309</v>
      </c>
      <c r="C23" s="45" t="s">
        <v>309</v>
      </c>
      <c r="D23" s="46" t="s">
        <v>310</v>
      </c>
      <c r="E23" s="46" t="s">
        <v>311</v>
      </c>
      <c r="F23" s="47">
        <v>96552.84</v>
      </c>
      <c r="G23" s="47"/>
      <c r="H23" s="47">
        <f>IF(Tableau_Lancer_la_requête_à_partir_de_Excel_Files3[[#This Row],[Coût total Eligible FEDER]]="",Tableau_Lancer_la_requête_à_partir_de_Excel_Files3[[#This Row],[Coût total déposé]],Tableau_Lancer_la_requête_à_partir_de_Excel_Files3[[#This Row],[Coût total Eligible FEDER]])</f>
        <v>96552.84</v>
      </c>
      <c r="I23" s="47">
        <f>Tableau_Lancer_la_requête_à_partir_de_Excel_Files3[[#This Row],[Aide Massif Obtenu]]+Tableau_Lancer_la_requête_à_partir_de_Excel_Files3[[#This Row],[''Autre Public'']]</f>
        <v>60000</v>
      </c>
      <c r="J23" s="48">
        <f>Tableau_Lancer_la_requête_à_partir_de_Excel_Files3[[#This Row],[Aide Publique Obtenue]]/Tableau_Lancer_la_requête_à_partir_de_Excel_Files3[[#This Row],[Coût total]]</f>
        <v>0.62142138957279769</v>
      </c>
      <c r="K23" s="47">
        <f>Tableau_Lancer_la_requête_à_partir_de_Excel_Files3[[#This Row],[Etat]]+Tableau_Lancer_la_requête_à_partir_de_Excel_Files3[[#This Row],[Régions]]+Tableau_Lancer_la_requête_à_partir_de_Excel_Files3[[#This Row],[Départements]]+Tableau_Lancer_la_requête_à_partir_de_Excel_Files3[[#This Row],[''FEDER'']]</f>
        <v>60000</v>
      </c>
      <c r="L23" s="48">
        <f>Tableau_Lancer_la_requête_à_partir_de_Excel_Files3[[#This Row],[Aide Massif Obtenu]]/Tableau_Lancer_la_requête_à_partir_de_Excel_Files3[[#This Row],[Coût total]]</f>
        <v>0.62142138957279769</v>
      </c>
      <c r="M23" s="49">
        <f>Tableau_Lancer_la_requête_à_partir_de_Excel_Files3[[#This Row],[''FNADT'']]+Tableau_Lancer_la_requête_à_partir_de_Excel_Files3[[#This Row],[''Agriculture'']]</f>
        <v>50344.72</v>
      </c>
      <c r="N23" s="47">
        <v>50344.72</v>
      </c>
      <c r="O23" s="47"/>
      <c r="P23" s="49">
        <f>Tableau_Lancer_la_requête_à_partir_de_Excel_Files3[[#This Row],[''ALPC'']]+Tableau_Lancer_la_requête_à_partir_de_Excel_Files3[[#This Row],[''AURA'']]+Tableau_Lancer_la_requête_à_partir_de_Excel_Files3[[#This Row],[''BFC'']]+Tableau_Lancer_la_requête_à_partir_de_Excel_Files3[[#This Row],[''LRMP'']]</f>
        <v>0</v>
      </c>
      <c r="Q23" s="47"/>
      <c r="R23" s="47"/>
      <c r="S23" s="47"/>
      <c r="T23" s="47"/>
      <c r="U23" s="49">
        <f>Tableau_Lancer_la_requête_à_partir_de_Excel_Files3[[#This Row],[''03'']]+Tableau_Lancer_la_requête_à_partir_de_Excel_Files3[[#This Row],[''07'']]+Tableau_Lancer_la_requête_à_partir_de_Excel_Files3[[#This Row],[''11'']]+Tableau_Lancer_la_requête_à_partir_de_Excel_Files3[[#This Row],[''12'']]+Tableau_Lancer_la_requête_à_partir_de_Excel_Files3[[#This Row],[''15'']]+Tableau_Lancer_la_requête_à_partir_de_Excel_Files3[[#This Row],[''21'']]+Tableau_Lancer_la_requête_à_partir_de_Excel_Files3[[#This Row],[''19'']]+Tableau_Lancer_la_requête_à_partir_de_Excel_Files3[[#This Row],[''23'']]+Tableau_Lancer_la_requête_à_partir_de_Excel_Files3[[#This Row],[''30'']]+Tableau_Lancer_la_requête_à_partir_de_Excel_Files3[[#This Row],[''34'']]+Tableau_Lancer_la_requête_à_partir_de_Excel_Files3[[#This Row],[''42'']]+Tableau_Lancer_la_requête_à_partir_de_Excel_Files3[[#This Row],[''43'']]+Tableau_Lancer_la_requête_à_partir_de_Excel_Files3[[#This Row],[''46'']]+Tableau_Lancer_la_requête_à_partir_de_Excel_Files3[[#This Row],[''48'']]+Tableau_Lancer_la_requête_à_partir_de_Excel_Files3[[#This Row],[''58'']]+Tableau_Lancer_la_requête_à_partir_de_Excel_Files3[[#This Row],[''63'']]+Tableau_Lancer_la_requête_à_partir_de_Excel_Files3[[#This Row],[''69'']]+Tableau_Lancer_la_requête_à_partir_de_Excel_Files3[[#This Row],[''71'']]+Tableau_Lancer_la_requête_à_partir_de_Excel_Files3[[#This Row],[''81'']]+Tableau_Lancer_la_requête_à_partir_de_Excel_Files3[[#This Row],[''82'']]+Tableau_Lancer_la_requête_à_partir_de_Excel_Files3[[#This Row],[''87'']]+Tableau_Lancer_la_requête_à_partir_de_Excel_Files3[[#This Row],[''89'']]</f>
        <v>9655.2800000000007</v>
      </c>
      <c r="V23" s="47"/>
      <c r="W23" s="47">
        <v>9655.2800000000007</v>
      </c>
      <c r="X23" s="47"/>
      <c r="Y23" s="47"/>
      <c r="Z23" s="47"/>
      <c r="AA23" s="47"/>
      <c r="AB23" s="47"/>
      <c r="AC23" s="47"/>
      <c r="AD23" s="47"/>
      <c r="AE23" s="47"/>
      <c r="AF23" s="47"/>
      <c r="AG23" s="47"/>
      <c r="AH23" s="47"/>
      <c r="AI23" s="47"/>
      <c r="AJ23" s="47"/>
      <c r="AK23" s="47"/>
      <c r="AL23" s="47"/>
      <c r="AM23" s="47"/>
      <c r="AN23" s="47"/>
      <c r="AO23" s="47"/>
      <c r="AP23" s="47"/>
      <c r="AQ23" s="47"/>
      <c r="AR23" s="47">
        <v>0</v>
      </c>
      <c r="AS23" s="47">
        <v>0</v>
      </c>
      <c r="AT23" s="41" t="s">
        <v>77</v>
      </c>
      <c r="AV23" s="64" t="s">
        <v>328</v>
      </c>
      <c r="AW23" s="40" t="s">
        <v>309</v>
      </c>
      <c r="AX23" s="49"/>
      <c r="AY23" s="49">
        <f t="shared" si="0"/>
        <v>0</v>
      </c>
      <c r="BA23" s="49">
        <f t="shared" si="3"/>
        <v>0</v>
      </c>
      <c r="BB23" s="49">
        <f t="shared" si="1"/>
        <v>0</v>
      </c>
      <c r="BF23" s="49">
        <f t="shared" si="4"/>
        <v>0</v>
      </c>
      <c r="BG23" s="49">
        <f t="shared" si="2"/>
        <v>0</v>
      </c>
      <c r="CE23" s="37" t="e">
        <f>VLOOKUP(Tableau3[[#This Row],[NumSym]],Tableau_Lancer_la_requête_à_partir_de_Excel_Files3[[ID_Synergie]:[Avis Prog]],44)</f>
        <v>#N/A</v>
      </c>
      <c r="CM23" s="37"/>
      <c r="CN23" s="37"/>
      <c r="CO23" s="37"/>
      <c r="CP23" s="37"/>
      <c r="CQ23" s="37"/>
      <c r="CR23" s="37"/>
      <c r="CS23" s="37"/>
      <c r="CT23" s="37"/>
      <c r="CU23" s="37"/>
      <c r="CV23" s="37"/>
      <c r="CW23" s="37"/>
      <c r="CX23" s="37"/>
      <c r="CY23" s="37"/>
      <c r="CZ23" s="37"/>
      <c r="DA23" s="37"/>
      <c r="DB23" s="37"/>
      <c r="DC23" s="37"/>
      <c r="DD23" s="37"/>
      <c r="DE23" s="37"/>
      <c r="DF23" s="37"/>
      <c r="DG23" s="37"/>
      <c r="DH23" s="37"/>
    </row>
    <row r="24" spans="1:112" ht="75" x14ac:dyDescent="0.25">
      <c r="A24" s="43" t="s">
        <v>4</v>
      </c>
      <c r="B24" s="45" t="s">
        <v>312</v>
      </c>
      <c r="C24" s="45" t="s">
        <v>312</v>
      </c>
      <c r="D24" s="46" t="s">
        <v>313</v>
      </c>
      <c r="E24" s="46" t="s">
        <v>311</v>
      </c>
      <c r="F24" s="47">
        <v>100709.77799999999</v>
      </c>
      <c r="G24" s="47"/>
      <c r="H24" s="47">
        <f>IF(Tableau_Lancer_la_requête_à_partir_de_Excel_Files3[[#This Row],[Coût total Eligible FEDER]]="",Tableau_Lancer_la_requête_à_partir_de_Excel_Files3[[#This Row],[Coût total déposé]],Tableau_Lancer_la_requête_à_partir_de_Excel_Files3[[#This Row],[Coût total Eligible FEDER]])</f>
        <v>100709.77799999999</v>
      </c>
      <c r="I24" s="47">
        <f>Tableau_Lancer_la_requête_à_partir_de_Excel_Files3[[#This Row],[Aide Massif Obtenu]]+Tableau_Lancer_la_requête_à_partir_de_Excel_Files3[[#This Row],[''Autre Public'']]</f>
        <v>32400</v>
      </c>
      <c r="J24" s="48">
        <f>Tableau_Lancer_la_requête_à_partir_de_Excel_Files3[[#This Row],[Aide Publique Obtenue]]/Tableau_Lancer_la_requête_à_partir_de_Excel_Files3[[#This Row],[Coût total]]</f>
        <v>0.32171652686991331</v>
      </c>
      <c r="K24" s="47">
        <f>Tableau_Lancer_la_requête_à_partir_de_Excel_Files3[[#This Row],[Etat]]+Tableau_Lancer_la_requête_à_partir_de_Excel_Files3[[#This Row],[Régions]]+Tableau_Lancer_la_requête_à_partir_de_Excel_Files3[[#This Row],[Départements]]+Tableau_Lancer_la_requête_à_partir_de_Excel_Files3[[#This Row],[''FEDER'']]</f>
        <v>32400</v>
      </c>
      <c r="L24" s="48">
        <f>Tableau_Lancer_la_requête_à_partir_de_Excel_Files3[[#This Row],[Aide Massif Obtenu]]/Tableau_Lancer_la_requête_à_partir_de_Excel_Files3[[#This Row],[Coût total]]</f>
        <v>0.32171652686991331</v>
      </c>
      <c r="M24" s="49">
        <f>Tableau_Lancer_la_requête_à_partir_de_Excel_Files3[[#This Row],[''FNADT'']]+Tableau_Lancer_la_requête_à_partir_de_Excel_Files3[[#This Row],[''Agriculture'']]</f>
        <v>32400</v>
      </c>
      <c r="N24" s="47">
        <v>32400</v>
      </c>
      <c r="O24" s="47"/>
      <c r="P24" s="49">
        <f>Tableau_Lancer_la_requête_à_partir_de_Excel_Files3[[#This Row],[''ALPC'']]+Tableau_Lancer_la_requête_à_partir_de_Excel_Files3[[#This Row],[''AURA'']]+Tableau_Lancer_la_requête_à_partir_de_Excel_Files3[[#This Row],[''BFC'']]+Tableau_Lancer_la_requête_à_partir_de_Excel_Files3[[#This Row],[''LRMP'']]</f>
        <v>0</v>
      </c>
      <c r="Q24" s="47"/>
      <c r="R24" s="47"/>
      <c r="S24" s="47"/>
      <c r="T24" s="47"/>
      <c r="U24" s="49">
        <f>Tableau_Lancer_la_requête_à_partir_de_Excel_Files3[[#This Row],[''03'']]+Tableau_Lancer_la_requête_à_partir_de_Excel_Files3[[#This Row],[''07'']]+Tableau_Lancer_la_requête_à_partir_de_Excel_Files3[[#This Row],[''11'']]+Tableau_Lancer_la_requête_à_partir_de_Excel_Files3[[#This Row],[''12'']]+Tableau_Lancer_la_requête_à_partir_de_Excel_Files3[[#This Row],[''15'']]+Tableau_Lancer_la_requête_à_partir_de_Excel_Files3[[#This Row],[''21'']]+Tableau_Lancer_la_requête_à_partir_de_Excel_Files3[[#This Row],[''19'']]+Tableau_Lancer_la_requête_à_partir_de_Excel_Files3[[#This Row],[''23'']]+Tableau_Lancer_la_requête_à_partir_de_Excel_Files3[[#This Row],[''30'']]+Tableau_Lancer_la_requête_à_partir_de_Excel_Files3[[#This Row],[''34'']]+Tableau_Lancer_la_requête_à_partir_de_Excel_Files3[[#This Row],[''42'']]+Tableau_Lancer_la_requête_à_partir_de_Excel_Files3[[#This Row],[''43'']]+Tableau_Lancer_la_requête_à_partir_de_Excel_Files3[[#This Row],[''46'']]+Tableau_Lancer_la_requête_à_partir_de_Excel_Files3[[#This Row],[''48'']]+Tableau_Lancer_la_requête_à_partir_de_Excel_Files3[[#This Row],[''58'']]+Tableau_Lancer_la_requête_à_partir_de_Excel_Files3[[#This Row],[''63'']]+Tableau_Lancer_la_requête_à_partir_de_Excel_Files3[[#This Row],[''69'']]+Tableau_Lancer_la_requête_à_partir_de_Excel_Files3[[#This Row],[''71'']]+Tableau_Lancer_la_requête_à_partir_de_Excel_Files3[[#This Row],[''81'']]+Tableau_Lancer_la_requête_à_partir_de_Excel_Files3[[#This Row],[''82'']]+Tableau_Lancer_la_requête_à_partir_de_Excel_Files3[[#This Row],[''87'']]+Tableau_Lancer_la_requête_à_partir_de_Excel_Files3[[#This Row],[''89'']]</f>
        <v>0</v>
      </c>
      <c r="V24" s="47"/>
      <c r="W24" s="47"/>
      <c r="X24" s="47"/>
      <c r="Y24" s="47"/>
      <c r="Z24" s="47"/>
      <c r="AA24" s="47"/>
      <c r="AB24" s="47"/>
      <c r="AC24" s="47"/>
      <c r="AD24" s="47"/>
      <c r="AE24" s="47"/>
      <c r="AF24" s="47"/>
      <c r="AG24" s="47"/>
      <c r="AH24" s="47"/>
      <c r="AI24" s="47"/>
      <c r="AJ24" s="47"/>
      <c r="AK24" s="47"/>
      <c r="AL24" s="47"/>
      <c r="AM24" s="47"/>
      <c r="AN24" s="47"/>
      <c r="AO24" s="47"/>
      <c r="AP24" s="47"/>
      <c r="AQ24" s="47"/>
      <c r="AR24" s="47">
        <v>0</v>
      </c>
      <c r="AS24" s="47">
        <v>0</v>
      </c>
      <c r="AT24" s="41" t="s">
        <v>77</v>
      </c>
      <c r="AV24" s="55" t="s">
        <v>329</v>
      </c>
      <c r="AW24" s="40" t="s">
        <v>312</v>
      </c>
      <c r="AX24" s="51" t="s">
        <v>11</v>
      </c>
      <c r="AY24" s="49">
        <f>SUBTOTAL(109,Tableau3[Etat])</f>
        <v>-20926</v>
      </c>
      <c r="AZ24" s="49">
        <f>SUBTOTAL(109,Tableau3[''FNADT''])</f>
        <v>-20926</v>
      </c>
      <c r="BA24" s="49">
        <f>SUBTOTAL(109,Tableau3[''Agriculture''])</f>
        <v>0</v>
      </c>
      <c r="BB24" s="49">
        <f>SUBTOTAL(109,Tableau3[Régions])</f>
        <v>-7125</v>
      </c>
      <c r="BC24" s="49">
        <f>SUBTOTAL(109,Tableau3[''ALPC''])</f>
        <v>-14369</v>
      </c>
      <c r="BD24" s="49">
        <f>SUBTOTAL(109,Tableau3[''AURA''])</f>
        <v>16000</v>
      </c>
      <c r="BE24" s="49">
        <f>SUBTOTAL(109,Tableau3[''BFC''])</f>
        <v>0</v>
      </c>
      <c r="BF24" s="49">
        <f>SUBTOTAL(109,Tableau3[''LRMP''])</f>
        <v>-8756</v>
      </c>
      <c r="BG24" s="49">
        <f>SUBTOTAL(109,Tableau3[Départements])</f>
        <v>6289</v>
      </c>
      <c r="BH24" s="49">
        <f>SUBTOTAL(109,Tableau3[''03''])</f>
        <v>0</v>
      </c>
      <c r="BI24" s="49">
        <f>SUBTOTAL(109,Tableau3[''07''])</f>
        <v>6289</v>
      </c>
      <c r="BJ24" s="49">
        <f>SUBTOTAL(109,Tableau3[''11''])</f>
        <v>0</v>
      </c>
      <c r="BK24" s="49">
        <f>SUBTOTAL(109,Tableau3[''12''])</f>
        <v>0</v>
      </c>
      <c r="BL24" s="49">
        <f>SUBTOTAL(109,Tableau3[''15''])</f>
        <v>0</v>
      </c>
      <c r="BM24" s="49">
        <f>SUBTOTAL(109,Tableau3[''19''])</f>
        <v>0</v>
      </c>
      <c r="BN24" s="49">
        <f>SUBTOTAL(109,Tableau3[''21''])</f>
        <v>0</v>
      </c>
      <c r="BO24" s="49">
        <f>SUBTOTAL(109,Tableau3[''23''])</f>
        <v>0</v>
      </c>
      <c r="BP24" s="49">
        <f>SUBTOTAL(109,Tableau3[''30''])</f>
        <v>0</v>
      </c>
      <c r="BQ24" s="49">
        <f>SUBTOTAL(109,Tableau3[''34''])</f>
        <v>0</v>
      </c>
      <c r="BR24" s="49">
        <f>SUBTOTAL(109,Tableau3[''42''])</f>
        <v>0</v>
      </c>
      <c r="BS24" s="49">
        <f>SUBTOTAL(109,Tableau3[''43''])</f>
        <v>0</v>
      </c>
      <c r="BT24" s="49">
        <f>SUBTOTAL(109,Tableau3[''46''])</f>
        <v>0</v>
      </c>
      <c r="BU24" s="49">
        <f>SUBTOTAL(109,Tableau3[''48''])</f>
        <v>0</v>
      </c>
      <c r="BV24" s="49">
        <f>SUBTOTAL(109,Tableau3[''58''])</f>
        <v>0</v>
      </c>
      <c r="BW24" s="49">
        <f>SUBTOTAL(109,Tableau3[''63''])</f>
        <v>0</v>
      </c>
      <c r="BX24" s="49">
        <f>SUBTOTAL(109,Tableau3[''69''])</f>
        <v>0</v>
      </c>
      <c r="BY24" s="49">
        <f>SUBTOTAL(109,Tableau3[''71''])</f>
        <v>0</v>
      </c>
      <c r="BZ24" s="49">
        <f>SUBTOTAL(109,Tableau3[''81''])</f>
        <v>0</v>
      </c>
      <c r="CA24" s="49">
        <f>SUBTOTAL(109,Tableau3[''82''])</f>
        <v>0</v>
      </c>
      <c r="CB24" s="49">
        <f>SUBTOTAL(109,Tableau3[''87''])</f>
        <v>0</v>
      </c>
      <c r="CC24" s="49">
        <f>SUBTOTAL(109,Tableau3[''89''])</f>
        <v>0</v>
      </c>
      <c r="CD24" s="49">
        <f>SUBTOTAL(109,Tableau3[''FEDER''])</f>
        <v>1622.6</v>
      </c>
      <c r="CE24" s="37">
        <f>SUBTOTAL(103,Tableau3[Avis])</f>
        <v>17</v>
      </c>
      <c r="CM24" s="37"/>
      <c r="CN24" s="37"/>
      <c r="CO24" s="37"/>
      <c r="CP24" s="37"/>
      <c r="CQ24" s="37"/>
      <c r="CR24" s="37"/>
      <c r="CS24" s="37"/>
      <c r="CT24" s="37"/>
      <c r="CU24" s="37"/>
      <c r="CV24" s="37"/>
      <c r="CW24" s="37"/>
      <c r="CX24" s="37"/>
      <c r="CY24" s="37"/>
      <c r="CZ24" s="37"/>
      <c r="DA24" s="37"/>
      <c r="DB24" s="37"/>
      <c r="DC24" s="37"/>
      <c r="DD24" s="37"/>
      <c r="DE24" s="37"/>
      <c r="DF24" s="37"/>
      <c r="DG24" s="37"/>
      <c r="DH24" s="37"/>
    </row>
    <row r="25" spans="1:112" ht="75" x14ac:dyDescent="0.25">
      <c r="A25" s="43" t="s">
        <v>5</v>
      </c>
      <c r="B25" s="45" t="s">
        <v>314</v>
      </c>
      <c r="C25" s="45" t="s">
        <v>314</v>
      </c>
      <c r="D25" s="46" t="s">
        <v>315</v>
      </c>
      <c r="E25" s="46" t="s">
        <v>311</v>
      </c>
      <c r="F25" s="47">
        <v>102164.25</v>
      </c>
      <c r="G25" s="47">
        <v>45044.6</v>
      </c>
      <c r="H25" s="47">
        <f>IF(Tableau_Lancer_la_requête_à_partir_de_Excel_Files3[[#This Row],[Coût total Eligible FEDER]]="",Tableau_Lancer_la_requête_à_partir_de_Excel_Files3[[#This Row],[Coût total déposé]],Tableau_Lancer_la_requête_à_partir_de_Excel_Files3[[#This Row],[Coût total Eligible FEDER]])</f>
        <v>45044.6</v>
      </c>
      <c r="I25" s="47">
        <f>Tableau_Lancer_la_requête_à_partir_de_Excel_Files3[[#This Row],[Aide Massif Obtenu]]+Tableau_Lancer_la_requête_à_partir_de_Excel_Files3[[#This Row],[''Autre Public'']]</f>
        <v>33000</v>
      </c>
      <c r="J25" s="48">
        <f>Tableau_Lancer_la_requête_à_partir_de_Excel_Files3[[#This Row],[Aide Publique Obtenue]]/Tableau_Lancer_la_requête_à_partir_de_Excel_Files3[[#This Row],[Coût total]]</f>
        <v>0.73260723815951301</v>
      </c>
      <c r="K25" s="47">
        <f>Tableau_Lancer_la_requête_à_partir_de_Excel_Files3[[#This Row],[Etat]]+Tableau_Lancer_la_requête_à_partir_de_Excel_Files3[[#This Row],[Régions]]+Tableau_Lancer_la_requête_à_partir_de_Excel_Files3[[#This Row],[Départements]]+Tableau_Lancer_la_requête_à_partir_de_Excel_Files3[[#This Row],[''FEDER'']]</f>
        <v>33000</v>
      </c>
      <c r="L25" s="48">
        <f>Tableau_Lancer_la_requête_à_partir_de_Excel_Files3[[#This Row],[Aide Massif Obtenu]]/Tableau_Lancer_la_requête_à_partir_de_Excel_Files3[[#This Row],[Coût total]]</f>
        <v>0.73260723815951301</v>
      </c>
      <c r="M25" s="49">
        <f>Tableau_Lancer_la_requête_à_partir_de_Excel_Files3[[#This Row],[''FNADT'']]+Tableau_Lancer_la_requête_à_partir_de_Excel_Files3[[#This Row],[''Agriculture'']]</f>
        <v>21628.53</v>
      </c>
      <c r="N25" s="47">
        <v>21628.53</v>
      </c>
      <c r="O25" s="47"/>
      <c r="P25" s="49">
        <f>Tableau_Lancer_la_requête_à_partir_de_Excel_Files3[[#This Row],[''ALPC'']]+Tableau_Lancer_la_requête_à_partir_de_Excel_Files3[[#This Row],[''AURA'']]+Tableau_Lancer_la_requête_à_partir_de_Excel_Files3[[#This Row],[''BFC'']]+Tableau_Lancer_la_requête_à_partir_de_Excel_Files3[[#This Row],[''LRMP'']]</f>
        <v>0</v>
      </c>
      <c r="Q25" s="47"/>
      <c r="R25" s="47"/>
      <c r="S25" s="47"/>
      <c r="T25" s="47"/>
      <c r="U25" s="49">
        <f>Tableau_Lancer_la_requête_à_partir_de_Excel_Files3[[#This Row],[''03'']]+Tableau_Lancer_la_requête_à_partir_de_Excel_Files3[[#This Row],[''07'']]+Tableau_Lancer_la_requête_à_partir_de_Excel_Files3[[#This Row],[''11'']]+Tableau_Lancer_la_requête_à_partir_de_Excel_Files3[[#This Row],[''12'']]+Tableau_Lancer_la_requête_à_partir_de_Excel_Files3[[#This Row],[''15'']]+Tableau_Lancer_la_requête_à_partir_de_Excel_Files3[[#This Row],[''21'']]+Tableau_Lancer_la_requête_à_partir_de_Excel_Files3[[#This Row],[''19'']]+Tableau_Lancer_la_requête_à_partir_de_Excel_Files3[[#This Row],[''23'']]+Tableau_Lancer_la_requête_à_partir_de_Excel_Files3[[#This Row],[''30'']]+Tableau_Lancer_la_requête_à_partir_de_Excel_Files3[[#This Row],[''34'']]+Tableau_Lancer_la_requête_à_partir_de_Excel_Files3[[#This Row],[''42'']]+Tableau_Lancer_la_requête_à_partir_de_Excel_Files3[[#This Row],[''43'']]+Tableau_Lancer_la_requête_à_partir_de_Excel_Files3[[#This Row],[''46'']]+Tableau_Lancer_la_requête_à_partir_de_Excel_Files3[[#This Row],[''48'']]+Tableau_Lancer_la_requête_à_partir_de_Excel_Files3[[#This Row],[''58'']]+Tableau_Lancer_la_requête_à_partir_de_Excel_Files3[[#This Row],[''63'']]+Tableau_Lancer_la_requête_à_partir_de_Excel_Files3[[#This Row],[''69'']]+Tableau_Lancer_la_requête_à_partir_de_Excel_Files3[[#This Row],[''71'']]+Tableau_Lancer_la_requête_à_partir_de_Excel_Files3[[#This Row],[''81'']]+Tableau_Lancer_la_requête_à_partir_de_Excel_Files3[[#This Row],[''82'']]+Tableau_Lancer_la_requête_à_partir_de_Excel_Files3[[#This Row],[''87'']]+Tableau_Lancer_la_requête_à_partir_de_Excel_Files3[[#This Row],[''89'']]</f>
        <v>0</v>
      </c>
      <c r="V25" s="47"/>
      <c r="W25" s="47"/>
      <c r="X25" s="47"/>
      <c r="Y25" s="47"/>
      <c r="Z25" s="47"/>
      <c r="AA25" s="47"/>
      <c r="AB25" s="47"/>
      <c r="AC25" s="47"/>
      <c r="AD25" s="47"/>
      <c r="AE25" s="47"/>
      <c r="AF25" s="47"/>
      <c r="AG25" s="47"/>
      <c r="AH25" s="47"/>
      <c r="AI25" s="47"/>
      <c r="AJ25" s="47"/>
      <c r="AK25" s="47"/>
      <c r="AL25" s="47"/>
      <c r="AM25" s="47"/>
      <c r="AN25" s="47"/>
      <c r="AO25" s="47"/>
      <c r="AP25" s="47"/>
      <c r="AQ25" s="47"/>
      <c r="AR25" s="47">
        <v>11371.47</v>
      </c>
      <c r="AS25" s="47">
        <v>0</v>
      </c>
      <c r="AT25" s="41" t="s">
        <v>77</v>
      </c>
      <c r="AV25" s="64" t="s">
        <v>332</v>
      </c>
      <c r="AW25" s="40" t="s">
        <v>314</v>
      </c>
      <c r="AX25" s="41"/>
      <c r="AY25" s="41"/>
      <c r="AZ25" s="41"/>
      <c r="BA25" s="41"/>
      <c r="BB25" s="41"/>
      <c r="BC25" s="41"/>
      <c r="BD25" s="41"/>
      <c r="BE25" s="41"/>
      <c r="BF25" s="41"/>
      <c r="BG25" s="41"/>
      <c r="BH25" s="41"/>
      <c r="BI25" s="41"/>
      <c r="BJ25" s="41"/>
      <c r="BK25" s="41"/>
      <c r="BL25" s="41"/>
      <c r="BM25" s="41"/>
      <c r="BN25" s="41"/>
      <c r="BO25" s="41"/>
      <c r="BP25" s="41"/>
      <c r="BQ25" s="41"/>
      <c r="BR25" s="41"/>
      <c r="BS25" s="41"/>
      <c r="BT25" s="41"/>
      <c r="BU25" s="41"/>
      <c r="BV25" s="41"/>
      <c r="BW25" s="41"/>
      <c r="BX25" s="41"/>
      <c r="BY25" s="41"/>
      <c r="BZ25" s="41"/>
      <c r="CA25" s="41"/>
      <c r="CB25" s="41"/>
      <c r="CC25" s="41"/>
      <c r="CD25" s="41"/>
      <c r="CM25" s="37"/>
      <c r="CN25" s="37"/>
      <c r="CO25" s="37"/>
      <c r="CP25" s="37"/>
      <c r="CQ25" s="37"/>
      <c r="CR25" s="37"/>
      <c r="CS25" s="37"/>
      <c r="CT25" s="37"/>
      <c r="CU25" s="37"/>
      <c r="CV25" s="37"/>
      <c r="CW25" s="37"/>
      <c r="CX25" s="37"/>
      <c r="CY25" s="37"/>
      <c r="CZ25" s="37"/>
      <c r="DA25" s="37"/>
      <c r="DB25" s="37"/>
      <c r="DC25" s="37"/>
      <c r="DD25" s="37"/>
      <c r="DE25" s="37"/>
      <c r="DF25" s="37"/>
      <c r="DG25" s="37"/>
      <c r="DH25" s="37"/>
    </row>
    <row r="26" spans="1:112" ht="75" x14ac:dyDescent="0.25">
      <c r="A26" s="43" t="s">
        <v>5</v>
      </c>
      <c r="B26" s="45" t="s">
        <v>316</v>
      </c>
      <c r="C26" s="45" t="s">
        <v>316</v>
      </c>
      <c r="D26" s="46" t="s">
        <v>317</v>
      </c>
      <c r="E26" s="46" t="s">
        <v>311</v>
      </c>
      <c r="F26" s="47">
        <v>79078.78</v>
      </c>
      <c r="G26" s="47">
        <v>42703.62</v>
      </c>
      <c r="H26" s="47">
        <f>IF(Tableau_Lancer_la_requête_à_partir_de_Excel_Files3[[#This Row],[Coût total Eligible FEDER]]="",Tableau_Lancer_la_requête_à_partir_de_Excel_Files3[[#This Row],[Coût total déposé]],Tableau_Lancer_la_requête_à_partir_de_Excel_Files3[[#This Row],[Coût total Eligible FEDER]])</f>
        <v>42703.62</v>
      </c>
      <c r="I26" s="47">
        <f>Tableau_Lancer_la_requête_à_partir_de_Excel_Files3[[#This Row],[Aide Massif Obtenu]]+Tableau_Lancer_la_requête_à_partir_de_Excel_Files3[[#This Row],[''Autre Public'']]</f>
        <v>31279.54</v>
      </c>
      <c r="J26" s="48">
        <f>Tableau_Lancer_la_requête_à_partir_de_Excel_Files3[[#This Row],[Aide Publique Obtenue]]/Tableau_Lancer_la_requête_à_partir_de_Excel_Files3[[#This Row],[Coût total]]</f>
        <v>0.73247982255368516</v>
      </c>
      <c r="K26" s="47">
        <f>Tableau_Lancer_la_requête_à_partir_de_Excel_Files3[[#This Row],[Etat]]+Tableau_Lancer_la_requête_à_partir_de_Excel_Files3[[#This Row],[Régions]]+Tableau_Lancer_la_requête_à_partir_de_Excel_Files3[[#This Row],[Départements]]+Tableau_Lancer_la_requête_à_partir_de_Excel_Files3[[#This Row],[''FEDER'']]</f>
        <v>31279.54</v>
      </c>
      <c r="L26" s="48">
        <f>Tableau_Lancer_la_requête_à_partir_de_Excel_Files3[[#This Row],[Aide Massif Obtenu]]/Tableau_Lancer_la_requête_à_partir_de_Excel_Files3[[#This Row],[Coût total]]</f>
        <v>0.73247982255368516</v>
      </c>
      <c r="M26" s="49">
        <f>Tableau_Lancer_la_requête_à_partir_de_Excel_Files3[[#This Row],[''FNADT'']]+Tableau_Lancer_la_requête_à_partir_de_Excel_Files3[[#This Row],[''Agriculture'']]</f>
        <v>20514.27</v>
      </c>
      <c r="N26" s="47">
        <v>20514.27</v>
      </c>
      <c r="O26" s="47"/>
      <c r="P26" s="49">
        <f>Tableau_Lancer_la_requête_à_partir_de_Excel_Files3[[#This Row],[''ALPC'']]+Tableau_Lancer_la_requête_à_partir_de_Excel_Files3[[#This Row],[''AURA'']]+Tableau_Lancer_la_requête_à_partir_de_Excel_Files3[[#This Row],[''BFC'']]+Tableau_Lancer_la_requête_à_partir_de_Excel_Files3[[#This Row],[''LRMP'']]</f>
        <v>0</v>
      </c>
      <c r="Q26" s="47"/>
      <c r="R26" s="47"/>
      <c r="S26" s="47"/>
      <c r="T26" s="47"/>
      <c r="U26" s="49">
        <f>Tableau_Lancer_la_requête_à_partir_de_Excel_Files3[[#This Row],[''03'']]+Tableau_Lancer_la_requête_à_partir_de_Excel_Files3[[#This Row],[''07'']]+Tableau_Lancer_la_requête_à_partir_de_Excel_Files3[[#This Row],[''11'']]+Tableau_Lancer_la_requête_à_partir_de_Excel_Files3[[#This Row],[''12'']]+Tableau_Lancer_la_requête_à_partir_de_Excel_Files3[[#This Row],[''15'']]+Tableau_Lancer_la_requête_à_partir_de_Excel_Files3[[#This Row],[''21'']]+Tableau_Lancer_la_requête_à_partir_de_Excel_Files3[[#This Row],[''19'']]+Tableau_Lancer_la_requête_à_partir_de_Excel_Files3[[#This Row],[''23'']]+Tableau_Lancer_la_requête_à_partir_de_Excel_Files3[[#This Row],[''30'']]+Tableau_Lancer_la_requête_à_partir_de_Excel_Files3[[#This Row],[''34'']]+Tableau_Lancer_la_requête_à_partir_de_Excel_Files3[[#This Row],[''42'']]+Tableau_Lancer_la_requête_à_partir_de_Excel_Files3[[#This Row],[''43'']]+Tableau_Lancer_la_requête_à_partir_de_Excel_Files3[[#This Row],[''46'']]+Tableau_Lancer_la_requête_à_partir_de_Excel_Files3[[#This Row],[''48'']]+Tableau_Lancer_la_requête_à_partir_de_Excel_Files3[[#This Row],[''58'']]+Tableau_Lancer_la_requête_à_partir_de_Excel_Files3[[#This Row],[''63'']]+Tableau_Lancer_la_requête_à_partir_de_Excel_Files3[[#This Row],[''69'']]+Tableau_Lancer_la_requête_à_partir_de_Excel_Files3[[#This Row],[''71'']]+Tableau_Lancer_la_requête_à_partir_de_Excel_Files3[[#This Row],[''81'']]+Tableau_Lancer_la_requête_à_partir_de_Excel_Files3[[#This Row],[''82'']]+Tableau_Lancer_la_requête_à_partir_de_Excel_Files3[[#This Row],[''87'']]+Tableau_Lancer_la_requête_à_partir_de_Excel_Files3[[#This Row],[''89'']]</f>
        <v>0</v>
      </c>
      <c r="V26" s="47"/>
      <c r="W26" s="47"/>
      <c r="X26" s="47"/>
      <c r="Y26" s="47"/>
      <c r="Z26" s="47"/>
      <c r="AA26" s="47"/>
      <c r="AB26" s="47"/>
      <c r="AC26" s="47"/>
      <c r="AD26" s="47"/>
      <c r="AE26" s="47"/>
      <c r="AF26" s="47"/>
      <c r="AG26" s="47"/>
      <c r="AH26" s="47"/>
      <c r="AI26" s="47"/>
      <c r="AJ26" s="47"/>
      <c r="AK26" s="47"/>
      <c r="AL26" s="47"/>
      <c r="AM26" s="47"/>
      <c r="AN26" s="47"/>
      <c r="AO26" s="47"/>
      <c r="AP26" s="47"/>
      <c r="AQ26" s="47"/>
      <c r="AR26" s="47">
        <v>10765.27</v>
      </c>
      <c r="AS26" s="47">
        <v>0</v>
      </c>
      <c r="AT26" s="41" t="s">
        <v>77</v>
      </c>
      <c r="AV26" s="55" t="s">
        <v>330</v>
      </c>
      <c r="AW26" s="40" t="s">
        <v>316</v>
      </c>
      <c r="CM26" s="37"/>
      <c r="CN26" s="37"/>
      <c r="CO26" s="37"/>
      <c r="CP26" s="37"/>
      <c r="CQ26" s="37"/>
      <c r="CR26" s="37"/>
      <c r="CS26" s="37"/>
      <c r="CT26" s="37"/>
      <c r="CU26" s="37"/>
      <c r="CV26" s="37"/>
      <c r="CW26" s="37"/>
      <c r="CX26" s="37"/>
      <c r="CY26" s="37"/>
      <c r="CZ26" s="37"/>
      <c r="DA26" s="37"/>
      <c r="DB26" s="37"/>
      <c r="DC26" s="37"/>
      <c r="DD26" s="37"/>
      <c r="DE26" s="37"/>
      <c r="DF26" s="37"/>
      <c r="DG26" s="37"/>
      <c r="DH26" s="37"/>
    </row>
    <row r="27" spans="1:112" ht="75" x14ac:dyDescent="0.25">
      <c r="A27" s="43" t="s">
        <v>5</v>
      </c>
      <c r="B27" s="45" t="s">
        <v>318</v>
      </c>
      <c r="C27" s="45" t="s">
        <v>318</v>
      </c>
      <c r="D27" s="46" t="s">
        <v>319</v>
      </c>
      <c r="E27" s="46" t="s">
        <v>311</v>
      </c>
      <c r="F27" s="47">
        <v>134313.15765624651</v>
      </c>
      <c r="G27" s="47">
        <v>116706.45</v>
      </c>
      <c r="H27" s="47">
        <f>IF(Tableau_Lancer_la_requête_à_partir_de_Excel_Files3[[#This Row],[Coût total Eligible FEDER]]="",Tableau_Lancer_la_requête_à_partir_de_Excel_Files3[[#This Row],[Coût total déposé]],Tableau_Lancer_la_requête_à_partir_de_Excel_Files3[[#This Row],[Coût total Eligible FEDER]])</f>
        <v>116706.45</v>
      </c>
      <c r="I27" s="47">
        <f>Tableau_Lancer_la_requête_à_partir_de_Excel_Files3[[#This Row],[Aide Massif Obtenu]]+Tableau_Lancer_la_requête_à_partir_de_Excel_Files3[[#This Row],[''Autre Public'']]</f>
        <v>85500</v>
      </c>
      <c r="J27" s="48">
        <f>Tableau_Lancer_la_requête_à_partir_de_Excel_Files3[[#This Row],[Aide Publique Obtenue]]/Tableau_Lancer_la_requête_à_partir_de_Excel_Files3[[#This Row],[Coût total]]</f>
        <v>0.7326073237597408</v>
      </c>
      <c r="K27" s="47">
        <f>Tableau_Lancer_la_requête_à_partir_de_Excel_Files3[[#This Row],[Etat]]+Tableau_Lancer_la_requête_à_partir_de_Excel_Files3[[#This Row],[Régions]]+Tableau_Lancer_la_requête_à_partir_de_Excel_Files3[[#This Row],[Départements]]+Tableau_Lancer_la_requête_à_partir_de_Excel_Files3[[#This Row],[''FEDER'']]</f>
        <v>85500</v>
      </c>
      <c r="L27" s="48">
        <f>Tableau_Lancer_la_requête_à_partir_de_Excel_Files3[[#This Row],[Aide Massif Obtenu]]/Tableau_Lancer_la_requête_à_partir_de_Excel_Files3[[#This Row],[Coût total]]</f>
        <v>0.7326073237597408</v>
      </c>
      <c r="M27" s="49">
        <f>Tableau_Lancer_la_requête_à_partir_de_Excel_Files3[[#This Row],[''FNADT'']]+Tableau_Lancer_la_requête_à_partir_de_Excel_Files3[[#This Row],[''Agriculture'']]</f>
        <v>15743.6</v>
      </c>
      <c r="N27" s="47">
        <v>15743.6</v>
      </c>
      <c r="O27" s="47"/>
      <c r="P27" s="49">
        <f>Tableau_Lancer_la_requête_à_partir_de_Excel_Files3[[#This Row],[''ALPC'']]+Tableau_Lancer_la_requête_à_partir_de_Excel_Files3[[#This Row],[''AURA'']]+Tableau_Lancer_la_requête_à_partir_de_Excel_Files3[[#This Row],[''BFC'']]+Tableau_Lancer_la_requête_à_partir_de_Excel_Files3[[#This Row],[''LRMP'']]</f>
        <v>40293.949999999997</v>
      </c>
      <c r="Q27" s="47"/>
      <c r="R27" s="47">
        <v>40293.949999999997</v>
      </c>
      <c r="S27" s="47"/>
      <c r="T27" s="47"/>
      <c r="U27" s="49">
        <f>Tableau_Lancer_la_requête_à_partir_de_Excel_Files3[[#This Row],[''03'']]+Tableau_Lancer_la_requête_à_partir_de_Excel_Files3[[#This Row],[''07'']]+Tableau_Lancer_la_requête_à_partir_de_Excel_Files3[[#This Row],[''11'']]+Tableau_Lancer_la_requête_à_partir_de_Excel_Files3[[#This Row],[''12'']]+Tableau_Lancer_la_requête_à_partir_de_Excel_Files3[[#This Row],[''15'']]+Tableau_Lancer_la_requête_à_partir_de_Excel_Files3[[#This Row],[''21'']]+Tableau_Lancer_la_requête_à_partir_de_Excel_Files3[[#This Row],[''19'']]+Tableau_Lancer_la_requête_à_partir_de_Excel_Files3[[#This Row],[''23'']]+Tableau_Lancer_la_requête_à_partir_de_Excel_Files3[[#This Row],[''30'']]+Tableau_Lancer_la_requête_à_partir_de_Excel_Files3[[#This Row],[''34'']]+Tableau_Lancer_la_requête_à_partir_de_Excel_Files3[[#This Row],[''42'']]+Tableau_Lancer_la_requête_à_partir_de_Excel_Files3[[#This Row],[''43'']]+Tableau_Lancer_la_requête_à_partir_de_Excel_Files3[[#This Row],[''46'']]+Tableau_Lancer_la_requête_à_partir_de_Excel_Files3[[#This Row],[''48'']]+Tableau_Lancer_la_requête_à_partir_de_Excel_Files3[[#This Row],[''58'']]+Tableau_Lancer_la_requête_à_partir_de_Excel_Files3[[#This Row],[''63'']]+Tableau_Lancer_la_requête_à_partir_de_Excel_Files3[[#This Row],[''69'']]+Tableau_Lancer_la_requête_à_partir_de_Excel_Files3[[#This Row],[''71'']]+Tableau_Lancer_la_requête_à_partir_de_Excel_Files3[[#This Row],[''81'']]+Tableau_Lancer_la_requête_à_partir_de_Excel_Files3[[#This Row],[''82'']]+Tableau_Lancer_la_requête_à_partir_de_Excel_Files3[[#This Row],[''87'']]+Tableau_Lancer_la_requête_à_partir_de_Excel_Files3[[#This Row],[''89'']]</f>
        <v>0</v>
      </c>
      <c r="V27" s="47"/>
      <c r="W27" s="47"/>
      <c r="X27" s="47"/>
      <c r="Y27" s="47"/>
      <c r="Z27" s="47"/>
      <c r="AA27" s="47"/>
      <c r="AB27" s="47"/>
      <c r="AC27" s="47"/>
      <c r="AD27" s="47"/>
      <c r="AE27" s="47"/>
      <c r="AF27" s="47"/>
      <c r="AG27" s="47"/>
      <c r="AH27" s="47"/>
      <c r="AI27" s="47"/>
      <c r="AJ27" s="47"/>
      <c r="AK27" s="47"/>
      <c r="AL27" s="47"/>
      <c r="AM27" s="47"/>
      <c r="AN27" s="47"/>
      <c r="AO27" s="47"/>
      <c r="AP27" s="47"/>
      <c r="AQ27" s="47"/>
      <c r="AR27" s="47">
        <v>29462.45</v>
      </c>
      <c r="AS27" s="47">
        <v>0</v>
      </c>
      <c r="AT27" s="41" t="s">
        <v>77</v>
      </c>
      <c r="AV27" s="64" t="s">
        <v>331</v>
      </c>
      <c r="AW27" s="40" t="s">
        <v>318</v>
      </c>
      <c r="CM27" s="37"/>
      <c r="CN27" s="37"/>
      <c r="CO27" s="37"/>
      <c r="CP27" s="37"/>
      <c r="CQ27" s="37"/>
      <c r="CR27" s="37"/>
      <c r="CS27" s="37"/>
      <c r="CT27" s="37"/>
      <c r="CU27" s="37"/>
      <c r="CV27" s="37"/>
      <c r="CW27" s="37"/>
      <c r="CX27" s="37"/>
      <c r="CY27" s="37"/>
      <c r="CZ27" s="37"/>
      <c r="DA27" s="37"/>
      <c r="DB27" s="37"/>
      <c r="DC27" s="37"/>
      <c r="DD27" s="37"/>
      <c r="DE27" s="37"/>
      <c r="DF27" s="37"/>
      <c r="DG27" s="37"/>
      <c r="DH27" s="37"/>
    </row>
    <row r="28" spans="1:112" ht="45" x14ac:dyDescent="0.25">
      <c r="A28" s="43" t="s">
        <v>5</v>
      </c>
      <c r="B28" s="45" t="s">
        <v>125</v>
      </c>
      <c r="C28" s="45" t="s">
        <v>125</v>
      </c>
      <c r="D28" s="46" t="s">
        <v>126</v>
      </c>
      <c r="E28" s="46" t="s">
        <v>127</v>
      </c>
      <c r="F28" s="47">
        <v>382962.56</v>
      </c>
      <c r="G28" s="47">
        <v>245746.12</v>
      </c>
      <c r="H28" s="47">
        <f>IF(Tableau_Lancer_la_requête_à_partir_de_Excel_Files3[[#This Row],[Coût total Eligible FEDER]]="",Tableau_Lancer_la_requête_à_partir_de_Excel_Files3[[#This Row],[Coût total déposé]],Tableau_Lancer_la_requête_à_partir_de_Excel_Files3[[#This Row],[Coût total Eligible FEDER]])</f>
        <v>245746.12</v>
      </c>
      <c r="I28" s="47">
        <f>Tableau_Lancer_la_requête_à_partir_de_Excel_Files3[[#This Row],[Aide Massif Obtenu]]+Tableau_Lancer_la_requête_à_partir_de_Excel_Files3[[#This Row],[''Autre Public'']]</f>
        <v>100000</v>
      </c>
      <c r="J28" s="48">
        <f>Tableau_Lancer_la_requête_à_partir_de_Excel_Files3[[#This Row],[Aide Publique Obtenue]]/Tableau_Lancer_la_requête_à_partir_de_Excel_Files3[[#This Row],[Coût total]]</f>
        <v>0.40692402386658233</v>
      </c>
      <c r="K28" s="47">
        <f>Tableau_Lancer_la_requête_à_partir_de_Excel_Files3[[#This Row],[Etat]]+Tableau_Lancer_la_requête_à_partir_de_Excel_Files3[[#This Row],[Régions]]+Tableau_Lancer_la_requête_à_partir_de_Excel_Files3[[#This Row],[Départements]]+Tableau_Lancer_la_requête_à_partir_de_Excel_Files3[[#This Row],[''FEDER'']]</f>
        <v>100000</v>
      </c>
      <c r="L28" s="48">
        <f>Tableau_Lancer_la_requête_à_partir_de_Excel_Files3[[#This Row],[Aide Massif Obtenu]]/Tableau_Lancer_la_requête_à_partir_de_Excel_Files3[[#This Row],[Coût total]]</f>
        <v>0.40692402386658233</v>
      </c>
      <c r="M28" s="49">
        <f>Tableau_Lancer_la_requête_à_partir_de_Excel_Files3[[#This Row],[''FNADT'']]+Tableau_Lancer_la_requête_à_partir_de_Excel_Files3[[#This Row],[''Agriculture'']]</f>
        <v>0</v>
      </c>
      <c r="N28" s="47"/>
      <c r="O28" s="47"/>
      <c r="P28" s="49">
        <f>Tableau_Lancer_la_requête_à_partir_de_Excel_Files3[[#This Row],[''ALPC'']]+Tableau_Lancer_la_requête_à_partir_de_Excel_Files3[[#This Row],[''AURA'']]+Tableau_Lancer_la_requête_à_partir_de_Excel_Files3[[#This Row],[''BFC'']]+Tableau_Lancer_la_requête_à_partir_de_Excel_Files3[[#This Row],[''LRMP'']]</f>
        <v>0</v>
      </c>
      <c r="Q28" s="47"/>
      <c r="R28" s="47"/>
      <c r="S28" s="47"/>
      <c r="T28" s="47"/>
      <c r="U28" s="49">
        <f>Tableau_Lancer_la_requête_à_partir_de_Excel_Files3[[#This Row],[''03'']]+Tableau_Lancer_la_requête_à_partir_de_Excel_Files3[[#This Row],[''07'']]+Tableau_Lancer_la_requête_à_partir_de_Excel_Files3[[#This Row],[''11'']]+Tableau_Lancer_la_requête_à_partir_de_Excel_Files3[[#This Row],[''12'']]+Tableau_Lancer_la_requête_à_partir_de_Excel_Files3[[#This Row],[''15'']]+Tableau_Lancer_la_requête_à_partir_de_Excel_Files3[[#This Row],[''21'']]+Tableau_Lancer_la_requête_à_partir_de_Excel_Files3[[#This Row],[''19'']]+Tableau_Lancer_la_requête_à_partir_de_Excel_Files3[[#This Row],[''23'']]+Tableau_Lancer_la_requête_à_partir_de_Excel_Files3[[#This Row],[''30'']]+Tableau_Lancer_la_requête_à_partir_de_Excel_Files3[[#This Row],[''34'']]+Tableau_Lancer_la_requête_à_partir_de_Excel_Files3[[#This Row],[''42'']]+Tableau_Lancer_la_requête_à_partir_de_Excel_Files3[[#This Row],[''43'']]+Tableau_Lancer_la_requête_à_partir_de_Excel_Files3[[#This Row],[''46'']]+Tableau_Lancer_la_requête_à_partir_de_Excel_Files3[[#This Row],[''48'']]+Tableau_Lancer_la_requête_à_partir_de_Excel_Files3[[#This Row],[''58'']]+Tableau_Lancer_la_requête_à_partir_de_Excel_Files3[[#This Row],[''63'']]+Tableau_Lancer_la_requête_à_partir_de_Excel_Files3[[#This Row],[''69'']]+Tableau_Lancer_la_requête_à_partir_de_Excel_Files3[[#This Row],[''71'']]+Tableau_Lancer_la_requête_à_partir_de_Excel_Files3[[#This Row],[''81'']]+Tableau_Lancer_la_requête_à_partir_de_Excel_Files3[[#This Row],[''82'']]+Tableau_Lancer_la_requête_à_partir_de_Excel_Files3[[#This Row],[''87'']]+Tableau_Lancer_la_requête_à_partir_de_Excel_Files3[[#This Row],[''89'']]</f>
        <v>0</v>
      </c>
      <c r="V28" s="47"/>
      <c r="W28" s="47"/>
      <c r="X28" s="47"/>
      <c r="Y28" s="47"/>
      <c r="Z28" s="47"/>
      <c r="AA28" s="47"/>
      <c r="AB28" s="47"/>
      <c r="AC28" s="47"/>
      <c r="AD28" s="47"/>
      <c r="AE28" s="47"/>
      <c r="AF28" s="47"/>
      <c r="AG28" s="47"/>
      <c r="AH28" s="47"/>
      <c r="AI28" s="47"/>
      <c r="AJ28" s="47"/>
      <c r="AK28" s="47"/>
      <c r="AL28" s="47"/>
      <c r="AM28" s="47"/>
      <c r="AN28" s="47"/>
      <c r="AO28" s="47"/>
      <c r="AP28" s="47"/>
      <c r="AQ28" s="47"/>
      <c r="AR28" s="47">
        <v>100000</v>
      </c>
      <c r="AS28" s="47">
        <v>0</v>
      </c>
      <c r="AT28" s="41" t="s">
        <v>77</v>
      </c>
      <c r="AV28" s="55" t="s">
        <v>339</v>
      </c>
      <c r="AW28" s="40" t="s">
        <v>125</v>
      </c>
      <c r="CM28" s="37"/>
      <c r="CN28" s="37"/>
      <c r="CO28" s="37"/>
      <c r="CP28" s="37"/>
      <c r="CQ28" s="37"/>
      <c r="CR28" s="37"/>
      <c r="CS28" s="37"/>
      <c r="CT28" s="37"/>
      <c r="CU28" s="37"/>
      <c r="CV28" s="37"/>
      <c r="CW28" s="37"/>
      <c r="CX28" s="37"/>
      <c r="CY28" s="37"/>
      <c r="CZ28" s="37"/>
      <c r="DA28" s="37"/>
      <c r="DB28" s="37"/>
      <c r="DC28" s="37"/>
      <c r="DD28" s="37"/>
      <c r="DE28" s="37"/>
      <c r="DF28" s="37"/>
      <c r="DG28" s="37"/>
      <c r="DH28" s="37"/>
    </row>
    <row r="29" spans="1:112" x14ac:dyDescent="0.25">
      <c r="A29" s="43" t="s">
        <v>4</v>
      </c>
      <c r="B29" s="45" t="s">
        <v>13</v>
      </c>
      <c r="C29" s="45" t="s">
        <v>13</v>
      </c>
      <c r="D29" s="46" t="s">
        <v>14</v>
      </c>
      <c r="E29" s="46" t="s">
        <v>15</v>
      </c>
      <c r="F29" s="47">
        <v>17300.009999999998</v>
      </c>
      <c r="G29" s="47"/>
      <c r="H29" s="47">
        <f>IF(Tableau_Lancer_la_requête_à_partir_de_Excel_Files3[[#This Row],[Coût total Eligible FEDER]]="",Tableau_Lancer_la_requête_à_partir_de_Excel_Files3[[#This Row],[Coût total déposé]],Tableau_Lancer_la_requête_à_partir_de_Excel_Files3[[#This Row],[Coût total Eligible FEDER]])</f>
        <v>17300.009999999998</v>
      </c>
      <c r="I29" s="47">
        <f>Tableau_Lancer_la_requête_à_partir_de_Excel_Files3[[#This Row],[Aide Massif Obtenu]]+Tableau_Lancer_la_requête_à_partir_de_Excel_Files3[[#This Row],[''Autre Public'']]</f>
        <v>6055</v>
      </c>
      <c r="J29" s="48">
        <f>Tableau_Lancer_la_requête_à_partir_de_Excel_Files3[[#This Row],[Aide Publique Obtenue]]/Tableau_Lancer_la_requête_à_partir_de_Excel_Files3[[#This Row],[Coût total]]</f>
        <v>0.34999979768797823</v>
      </c>
      <c r="K29" s="47">
        <f>Tableau_Lancer_la_requête_à_partir_de_Excel_Files3[[#This Row],[Etat]]+Tableau_Lancer_la_requête_à_partir_de_Excel_Files3[[#This Row],[Régions]]+Tableau_Lancer_la_requête_à_partir_de_Excel_Files3[[#This Row],[Départements]]+Tableau_Lancer_la_requête_à_partir_de_Excel_Files3[[#This Row],[''FEDER'']]</f>
        <v>6055</v>
      </c>
      <c r="L29" s="48">
        <f>Tableau_Lancer_la_requête_à_partir_de_Excel_Files3[[#This Row],[Aide Massif Obtenu]]/Tableau_Lancer_la_requête_à_partir_de_Excel_Files3[[#This Row],[Coût total]]</f>
        <v>0.34999979768797823</v>
      </c>
      <c r="M29" s="49">
        <f>Tableau_Lancer_la_requête_à_partir_de_Excel_Files3[[#This Row],[''FNADT'']]+Tableau_Lancer_la_requête_à_partir_de_Excel_Files3[[#This Row],[''Agriculture'']]</f>
        <v>6055</v>
      </c>
      <c r="N29" s="47">
        <v>6055</v>
      </c>
      <c r="O29" s="47"/>
      <c r="P29" s="49">
        <f>Tableau_Lancer_la_requête_à_partir_de_Excel_Files3[[#This Row],[''ALPC'']]+Tableau_Lancer_la_requête_à_partir_de_Excel_Files3[[#This Row],[''AURA'']]+Tableau_Lancer_la_requête_à_partir_de_Excel_Files3[[#This Row],[''BFC'']]+Tableau_Lancer_la_requête_à_partir_de_Excel_Files3[[#This Row],[''LRMP'']]</f>
        <v>0</v>
      </c>
      <c r="Q29" s="47"/>
      <c r="R29" s="47"/>
      <c r="S29" s="47"/>
      <c r="T29" s="47"/>
      <c r="U29" s="49">
        <f>Tableau_Lancer_la_requête_à_partir_de_Excel_Files3[[#This Row],[''03'']]+Tableau_Lancer_la_requête_à_partir_de_Excel_Files3[[#This Row],[''07'']]+Tableau_Lancer_la_requête_à_partir_de_Excel_Files3[[#This Row],[''11'']]+Tableau_Lancer_la_requête_à_partir_de_Excel_Files3[[#This Row],[''12'']]+Tableau_Lancer_la_requête_à_partir_de_Excel_Files3[[#This Row],[''15'']]+Tableau_Lancer_la_requête_à_partir_de_Excel_Files3[[#This Row],[''21'']]+Tableau_Lancer_la_requête_à_partir_de_Excel_Files3[[#This Row],[''19'']]+Tableau_Lancer_la_requête_à_partir_de_Excel_Files3[[#This Row],[''23'']]+Tableau_Lancer_la_requête_à_partir_de_Excel_Files3[[#This Row],[''30'']]+Tableau_Lancer_la_requête_à_partir_de_Excel_Files3[[#This Row],[''34'']]+Tableau_Lancer_la_requête_à_partir_de_Excel_Files3[[#This Row],[''42'']]+Tableau_Lancer_la_requête_à_partir_de_Excel_Files3[[#This Row],[''43'']]+Tableau_Lancer_la_requête_à_partir_de_Excel_Files3[[#This Row],[''46'']]+Tableau_Lancer_la_requête_à_partir_de_Excel_Files3[[#This Row],[''48'']]+Tableau_Lancer_la_requête_à_partir_de_Excel_Files3[[#This Row],[''58'']]+Tableau_Lancer_la_requête_à_partir_de_Excel_Files3[[#This Row],[''63'']]+Tableau_Lancer_la_requête_à_partir_de_Excel_Files3[[#This Row],[''69'']]+Tableau_Lancer_la_requête_à_partir_de_Excel_Files3[[#This Row],[''71'']]+Tableau_Lancer_la_requête_à_partir_de_Excel_Files3[[#This Row],[''81'']]+Tableau_Lancer_la_requête_à_partir_de_Excel_Files3[[#This Row],[''82'']]+Tableau_Lancer_la_requête_à_partir_de_Excel_Files3[[#This Row],[''87'']]+Tableau_Lancer_la_requête_à_partir_de_Excel_Files3[[#This Row],[''89'']]</f>
        <v>0</v>
      </c>
      <c r="V29" s="47"/>
      <c r="W29" s="47"/>
      <c r="X29" s="47"/>
      <c r="Y29" s="47"/>
      <c r="Z29" s="47"/>
      <c r="AA29" s="47"/>
      <c r="AB29" s="47"/>
      <c r="AC29" s="47"/>
      <c r="AD29" s="47"/>
      <c r="AE29" s="47"/>
      <c r="AF29" s="47"/>
      <c r="AG29" s="47"/>
      <c r="AH29" s="47"/>
      <c r="AI29" s="47"/>
      <c r="AJ29" s="47"/>
      <c r="AK29" s="47"/>
      <c r="AL29" s="47"/>
      <c r="AM29" s="47"/>
      <c r="AN29" s="47"/>
      <c r="AO29" s="47"/>
      <c r="AP29" s="47"/>
      <c r="AQ29" s="47"/>
      <c r="AR29" s="47">
        <v>0</v>
      </c>
      <c r="AS29" s="47">
        <v>0</v>
      </c>
      <c r="AT29" s="41" t="s">
        <v>77</v>
      </c>
      <c r="AV29" s="64"/>
      <c r="AW29" s="40" t="s">
        <v>13</v>
      </c>
      <c r="CM29" s="37"/>
      <c r="CN29" s="37"/>
      <c r="CO29" s="37"/>
      <c r="CP29" s="37"/>
      <c r="CQ29" s="37"/>
      <c r="CR29" s="37"/>
      <c r="CS29" s="37"/>
      <c r="CT29" s="37"/>
      <c r="CU29" s="37"/>
      <c r="CV29" s="37"/>
      <c r="CW29" s="37"/>
      <c r="CX29" s="37"/>
      <c r="CY29" s="37"/>
      <c r="CZ29" s="37"/>
      <c r="DA29" s="37"/>
      <c r="DB29" s="37"/>
      <c r="DC29" s="37"/>
      <c r="DD29" s="37"/>
      <c r="DE29" s="37"/>
      <c r="DF29" s="37"/>
      <c r="DG29" s="37"/>
      <c r="DH29" s="37"/>
    </row>
    <row r="30" spans="1:112" x14ac:dyDescent="0.25">
      <c r="A30" s="43" t="s">
        <v>4</v>
      </c>
      <c r="B30" s="45" t="s">
        <v>16</v>
      </c>
      <c r="C30" s="45" t="s">
        <v>16</v>
      </c>
      <c r="D30" s="46" t="s">
        <v>12</v>
      </c>
      <c r="E30" s="46" t="s">
        <v>17</v>
      </c>
      <c r="F30" s="47">
        <v>31369.11</v>
      </c>
      <c r="G30" s="47"/>
      <c r="H30" s="47">
        <f>IF(Tableau_Lancer_la_requête_à_partir_de_Excel_Files3[[#This Row],[Coût total Eligible FEDER]]="",Tableau_Lancer_la_requête_à_partir_de_Excel_Files3[[#This Row],[Coût total déposé]],Tableau_Lancer_la_requête_à_partir_de_Excel_Files3[[#This Row],[Coût total Eligible FEDER]])</f>
        <v>31369.11</v>
      </c>
      <c r="I30" s="47">
        <f>Tableau_Lancer_la_requête_à_partir_de_Excel_Files3[[#This Row],[Aide Massif Obtenu]]+Tableau_Lancer_la_requête_à_partir_de_Excel_Files3[[#This Row],[''Autre Public'']]</f>
        <v>10979</v>
      </c>
      <c r="J30" s="48">
        <f>Tableau_Lancer_la_requête_à_partir_de_Excel_Files3[[#This Row],[Aide Publique Obtenue]]/Tableau_Lancer_la_requête_à_partir_de_Excel_Files3[[#This Row],[Coût total]]</f>
        <v>0.34999399090379035</v>
      </c>
      <c r="K30" s="47">
        <f>Tableau_Lancer_la_requête_à_partir_de_Excel_Files3[[#This Row],[Etat]]+Tableau_Lancer_la_requête_à_partir_de_Excel_Files3[[#This Row],[Régions]]+Tableau_Lancer_la_requête_à_partir_de_Excel_Files3[[#This Row],[Départements]]+Tableau_Lancer_la_requête_à_partir_de_Excel_Files3[[#This Row],[''FEDER'']]</f>
        <v>10979</v>
      </c>
      <c r="L30" s="48">
        <f>Tableau_Lancer_la_requête_à_partir_de_Excel_Files3[[#This Row],[Aide Massif Obtenu]]/Tableau_Lancer_la_requête_à_partir_de_Excel_Files3[[#This Row],[Coût total]]</f>
        <v>0.34999399090379035</v>
      </c>
      <c r="M30" s="49">
        <f>Tableau_Lancer_la_requête_à_partir_de_Excel_Files3[[#This Row],[''FNADT'']]+Tableau_Lancer_la_requête_à_partir_de_Excel_Files3[[#This Row],[''Agriculture'']]</f>
        <v>10979</v>
      </c>
      <c r="N30" s="47">
        <v>10979</v>
      </c>
      <c r="O30" s="47"/>
      <c r="P30" s="49">
        <f>Tableau_Lancer_la_requête_à_partir_de_Excel_Files3[[#This Row],[''ALPC'']]+Tableau_Lancer_la_requête_à_partir_de_Excel_Files3[[#This Row],[''AURA'']]+Tableau_Lancer_la_requête_à_partir_de_Excel_Files3[[#This Row],[''BFC'']]+Tableau_Lancer_la_requête_à_partir_de_Excel_Files3[[#This Row],[''LRMP'']]</f>
        <v>0</v>
      </c>
      <c r="Q30" s="47"/>
      <c r="R30" s="47"/>
      <c r="S30" s="47"/>
      <c r="T30" s="47"/>
      <c r="U30" s="49">
        <f>Tableau_Lancer_la_requête_à_partir_de_Excel_Files3[[#This Row],[''03'']]+Tableau_Lancer_la_requête_à_partir_de_Excel_Files3[[#This Row],[''07'']]+Tableau_Lancer_la_requête_à_partir_de_Excel_Files3[[#This Row],[''11'']]+Tableau_Lancer_la_requête_à_partir_de_Excel_Files3[[#This Row],[''12'']]+Tableau_Lancer_la_requête_à_partir_de_Excel_Files3[[#This Row],[''15'']]+Tableau_Lancer_la_requête_à_partir_de_Excel_Files3[[#This Row],[''21'']]+Tableau_Lancer_la_requête_à_partir_de_Excel_Files3[[#This Row],[''19'']]+Tableau_Lancer_la_requête_à_partir_de_Excel_Files3[[#This Row],[''23'']]+Tableau_Lancer_la_requête_à_partir_de_Excel_Files3[[#This Row],[''30'']]+Tableau_Lancer_la_requête_à_partir_de_Excel_Files3[[#This Row],[''34'']]+Tableau_Lancer_la_requête_à_partir_de_Excel_Files3[[#This Row],[''42'']]+Tableau_Lancer_la_requête_à_partir_de_Excel_Files3[[#This Row],[''43'']]+Tableau_Lancer_la_requête_à_partir_de_Excel_Files3[[#This Row],[''46'']]+Tableau_Lancer_la_requête_à_partir_de_Excel_Files3[[#This Row],[''48'']]+Tableau_Lancer_la_requête_à_partir_de_Excel_Files3[[#This Row],[''58'']]+Tableau_Lancer_la_requête_à_partir_de_Excel_Files3[[#This Row],[''63'']]+Tableau_Lancer_la_requête_à_partir_de_Excel_Files3[[#This Row],[''69'']]+Tableau_Lancer_la_requête_à_partir_de_Excel_Files3[[#This Row],[''71'']]+Tableau_Lancer_la_requête_à_partir_de_Excel_Files3[[#This Row],[''81'']]+Tableau_Lancer_la_requête_à_partir_de_Excel_Files3[[#This Row],[''82'']]+Tableau_Lancer_la_requête_à_partir_de_Excel_Files3[[#This Row],[''87'']]+Tableau_Lancer_la_requête_à_partir_de_Excel_Files3[[#This Row],[''89'']]</f>
        <v>0</v>
      </c>
      <c r="V30" s="47"/>
      <c r="W30" s="47"/>
      <c r="X30" s="47"/>
      <c r="Y30" s="47"/>
      <c r="Z30" s="47"/>
      <c r="AA30" s="47"/>
      <c r="AB30" s="47"/>
      <c r="AC30" s="47"/>
      <c r="AD30" s="47"/>
      <c r="AE30" s="47"/>
      <c r="AF30" s="47"/>
      <c r="AG30" s="47"/>
      <c r="AH30" s="47"/>
      <c r="AI30" s="47"/>
      <c r="AJ30" s="47"/>
      <c r="AK30" s="47"/>
      <c r="AL30" s="47"/>
      <c r="AM30" s="47"/>
      <c r="AN30" s="47"/>
      <c r="AO30" s="47"/>
      <c r="AP30" s="47"/>
      <c r="AQ30" s="47"/>
      <c r="AR30" s="47">
        <v>0</v>
      </c>
      <c r="AS30" s="47">
        <v>0</v>
      </c>
      <c r="AT30" s="41" t="s">
        <v>77</v>
      </c>
      <c r="AV30" s="55"/>
      <c r="AW30" s="40" t="s">
        <v>16</v>
      </c>
      <c r="BB30" s="37" t="s">
        <v>352</v>
      </c>
      <c r="BG30" s="37" t="s">
        <v>351</v>
      </c>
      <c r="CM30" s="37"/>
      <c r="CN30" s="37"/>
      <c r="CO30" s="37"/>
      <c r="CP30" s="37"/>
      <c r="CQ30" s="37"/>
      <c r="CR30" s="37"/>
      <c r="CS30" s="37"/>
      <c r="CT30" s="37"/>
      <c r="CU30" s="37"/>
      <c r="CV30" s="37"/>
      <c r="CW30" s="37"/>
      <c r="CX30" s="37"/>
      <c r="CY30" s="37"/>
      <c r="CZ30" s="37"/>
      <c r="DA30" s="37"/>
      <c r="DB30" s="37"/>
      <c r="DC30" s="37"/>
      <c r="DD30" s="37"/>
      <c r="DE30" s="37"/>
      <c r="DF30" s="37"/>
      <c r="DG30" s="37"/>
      <c r="DH30" s="37"/>
    </row>
    <row r="31" spans="1:112" ht="90" x14ac:dyDescent="0.25">
      <c r="A31" s="43" t="s">
        <v>5</v>
      </c>
      <c r="B31" s="45" t="s">
        <v>360</v>
      </c>
      <c r="C31" s="45" t="s">
        <v>357</v>
      </c>
      <c r="D31" s="46" t="s">
        <v>358</v>
      </c>
      <c r="E31" s="46" t="s">
        <v>359</v>
      </c>
      <c r="F31" s="47">
        <v>66640</v>
      </c>
      <c r="G31" s="47">
        <v>63357.31</v>
      </c>
      <c r="H31" s="47">
        <f>IF(Tableau_Lancer_la_requête_à_partir_de_Excel_Files3[[#This Row],[Coût total Eligible FEDER]]="",Tableau_Lancer_la_requête_à_partir_de_Excel_Files3[[#This Row],[Coût total déposé]],Tableau_Lancer_la_requête_à_partir_de_Excel_Files3[[#This Row],[Coût total Eligible FEDER]])</f>
        <v>63357.31</v>
      </c>
      <c r="I31" s="47">
        <f>Tableau_Lancer_la_requête_à_partir_de_Excel_Files3[[#This Row],[Aide Massif Obtenu]]+Tableau_Lancer_la_requête_à_partir_de_Excel_Files3[[#This Row],[''Autre Public'']]</f>
        <v>63357.31</v>
      </c>
      <c r="J31" s="48">
        <f>Tableau_Lancer_la_requête_à_partir_de_Excel_Files3[[#This Row],[Aide Publique Obtenue]]/Tableau_Lancer_la_requête_à_partir_de_Excel_Files3[[#This Row],[Coût total]]</f>
        <v>1</v>
      </c>
      <c r="K31" s="47">
        <f>Tableau_Lancer_la_requête_à_partir_de_Excel_Files3[[#This Row],[Etat]]+Tableau_Lancer_la_requête_à_partir_de_Excel_Files3[[#This Row],[Régions]]+Tableau_Lancer_la_requête_à_partir_de_Excel_Files3[[#This Row],[Départements]]+Tableau_Lancer_la_requête_à_partir_de_Excel_Files3[[#This Row],[''FEDER'']]</f>
        <v>63357.31</v>
      </c>
      <c r="L31" s="48">
        <f>Tableau_Lancer_la_requête_à_partir_de_Excel_Files3[[#This Row],[Aide Massif Obtenu]]/Tableau_Lancer_la_requête_à_partir_de_Excel_Files3[[#This Row],[Coût total]]</f>
        <v>1</v>
      </c>
      <c r="M31" s="49">
        <f>Tableau_Lancer_la_requête_à_partir_de_Excel_Files3[[#This Row],[''FNADT'']]+Tableau_Lancer_la_requête_à_partir_de_Excel_Files3[[#This Row],[''Agriculture'']]</f>
        <v>0</v>
      </c>
      <c r="N31" s="47"/>
      <c r="O31" s="47"/>
      <c r="P31" s="49">
        <f>Tableau_Lancer_la_requête_à_partir_de_Excel_Files3[[#This Row],[''ALPC'']]+Tableau_Lancer_la_requête_à_partir_de_Excel_Files3[[#This Row],[''AURA'']]+Tableau_Lancer_la_requête_à_partir_de_Excel_Files3[[#This Row],[''BFC'']]+Tableau_Lancer_la_requête_à_partir_de_Excel_Files3[[#This Row],[''LRMP'']]</f>
        <v>33320</v>
      </c>
      <c r="Q31" s="47"/>
      <c r="R31" s="47">
        <v>33320</v>
      </c>
      <c r="S31" s="47"/>
      <c r="T31" s="47"/>
      <c r="U31" s="49">
        <f>Tableau_Lancer_la_requête_à_partir_de_Excel_Files3[[#This Row],[''03'']]+Tableau_Lancer_la_requête_à_partir_de_Excel_Files3[[#This Row],[''07'']]+Tableau_Lancer_la_requête_à_partir_de_Excel_Files3[[#This Row],[''11'']]+Tableau_Lancer_la_requête_à_partir_de_Excel_Files3[[#This Row],[''12'']]+Tableau_Lancer_la_requête_à_partir_de_Excel_Files3[[#This Row],[''15'']]+Tableau_Lancer_la_requête_à_partir_de_Excel_Files3[[#This Row],[''21'']]+Tableau_Lancer_la_requête_à_partir_de_Excel_Files3[[#This Row],[''19'']]+Tableau_Lancer_la_requête_à_partir_de_Excel_Files3[[#This Row],[''23'']]+Tableau_Lancer_la_requête_à_partir_de_Excel_Files3[[#This Row],[''30'']]+Tableau_Lancer_la_requête_à_partir_de_Excel_Files3[[#This Row],[''34'']]+Tableau_Lancer_la_requête_à_partir_de_Excel_Files3[[#This Row],[''42'']]+Tableau_Lancer_la_requête_à_partir_de_Excel_Files3[[#This Row],[''43'']]+Tableau_Lancer_la_requête_à_partir_de_Excel_Files3[[#This Row],[''46'']]+Tableau_Lancer_la_requête_à_partir_de_Excel_Files3[[#This Row],[''48'']]+Tableau_Lancer_la_requête_à_partir_de_Excel_Files3[[#This Row],[''58'']]+Tableau_Lancer_la_requête_à_partir_de_Excel_Files3[[#This Row],[''63'']]+Tableau_Lancer_la_requête_à_partir_de_Excel_Files3[[#This Row],[''69'']]+Tableau_Lancer_la_requête_à_partir_de_Excel_Files3[[#This Row],[''71'']]+Tableau_Lancer_la_requête_à_partir_de_Excel_Files3[[#This Row],[''81'']]+Tableau_Lancer_la_requête_à_partir_de_Excel_Files3[[#This Row],[''82'']]+Tableau_Lancer_la_requête_à_partir_de_Excel_Files3[[#This Row],[''87'']]+Tableau_Lancer_la_requête_à_partir_de_Excel_Files3[[#This Row],[''89'']]</f>
        <v>0</v>
      </c>
      <c r="V31" s="47"/>
      <c r="W31" s="47"/>
      <c r="X31" s="47"/>
      <c r="Y31" s="47"/>
      <c r="Z31" s="47"/>
      <c r="AA31" s="47"/>
      <c r="AB31" s="47"/>
      <c r="AC31" s="47"/>
      <c r="AD31" s="47"/>
      <c r="AE31" s="47"/>
      <c r="AF31" s="47"/>
      <c r="AG31" s="47"/>
      <c r="AH31" s="47"/>
      <c r="AI31" s="47"/>
      <c r="AJ31" s="47"/>
      <c r="AK31" s="47"/>
      <c r="AL31" s="47"/>
      <c r="AM31" s="47"/>
      <c r="AN31" s="47"/>
      <c r="AO31" s="47"/>
      <c r="AP31" s="47"/>
      <c r="AQ31" s="47"/>
      <c r="AR31" s="47">
        <v>30037.31</v>
      </c>
      <c r="AS31" s="47">
        <v>0</v>
      </c>
      <c r="AT31" s="41" t="s">
        <v>77</v>
      </c>
      <c r="AV31" s="64" t="s">
        <v>355</v>
      </c>
      <c r="AW31" s="40" t="s">
        <v>357</v>
      </c>
      <c r="AY31" s="40" t="s">
        <v>112</v>
      </c>
      <c r="AZ31" s="52">
        <f ca="1">SUMIF(Tableau_Lancer_la_requête_à_partir_de_Excel_Files3[Avis Prog],"1-Favorable",Tableau3[''FEDER''])</f>
        <v>3245.2</v>
      </c>
      <c r="BB31" s="37">
        <f>SUMIF(Tableau3[Avis],"1-Favorable",Tableau3[''FEDER''])</f>
        <v>1622.6</v>
      </c>
      <c r="BG31" s="37">
        <f>SUMIF(Tableau3[Avis],"0",Tableau3[''FEDER''])</f>
        <v>0</v>
      </c>
      <c r="CM31" s="37"/>
      <c r="CN31" s="37"/>
      <c r="CO31" s="37"/>
      <c r="CP31" s="37"/>
      <c r="CQ31" s="37"/>
      <c r="CR31" s="37"/>
      <c r="CS31" s="37"/>
      <c r="CT31" s="37"/>
      <c r="CU31" s="37"/>
      <c r="CV31" s="37"/>
      <c r="CW31" s="37"/>
      <c r="CX31" s="37"/>
      <c r="CY31" s="37"/>
      <c r="CZ31" s="37"/>
      <c r="DA31" s="37"/>
      <c r="DB31" s="37"/>
      <c r="DC31" s="37"/>
      <c r="DD31" s="37"/>
      <c r="DE31" s="37"/>
      <c r="DF31" s="37"/>
      <c r="DG31" s="37"/>
      <c r="DH31" s="37"/>
    </row>
    <row r="32" spans="1:112" ht="45" x14ac:dyDescent="0.25">
      <c r="A32" s="43" t="s">
        <v>5</v>
      </c>
      <c r="B32" s="45" t="s">
        <v>274</v>
      </c>
      <c r="C32" s="45" t="s">
        <v>271</v>
      </c>
      <c r="D32" s="46" t="s">
        <v>272</v>
      </c>
      <c r="E32" s="46" t="s">
        <v>273</v>
      </c>
      <c r="F32" s="47">
        <v>378718.44</v>
      </c>
      <c r="G32" s="47">
        <v>379249.95</v>
      </c>
      <c r="H32" s="47">
        <f>IF(Tableau_Lancer_la_requête_à_partir_de_Excel_Files3[[#This Row],[Coût total Eligible FEDER]]="",Tableau_Lancer_la_requête_à_partir_de_Excel_Files3[[#This Row],[Coût total déposé]],Tableau_Lancer_la_requête_à_partir_de_Excel_Files3[[#This Row],[Coût total Eligible FEDER]])</f>
        <v>379249.95</v>
      </c>
      <c r="I32" s="47">
        <f>Tableau_Lancer_la_requête_à_partir_de_Excel_Files3[[#This Row],[Aide Massif Obtenu]]+Tableau_Lancer_la_requête_à_partir_de_Excel_Files3[[#This Row],[''Autre Public'']]</f>
        <v>262390.52</v>
      </c>
      <c r="J32" s="48">
        <f>Tableau_Lancer_la_requête_à_partir_de_Excel_Files3[[#This Row],[Aide Publique Obtenue]]/Tableau_Lancer_la_requête_à_partir_de_Excel_Files3[[#This Row],[Coût total]]</f>
        <v>0.69186698640303057</v>
      </c>
      <c r="K32" s="47">
        <f>Tableau_Lancer_la_requête_à_partir_de_Excel_Files3[[#This Row],[Etat]]+Tableau_Lancer_la_requête_à_partir_de_Excel_Files3[[#This Row],[Régions]]+Tableau_Lancer_la_requête_à_partir_de_Excel_Files3[[#This Row],[Départements]]+Tableau_Lancer_la_requête_à_partir_de_Excel_Files3[[#This Row],[''FEDER'']]</f>
        <v>225485.12</v>
      </c>
      <c r="L32" s="48">
        <f>Tableau_Lancer_la_requête_à_partir_de_Excel_Files3[[#This Row],[Aide Massif Obtenu]]/Tableau_Lancer_la_requête_à_partir_de_Excel_Files3[[#This Row],[Coût total]]</f>
        <v>0.59455543764738794</v>
      </c>
      <c r="M32" s="49">
        <f>Tableau_Lancer_la_requête_à_partir_de_Excel_Files3[[#This Row],[''FNADT'']]+Tableau_Lancer_la_requête_à_partir_de_Excel_Files3[[#This Row],[''Agriculture'']]</f>
        <v>90892</v>
      </c>
      <c r="N32" s="47">
        <v>90892</v>
      </c>
      <c r="O32" s="47"/>
      <c r="P32" s="49">
        <f>Tableau_Lancer_la_requête_à_partir_de_Excel_Files3[[#This Row],[''ALPC'']]+Tableau_Lancer_la_requête_à_partir_de_Excel_Files3[[#This Row],[''AURA'']]+Tableau_Lancer_la_requête_à_partir_de_Excel_Files3[[#This Row],[''BFC'']]+Tableau_Lancer_la_requête_à_partir_de_Excel_Files3[[#This Row],[''LRMP'']]</f>
        <v>34593.120000000003</v>
      </c>
      <c r="Q32" s="47"/>
      <c r="R32" s="47">
        <v>34593.120000000003</v>
      </c>
      <c r="S32" s="47"/>
      <c r="T32" s="47"/>
      <c r="U32" s="49">
        <f>Tableau_Lancer_la_requête_à_partir_de_Excel_Files3[[#This Row],[''03'']]+Tableau_Lancer_la_requête_à_partir_de_Excel_Files3[[#This Row],[''07'']]+Tableau_Lancer_la_requête_à_partir_de_Excel_Files3[[#This Row],[''11'']]+Tableau_Lancer_la_requête_à_partir_de_Excel_Files3[[#This Row],[''12'']]+Tableau_Lancer_la_requête_à_partir_de_Excel_Files3[[#This Row],[''15'']]+Tableau_Lancer_la_requête_à_partir_de_Excel_Files3[[#This Row],[''21'']]+Tableau_Lancer_la_requête_à_partir_de_Excel_Files3[[#This Row],[''19'']]+Tableau_Lancer_la_requête_à_partir_de_Excel_Files3[[#This Row],[''23'']]+Tableau_Lancer_la_requête_à_partir_de_Excel_Files3[[#This Row],[''30'']]+Tableau_Lancer_la_requête_à_partir_de_Excel_Files3[[#This Row],[''34'']]+Tableau_Lancer_la_requête_à_partir_de_Excel_Files3[[#This Row],[''42'']]+Tableau_Lancer_la_requête_à_partir_de_Excel_Files3[[#This Row],[''43'']]+Tableau_Lancer_la_requête_à_partir_de_Excel_Files3[[#This Row],[''46'']]+Tableau_Lancer_la_requête_à_partir_de_Excel_Files3[[#This Row],[''48'']]+Tableau_Lancer_la_requête_à_partir_de_Excel_Files3[[#This Row],[''58'']]+Tableau_Lancer_la_requête_à_partir_de_Excel_Files3[[#This Row],[''63'']]+Tableau_Lancer_la_requête_à_partir_de_Excel_Files3[[#This Row],[''69'']]+Tableau_Lancer_la_requête_à_partir_de_Excel_Files3[[#This Row],[''71'']]+Tableau_Lancer_la_requête_à_partir_de_Excel_Files3[[#This Row],[''81'']]+Tableau_Lancer_la_requête_à_partir_de_Excel_Files3[[#This Row],[''82'']]+Tableau_Lancer_la_requête_à_partir_de_Excel_Files3[[#This Row],[''87'']]+Tableau_Lancer_la_requête_à_partir_de_Excel_Files3[[#This Row],[''89'']]</f>
        <v>0</v>
      </c>
      <c r="V32" s="47"/>
      <c r="W32" s="47"/>
      <c r="X32" s="47"/>
      <c r="Y32" s="47"/>
      <c r="Z32" s="47"/>
      <c r="AA32" s="47"/>
      <c r="AB32" s="47"/>
      <c r="AC32" s="47"/>
      <c r="AD32" s="47"/>
      <c r="AE32" s="47"/>
      <c r="AF32" s="47"/>
      <c r="AG32" s="47"/>
      <c r="AH32" s="47"/>
      <c r="AI32" s="47"/>
      <c r="AJ32" s="47"/>
      <c r="AK32" s="47"/>
      <c r="AL32" s="47"/>
      <c r="AM32" s="47"/>
      <c r="AN32" s="47"/>
      <c r="AO32" s="47"/>
      <c r="AP32" s="47"/>
      <c r="AQ32" s="47"/>
      <c r="AR32" s="47">
        <v>100000</v>
      </c>
      <c r="AS32" s="47">
        <v>36905.4</v>
      </c>
      <c r="AT32" s="41" t="s">
        <v>77</v>
      </c>
      <c r="AV32" s="55" t="s">
        <v>324</v>
      </c>
      <c r="AW32" s="40" t="s">
        <v>271</v>
      </c>
      <c r="AY32" s="40" t="s">
        <v>56</v>
      </c>
      <c r="AZ32" s="52">
        <f ca="1">SUMIF(Tableau_Lancer_la_requête_à_partir_de_Excel_Files3[Avis Prog],"1-Favorable",Tableau3[Etat])</f>
        <v>-41852</v>
      </c>
      <c r="BB32" s="37">
        <f>SUMIF(Tableau3[Avis],"1-Favorable",Tableau3[Etat])</f>
        <v>-20926</v>
      </c>
      <c r="BG32" s="37">
        <f>SUMIF(Tableau3[Avis],"0",Tableau3[Etat])</f>
        <v>0</v>
      </c>
      <c r="CM32" s="37"/>
      <c r="CN32" s="37"/>
      <c r="CO32" s="37"/>
      <c r="CP32" s="37"/>
      <c r="CQ32" s="37"/>
      <c r="CR32" s="37"/>
      <c r="CS32" s="37"/>
      <c r="CT32" s="37"/>
      <c r="CU32" s="37"/>
      <c r="CV32" s="37"/>
      <c r="CW32" s="37"/>
      <c r="CX32" s="37"/>
      <c r="CY32" s="37"/>
      <c r="CZ32" s="37"/>
      <c r="DA32" s="37"/>
      <c r="DB32" s="37"/>
      <c r="DC32" s="37"/>
      <c r="DD32" s="37"/>
      <c r="DE32" s="37"/>
      <c r="DF32" s="37"/>
      <c r="DG32" s="37"/>
      <c r="DH32" s="37"/>
    </row>
    <row r="33" spans="1:112" ht="75" x14ac:dyDescent="0.25">
      <c r="A33" s="43" t="s">
        <v>5</v>
      </c>
      <c r="B33" s="45" t="s">
        <v>366</v>
      </c>
      <c r="C33" s="45" t="s">
        <v>74</v>
      </c>
      <c r="D33" s="46" t="s">
        <v>75</v>
      </c>
      <c r="E33" s="46" t="s">
        <v>365</v>
      </c>
      <c r="F33" s="47">
        <v>82880</v>
      </c>
      <c r="G33" s="47">
        <v>82880</v>
      </c>
      <c r="H33" s="47">
        <f>IF(Tableau_Lancer_la_requête_à_partir_de_Excel_Files3[[#This Row],[Coût total Eligible FEDER]]="",Tableau_Lancer_la_requête_à_partir_de_Excel_Files3[[#This Row],[Coût total déposé]],Tableau_Lancer_la_requête_à_partir_de_Excel_Files3[[#This Row],[Coût total Eligible FEDER]])</f>
        <v>82880</v>
      </c>
      <c r="I33" s="47">
        <f>Tableau_Lancer_la_requête_à_partir_de_Excel_Files3[[#This Row],[Aide Massif Obtenu]]+Tableau_Lancer_la_requête_à_partir_de_Excel_Files3[[#This Row],[''Autre Public'']]</f>
        <v>57880</v>
      </c>
      <c r="J33" s="48">
        <f>Tableau_Lancer_la_requête_à_partir_de_Excel_Files3[[#This Row],[Aide Publique Obtenue]]/Tableau_Lancer_la_requête_à_partir_de_Excel_Files3[[#This Row],[Coût total]]</f>
        <v>0.69835907335907332</v>
      </c>
      <c r="K33" s="47">
        <f>Tableau_Lancer_la_requête_à_partir_de_Excel_Files3[[#This Row],[Etat]]+Tableau_Lancer_la_requête_à_partir_de_Excel_Files3[[#This Row],[Régions]]+Tableau_Lancer_la_requête_à_partir_de_Excel_Files3[[#This Row],[Départements]]+Tableau_Lancer_la_requête_à_partir_de_Excel_Files3[[#This Row],[''FEDER'']]</f>
        <v>57880</v>
      </c>
      <c r="L33" s="48">
        <f>Tableau_Lancer_la_requête_à_partir_de_Excel_Files3[[#This Row],[Aide Massif Obtenu]]/Tableau_Lancer_la_requête_à_partir_de_Excel_Files3[[#This Row],[Coût total]]</f>
        <v>0.69835907335907332</v>
      </c>
      <c r="M33" s="49">
        <f>Tableau_Lancer_la_requête_à_partir_de_Excel_Files3[[#This Row],[''FNADT'']]+Tableau_Lancer_la_requête_à_partir_de_Excel_Files3[[#This Row],[''Agriculture'']]</f>
        <v>16576</v>
      </c>
      <c r="N33" s="47">
        <v>16576</v>
      </c>
      <c r="O33" s="47"/>
      <c r="P33" s="49">
        <f>Tableau_Lancer_la_requête_à_partir_de_Excel_Files3[[#This Row],[''ALPC'']]+Tableau_Lancer_la_requête_à_partir_de_Excel_Files3[[#This Row],[''AURA'']]+Tableau_Lancer_la_requête_à_partir_de_Excel_Files3[[#This Row],[''BFC'']]+Tableau_Lancer_la_requête_à_partir_de_Excel_Files3[[#This Row],[''LRMP'']]</f>
        <v>0</v>
      </c>
      <c r="Q33" s="47"/>
      <c r="R33" s="47"/>
      <c r="S33" s="47"/>
      <c r="T33" s="47"/>
      <c r="U33" s="49">
        <f>Tableau_Lancer_la_requête_à_partir_de_Excel_Files3[[#This Row],[''03'']]+Tableau_Lancer_la_requête_à_partir_de_Excel_Files3[[#This Row],[''07'']]+Tableau_Lancer_la_requête_à_partir_de_Excel_Files3[[#This Row],[''11'']]+Tableau_Lancer_la_requête_à_partir_de_Excel_Files3[[#This Row],[''12'']]+Tableau_Lancer_la_requête_à_partir_de_Excel_Files3[[#This Row],[''15'']]+Tableau_Lancer_la_requête_à_partir_de_Excel_Files3[[#This Row],[''21'']]+Tableau_Lancer_la_requête_à_partir_de_Excel_Files3[[#This Row],[''19'']]+Tableau_Lancer_la_requête_à_partir_de_Excel_Files3[[#This Row],[''23'']]+Tableau_Lancer_la_requête_à_partir_de_Excel_Files3[[#This Row],[''30'']]+Tableau_Lancer_la_requête_à_partir_de_Excel_Files3[[#This Row],[''34'']]+Tableau_Lancer_la_requête_à_partir_de_Excel_Files3[[#This Row],[''42'']]+Tableau_Lancer_la_requête_à_partir_de_Excel_Files3[[#This Row],[''43'']]+Tableau_Lancer_la_requête_à_partir_de_Excel_Files3[[#This Row],[''46'']]+Tableau_Lancer_la_requête_à_partir_de_Excel_Files3[[#This Row],[''48'']]+Tableau_Lancer_la_requête_à_partir_de_Excel_Files3[[#This Row],[''58'']]+Tableau_Lancer_la_requête_à_partir_de_Excel_Files3[[#This Row],[''63'']]+Tableau_Lancer_la_requête_à_partir_de_Excel_Files3[[#This Row],[''69'']]+Tableau_Lancer_la_requête_à_partir_de_Excel_Files3[[#This Row],[''71'']]+Tableau_Lancer_la_requête_à_partir_de_Excel_Files3[[#This Row],[''81'']]+Tableau_Lancer_la_requête_à_partir_de_Excel_Files3[[#This Row],[''82'']]+Tableau_Lancer_la_requête_à_partir_de_Excel_Files3[[#This Row],[''87'']]+Tableau_Lancer_la_requête_à_partir_de_Excel_Files3[[#This Row],[''89'']]</f>
        <v>0</v>
      </c>
      <c r="V33" s="47"/>
      <c r="W33" s="47"/>
      <c r="X33" s="47"/>
      <c r="Y33" s="47"/>
      <c r="Z33" s="47"/>
      <c r="AA33" s="47"/>
      <c r="AB33" s="47"/>
      <c r="AC33" s="47"/>
      <c r="AD33" s="47"/>
      <c r="AE33" s="47"/>
      <c r="AF33" s="47"/>
      <c r="AG33" s="47"/>
      <c r="AH33" s="47"/>
      <c r="AI33" s="47"/>
      <c r="AJ33" s="47"/>
      <c r="AK33" s="47"/>
      <c r="AL33" s="47"/>
      <c r="AM33" s="47"/>
      <c r="AN33" s="47"/>
      <c r="AO33" s="47"/>
      <c r="AP33" s="47"/>
      <c r="AQ33" s="47"/>
      <c r="AR33" s="47">
        <v>41304</v>
      </c>
      <c r="AS33" s="47">
        <v>0</v>
      </c>
      <c r="AT33" s="41" t="s">
        <v>77</v>
      </c>
      <c r="AV33" s="64" t="s">
        <v>355</v>
      </c>
      <c r="AW33" s="40" t="s">
        <v>74</v>
      </c>
      <c r="AY33" s="40" t="s">
        <v>57</v>
      </c>
      <c r="AZ33" s="52">
        <f ca="1">SUMIF(Tableau_Lancer_la_requête_à_partir_de_Excel_Files3[Avis Prog],"1-Favorable",Tableau3[Régions])</f>
        <v>-41514.400000000001</v>
      </c>
      <c r="BB33" s="37">
        <f>SUMIF(Tableau3[Avis],"1-Favorable",Tableau3[Régions])</f>
        <v>-7125</v>
      </c>
      <c r="BG33" s="37">
        <f>SUMIF(Tableau3[Avis],"0",Tableau3[Régions])</f>
        <v>0</v>
      </c>
      <c r="CM33" s="37"/>
      <c r="CN33" s="37"/>
      <c r="CO33" s="37"/>
      <c r="CP33" s="37"/>
      <c r="CQ33" s="37"/>
      <c r="CR33" s="37"/>
      <c r="CS33" s="37"/>
      <c r="CT33" s="37"/>
      <c r="CU33" s="37"/>
      <c r="CV33" s="37"/>
      <c r="CW33" s="37"/>
      <c r="CX33" s="37"/>
      <c r="CY33" s="37"/>
      <c r="CZ33" s="37"/>
      <c r="DA33" s="37"/>
      <c r="DB33" s="37"/>
      <c r="DC33" s="37"/>
      <c r="DD33" s="37"/>
      <c r="DE33" s="37"/>
      <c r="DF33" s="37"/>
      <c r="DG33" s="37"/>
      <c r="DH33" s="37"/>
    </row>
    <row r="34" spans="1:112" ht="75" x14ac:dyDescent="0.25">
      <c r="A34" s="43" t="s">
        <v>5</v>
      </c>
      <c r="B34" s="45" t="s">
        <v>368</v>
      </c>
      <c r="C34" s="45" t="s">
        <v>74</v>
      </c>
      <c r="D34" s="46" t="s">
        <v>367</v>
      </c>
      <c r="E34" s="46" t="s">
        <v>365</v>
      </c>
      <c r="F34" s="47">
        <v>260000</v>
      </c>
      <c r="G34" s="47">
        <v>262696.65000000002</v>
      </c>
      <c r="H34" s="47">
        <f>IF(Tableau_Lancer_la_requête_à_partir_de_Excel_Files3[[#This Row],[Coût total Eligible FEDER]]="",Tableau_Lancer_la_requête_à_partir_de_Excel_Files3[[#This Row],[Coût total déposé]],Tableau_Lancer_la_requête_à_partir_de_Excel_Files3[[#This Row],[Coût total Eligible FEDER]])</f>
        <v>262696.65000000002</v>
      </c>
      <c r="I34" s="47">
        <f>Tableau_Lancer_la_requête_à_partir_de_Excel_Files3[[#This Row],[Aide Massif Obtenu]]+Tableau_Lancer_la_requête_à_partir_de_Excel_Files3[[#This Row],[''Autre Public'']]</f>
        <v>130674</v>
      </c>
      <c r="J34" s="48">
        <f>Tableau_Lancer_la_requête_à_partir_de_Excel_Files3[[#This Row],[Aide Publique Obtenue]]/Tableau_Lancer_la_requête_à_partir_de_Excel_Files3[[#This Row],[Coût total]]</f>
        <v>0.4974330658575204</v>
      </c>
      <c r="K34" s="47">
        <f>Tableau_Lancer_la_requête_à_partir_de_Excel_Files3[[#This Row],[Etat]]+Tableau_Lancer_la_requête_à_partir_de_Excel_Files3[[#This Row],[Régions]]+Tableau_Lancer_la_requête_à_partir_de_Excel_Files3[[#This Row],[Départements]]+Tableau_Lancer_la_requête_à_partir_de_Excel_Files3[[#This Row],[''FEDER'']]</f>
        <v>130674</v>
      </c>
      <c r="L34" s="48">
        <f>Tableau_Lancer_la_requête_à_partir_de_Excel_Files3[[#This Row],[Aide Massif Obtenu]]/Tableau_Lancer_la_requête_à_partir_de_Excel_Files3[[#This Row],[Coût total]]</f>
        <v>0.4974330658575204</v>
      </c>
      <c r="M34" s="49">
        <f>Tableau_Lancer_la_requête_à_partir_de_Excel_Files3[[#This Row],[''FNADT'']]+Tableau_Lancer_la_requête_à_partir_de_Excel_Files3[[#This Row],[''Agriculture'']]</f>
        <v>65000</v>
      </c>
      <c r="N34" s="47">
        <v>65000</v>
      </c>
      <c r="O34" s="47"/>
      <c r="P34" s="49">
        <f>Tableau_Lancer_la_requête_à_partir_de_Excel_Files3[[#This Row],[''ALPC'']]+Tableau_Lancer_la_requête_à_partir_de_Excel_Files3[[#This Row],[''AURA'']]+Tableau_Lancer_la_requête_à_partir_de_Excel_Files3[[#This Row],[''BFC'']]+Tableau_Lancer_la_requête_à_partir_de_Excel_Files3[[#This Row],[''LRMP'']]</f>
        <v>0</v>
      </c>
      <c r="Q34" s="47"/>
      <c r="R34" s="47"/>
      <c r="S34" s="47"/>
      <c r="T34" s="47"/>
      <c r="U34" s="49">
        <f>Tableau_Lancer_la_requête_à_partir_de_Excel_Files3[[#This Row],[''03'']]+Tableau_Lancer_la_requête_à_partir_de_Excel_Files3[[#This Row],[''07'']]+Tableau_Lancer_la_requête_à_partir_de_Excel_Files3[[#This Row],[''11'']]+Tableau_Lancer_la_requête_à_partir_de_Excel_Files3[[#This Row],[''12'']]+Tableau_Lancer_la_requête_à_partir_de_Excel_Files3[[#This Row],[''15'']]+Tableau_Lancer_la_requête_à_partir_de_Excel_Files3[[#This Row],[''21'']]+Tableau_Lancer_la_requête_à_partir_de_Excel_Files3[[#This Row],[''19'']]+Tableau_Lancer_la_requête_à_partir_de_Excel_Files3[[#This Row],[''23'']]+Tableau_Lancer_la_requête_à_partir_de_Excel_Files3[[#This Row],[''30'']]+Tableau_Lancer_la_requête_à_partir_de_Excel_Files3[[#This Row],[''34'']]+Tableau_Lancer_la_requête_à_partir_de_Excel_Files3[[#This Row],[''42'']]+Tableau_Lancer_la_requête_à_partir_de_Excel_Files3[[#This Row],[''43'']]+Tableau_Lancer_la_requête_à_partir_de_Excel_Files3[[#This Row],[''46'']]+Tableau_Lancer_la_requête_à_partir_de_Excel_Files3[[#This Row],[''48'']]+Tableau_Lancer_la_requête_à_partir_de_Excel_Files3[[#This Row],[''58'']]+Tableau_Lancer_la_requête_à_partir_de_Excel_Files3[[#This Row],[''63'']]+Tableau_Lancer_la_requête_à_partir_de_Excel_Files3[[#This Row],[''69'']]+Tableau_Lancer_la_requête_à_partir_de_Excel_Files3[[#This Row],[''71'']]+Tableau_Lancer_la_requête_à_partir_de_Excel_Files3[[#This Row],[''81'']]+Tableau_Lancer_la_requête_à_partir_de_Excel_Files3[[#This Row],[''82'']]+Tableau_Lancer_la_requête_à_partir_de_Excel_Files3[[#This Row],[''87'']]+Tableau_Lancer_la_requête_à_partir_de_Excel_Files3[[#This Row],[''89'']]</f>
        <v>0</v>
      </c>
      <c r="V34" s="47"/>
      <c r="W34" s="47"/>
      <c r="X34" s="47"/>
      <c r="Y34" s="47"/>
      <c r="Z34" s="47"/>
      <c r="AA34" s="47"/>
      <c r="AB34" s="47"/>
      <c r="AC34" s="47"/>
      <c r="AD34" s="47"/>
      <c r="AE34" s="47"/>
      <c r="AF34" s="47"/>
      <c r="AG34" s="47"/>
      <c r="AH34" s="47"/>
      <c r="AI34" s="47"/>
      <c r="AJ34" s="47"/>
      <c r="AK34" s="47"/>
      <c r="AL34" s="47"/>
      <c r="AM34" s="47"/>
      <c r="AN34" s="47"/>
      <c r="AO34" s="47"/>
      <c r="AP34" s="47"/>
      <c r="AQ34" s="47"/>
      <c r="AR34" s="47">
        <v>65674</v>
      </c>
      <c r="AS34" s="47">
        <v>0</v>
      </c>
      <c r="AT34" s="41" t="s">
        <v>77</v>
      </c>
      <c r="AV34" s="55" t="s">
        <v>355</v>
      </c>
      <c r="AW34" s="40" t="s">
        <v>74</v>
      </c>
      <c r="AY34" s="52" t="s">
        <v>113</v>
      </c>
      <c r="AZ34" s="52">
        <f ca="1">SUMIF(Tableau_Lancer_la_requête_à_partir_de_Excel_Files3[Avis Prog],"1-Favorable",Tableau3[''ALPC''])</f>
        <v>-28738</v>
      </c>
      <c r="BB34" s="37">
        <f>SUMIF(Tableau3[Avis],"1-Favorable",Tableau3[''ALPC''])</f>
        <v>-14369</v>
      </c>
      <c r="BG34" s="37">
        <f>SUMIF(Tableau3[Avis],"0",Tableau3[''ALPC''])</f>
        <v>0</v>
      </c>
      <c r="CM34" s="37"/>
      <c r="CN34" s="37"/>
      <c r="CO34" s="37"/>
      <c r="CP34" s="37"/>
      <c r="CQ34" s="37"/>
      <c r="CR34" s="37"/>
      <c r="CS34" s="37"/>
      <c r="CT34" s="37"/>
      <c r="CU34" s="37"/>
      <c r="CV34" s="37"/>
      <c r="CW34" s="37"/>
      <c r="CX34" s="37"/>
      <c r="CY34" s="37"/>
      <c r="CZ34" s="37"/>
      <c r="DA34" s="37"/>
      <c r="DB34" s="37"/>
      <c r="DC34" s="37"/>
      <c r="DD34" s="37"/>
      <c r="DE34" s="37"/>
      <c r="DF34" s="37"/>
      <c r="DG34" s="37"/>
      <c r="DH34" s="37"/>
    </row>
    <row r="35" spans="1:112" ht="45" x14ac:dyDescent="0.25">
      <c r="A35" s="43" t="s">
        <v>5</v>
      </c>
      <c r="B35" s="45" t="s">
        <v>67</v>
      </c>
      <c r="C35" s="45" t="s">
        <v>65</v>
      </c>
      <c r="D35" s="46" t="s">
        <v>61</v>
      </c>
      <c r="E35" s="46" t="s">
        <v>66</v>
      </c>
      <c r="F35" s="47">
        <v>107000</v>
      </c>
      <c r="G35" s="47">
        <v>107000</v>
      </c>
      <c r="H35" s="47">
        <f>IF(Tableau_Lancer_la_requête_à_partir_de_Excel_Files3[[#This Row],[Coût total Eligible FEDER]]="",Tableau_Lancer_la_requête_à_partir_de_Excel_Files3[[#This Row],[Coût total déposé]],Tableau_Lancer_la_requête_à_partir_de_Excel_Files3[[#This Row],[Coût total Eligible FEDER]])</f>
        <v>107000</v>
      </c>
      <c r="I35" s="47">
        <f>Tableau_Lancer_la_requête_à_partir_de_Excel_Files3[[#This Row],[Aide Massif Obtenu]]+Tableau_Lancer_la_requête_à_partir_de_Excel_Files3[[#This Row],[''Autre Public'']]</f>
        <v>74900</v>
      </c>
      <c r="J35" s="48">
        <f>Tableau_Lancer_la_requête_à_partir_de_Excel_Files3[[#This Row],[Aide Publique Obtenue]]/Tableau_Lancer_la_requête_à_partir_de_Excel_Files3[[#This Row],[Coût total]]</f>
        <v>0.7</v>
      </c>
      <c r="K35" s="47">
        <f>Tableau_Lancer_la_requête_à_partir_de_Excel_Files3[[#This Row],[Etat]]+Tableau_Lancer_la_requête_à_partir_de_Excel_Files3[[#This Row],[Régions]]+Tableau_Lancer_la_requête_à_partir_de_Excel_Files3[[#This Row],[Départements]]+Tableau_Lancer_la_requête_à_partir_de_Excel_Files3[[#This Row],[''FEDER'']]</f>
        <v>74900</v>
      </c>
      <c r="L35" s="48">
        <f>Tableau_Lancer_la_requête_à_partir_de_Excel_Files3[[#This Row],[Aide Massif Obtenu]]/Tableau_Lancer_la_requête_à_partir_de_Excel_Files3[[#This Row],[Coût total]]</f>
        <v>0.7</v>
      </c>
      <c r="M35" s="49">
        <f>Tableau_Lancer_la_requête_à_partir_de_Excel_Files3[[#This Row],[''FNADT'']]+Tableau_Lancer_la_requête_à_partir_de_Excel_Files3[[#This Row],[''Agriculture'']]</f>
        <v>0</v>
      </c>
      <c r="N35" s="47"/>
      <c r="O35" s="47"/>
      <c r="P35" s="49">
        <f>Tableau_Lancer_la_requête_à_partir_de_Excel_Files3[[#This Row],[''ALPC'']]+Tableau_Lancer_la_requête_à_partir_de_Excel_Files3[[#This Row],[''AURA'']]+Tableau_Lancer_la_requête_à_partir_de_Excel_Files3[[#This Row],[''BFC'']]+Tableau_Lancer_la_requête_à_partir_de_Excel_Files3[[#This Row],[''LRMP'']]</f>
        <v>32100</v>
      </c>
      <c r="Q35" s="47"/>
      <c r="R35" s="47"/>
      <c r="S35" s="47">
        <v>32100</v>
      </c>
      <c r="T35" s="47"/>
      <c r="U35" s="49">
        <f>Tableau_Lancer_la_requête_à_partir_de_Excel_Files3[[#This Row],[''03'']]+Tableau_Lancer_la_requête_à_partir_de_Excel_Files3[[#This Row],[''07'']]+Tableau_Lancer_la_requête_à_partir_de_Excel_Files3[[#This Row],[''11'']]+Tableau_Lancer_la_requête_à_partir_de_Excel_Files3[[#This Row],[''12'']]+Tableau_Lancer_la_requête_à_partir_de_Excel_Files3[[#This Row],[''15'']]+Tableau_Lancer_la_requête_à_partir_de_Excel_Files3[[#This Row],[''21'']]+Tableau_Lancer_la_requête_à_partir_de_Excel_Files3[[#This Row],[''19'']]+Tableau_Lancer_la_requête_à_partir_de_Excel_Files3[[#This Row],[''23'']]+Tableau_Lancer_la_requête_à_partir_de_Excel_Files3[[#This Row],[''30'']]+Tableau_Lancer_la_requête_à_partir_de_Excel_Files3[[#This Row],[''34'']]+Tableau_Lancer_la_requête_à_partir_de_Excel_Files3[[#This Row],[''42'']]+Tableau_Lancer_la_requête_à_partir_de_Excel_Files3[[#This Row],[''43'']]+Tableau_Lancer_la_requête_à_partir_de_Excel_Files3[[#This Row],[''46'']]+Tableau_Lancer_la_requête_à_partir_de_Excel_Files3[[#This Row],[''48'']]+Tableau_Lancer_la_requête_à_partir_de_Excel_Files3[[#This Row],[''58'']]+Tableau_Lancer_la_requête_à_partir_de_Excel_Files3[[#This Row],[''63'']]+Tableau_Lancer_la_requête_à_partir_de_Excel_Files3[[#This Row],[''69'']]+Tableau_Lancer_la_requête_à_partir_de_Excel_Files3[[#This Row],[''71'']]+Tableau_Lancer_la_requête_à_partir_de_Excel_Files3[[#This Row],[''81'']]+Tableau_Lancer_la_requête_à_partir_de_Excel_Files3[[#This Row],[''82'']]+Tableau_Lancer_la_requête_à_partir_de_Excel_Files3[[#This Row],[''87'']]+Tableau_Lancer_la_requête_à_partir_de_Excel_Files3[[#This Row],[''89'']]</f>
        <v>0</v>
      </c>
      <c r="V35" s="47"/>
      <c r="W35" s="47"/>
      <c r="X35" s="47"/>
      <c r="Y35" s="47"/>
      <c r="Z35" s="47"/>
      <c r="AA35" s="47"/>
      <c r="AB35" s="47"/>
      <c r="AC35" s="47"/>
      <c r="AD35" s="47"/>
      <c r="AE35" s="47"/>
      <c r="AF35" s="47"/>
      <c r="AG35" s="47"/>
      <c r="AH35" s="47"/>
      <c r="AI35" s="47"/>
      <c r="AJ35" s="47"/>
      <c r="AK35" s="47"/>
      <c r="AL35" s="47"/>
      <c r="AM35" s="47"/>
      <c r="AN35" s="47"/>
      <c r="AO35" s="47"/>
      <c r="AP35" s="47"/>
      <c r="AQ35" s="47"/>
      <c r="AR35" s="47">
        <v>42800</v>
      </c>
      <c r="AS35" s="47">
        <v>0</v>
      </c>
      <c r="AT35" s="41" t="s">
        <v>77</v>
      </c>
      <c r="AV35" s="64" t="s">
        <v>69</v>
      </c>
      <c r="AW35" s="40" t="s">
        <v>65</v>
      </c>
      <c r="AY35" s="52" t="s">
        <v>114</v>
      </c>
      <c r="AZ35" s="52">
        <f ca="1">SUMIF(Tableau_Lancer_la_requête_à_partir_de_Excel_Files3[Avis Prog],"1-Favorable",Tableau3[''AURA''])</f>
        <v>32000</v>
      </c>
      <c r="BB35" s="37">
        <f>SUMIF(Tableau3[Avis],"1-Favorable",Tableau3[''AURA''])</f>
        <v>16000</v>
      </c>
      <c r="BG35" s="37">
        <f>SUMIF(Tableau3[Avis],"0",Tableau3[''AURA''])</f>
        <v>0</v>
      </c>
      <c r="CM35" s="37"/>
      <c r="CN35" s="37"/>
      <c r="CO35" s="37"/>
      <c r="CP35" s="37"/>
      <c r="CQ35" s="37"/>
      <c r="CR35" s="37"/>
      <c r="CS35" s="37"/>
      <c r="CT35" s="37"/>
      <c r="CU35" s="37"/>
      <c r="CV35" s="37"/>
      <c r="CW35" s="37"/>
      <c r="CX35" s="37"/>
      <c r="CY35" s="37"/>
      <c r="CZ35" s="37"/>
      <c r="DA35" s="37"/>
      <c r="DB35" s="37"/>
      <c r="DC35" s="37"/>
      <c r="DD35" s="37"/>
      <c r="DE35" s="37"/>
      <c r="DF35" s="37"/>
      <c r="DG35" s="37"/>
      <c r="DH35" s="37"/>
    </row>
    <row r="36" spans="1:112" ht="75" x14ac:dyDescent="0.25">
      <c r="A36" s="43" t="s">
        <v>5</v>
      </c>
      <c r="B36" s="45" t="s">
        <v>376</v>
      </c>
      <c r="C36" s="45" t="s">
        <v>373</v>
      </c>
      <c r="D36" s="46" t="s">
        <v>374</v>
      </c>
      <c r="E36" s="46" t="s">
        <v>375</v>
      </c>
      <c r="F36" s="47">
        <v>288621.685</v>
      </c>
      <c r="G36" s="47">
        <v>270620.49</v>
      </c>
      <c r="H36" s="47">
        <f>IF(Tableau_Lancer_la_requête_à_partir_de_Excel_Files3[[#This Row],[Coût total Eligible FEDER]]="",Tableau_Lancer_la_requête_à_partir_de_Excel_Files3[[#This Row],[Coût total déposé]],Tableau_Lancer_la_requête_à_partir_de_Excel_Files3[[#This Row],[Coût total Eligible FEDER]])</f>
        <v>270620.49</v>
      </c>
      <c r="I36" s="47">
        <f>Tableau_Lancer_la_requête_à_partir_de_Excel_Files3[[#This Row],[Aide Massif Obtenu]]+Tableau_Lancer_la_requête_à_partir_de_Excel_Files3[[#This Row],[''Autre Public'']]</f>
        <v>135310.25</v>
      </c>
      <c r="J36" s="48">
        <f>Tableau_Lancer_la_requête_à_partir_de_Excel_Files3[[#This Row],[Aide Publique Obtenue]]/Tableau_Lancer_la_requête_à_partir_de_Excel_Files3[[#This Row],[Coût total]]</f>
        <v>0.50000001847605846</v>
      </c>
      <c r="K36" s="47">
        <f>Tableau_Lancer_la_requête_à_partir_de_Excel_Files3[[#This Row],[Etat]]+Tableau_Lancer_la_requête_à_partir_de_Excel_Files3[[#This Row],[Régions]]+Tableau_Lancer_la_requête_à_partir_de_Excel_Files3[[#This Row],[Départements]]+Tableau_Lancer_la_requête_à_partir_de_Excel_Files3[[#This Row],[''FEDER'']]</f>
        <v>135310.25</v>
      </c>
      <c r="L36" s="48">
        <f>Tableau_Lancer_la_requête_à_partir_de_Excel_Files3[[#This Row],[Aide Massif Obtenu]]/Tableau_Lancer_la_requête_à_partir_de_Excel_Files3[[#This Row],[Coût total]]</f>
        <v>0.50000001847605846</v>
      </c>
      <c r="M36" s="49">
        <f>Tableau_Lancer_la_requête_à_partir_de_Excel_Files3[[#This Row],[''FNADT'']]+Tableau_Lancer_la_requête_à_partir_de_Excel_Files3[[#This Row],[''Agriculture'']]</f>
        <v>35310.25</v>
      </c>
      <c r="N36" s="47">
        <v>35310.25</v>
      </c>
      <c r="O36" s="47"/>
      <c r="P36" s="49">
        <f>Tableau_Lancer_la_requête_à_partir_de_Excel_Files3[[#This Row],[''ALPC'']]+Tableau_Lancer_la_requête_à_partir_de_Excel_Files3[[#This Row],[''AURA'']]+Tableau_Lancer_la_requête_à_partir_de_Excel_Files3[[#This Row],[''BFC'']]+Tableau_Lancer_la_requête_à_partir_de_Excel_Files3[[#This Row],[''LRMP'']]</f>
        <v>0</v>
      </c>
      <c r="Q36" s="47"/>
      <c r="R36" s="47"/>
      <c r="S36" s="47"/>
      <c r="T36" s="47"/>
      <c r="U36" s="49">
        <f>Tableau_Lancer_la_requête_à_partir_de_Excel_Files3[[#This Row],[''03'']]+Tableau_Lancer_la_requête_à_partir_de_Excel_Files3[[#This Row],[''07'']]+Tableau_Lancer_la_requête_à_partir_de_Excel_Files3[[#This Row],[''11'']]+Tableau_Lancer_la_requête_à_partir_de_Excel_Files3[[#This Row],[''12'']]+Tableau_Lancer_la_requête_à_partir_de_Excel_Files3[[#This Row],[''15'']]+Tableau_Lancer_la_requête_à_partir_de_Excel_Files3[[#This Row],[''21'']]+Tableau_Lancer_la_requête_à_partir_de_Excel_Files3[[#This Row],[''19'']]+Tableau_Lancer_la_requête_à_partir_de_Excel_Files3[[#This Row],[''23'']]+Tableau_Lancer_la_requête_à_partir_de_Excel_Files3[[#This Row],[''30'']]+Tableau_Lancer_la_requête_à_partir_de_Excel_Files3[[#This Row],[''34'']]+Tableau_Lancer_la_requête_à_partir_de_Excel_Files3[[#This Row],[''42'']]+Tableau_Lancer_la_requête_à_partir_de_Excel_Files3[[#This Row],[''43'']]+Tableau_Lancer_la_requête_à_partir_de_Excel_Files3[[#This Row],[''46'']]+Tableau_Lancer_la_requête_à_partir_de_Excel_Files3[[#This Row],[''48'']]+Tableau_Lancer_la_requête_à_partir_de_Excel_Files3[[#This Row],[''58'']]+Tableau_Lancer_la_requête_à_partir_de_Excel_Files3[[#This Row],[''63'']]+Tableau_Lancer_la_requête_à_partir_de_Excel_Files3[[#This Row],[''69'']]+Tableau_Lancer_la_requête_à_partir_de_Excel_Files3[[#This Row],[''71'']]+Tableau_Lancer_la_requête_à_partir_de_Excel_Files3[[#This Row],[''81'']]+Tableau_Lancer_la_requête_à_partir_de_Excel_Files3[[#This Row],[''82'']]+Tableau_Lancer_la_requête_à_partir_de_Excel_Files3[[#This Row],[''87'']]+Tableau_Lancer_la_requête_à_partir_de_Excel_Files3[[#This Row],[''89'']]</f>
        <v>0</v>
      </c>
      <c r="V36" s="47"/>
      <c r="W36" s="47"/>
      <c r="X36" s="47"/>
      <c r="Y36" s="47"/>
      <c r="Z36" s="47"/>
      <c r="AA36" s="47"/>
      <c r="AB36" s="47"/>
      <c r="AC36" s="47"/>
      <c r="AD36" s="47"/>
      <c r="AE36" s="47"/>
      <c r="AF36" s="47"/>
      <c r="AG36" s="47"/>
      <c r="AH36" s="47"/>
      <c r="AI36" s="47"/>
      <c r="AJ36" s="47"/>
      <c r="AK36" s="47"/>
      <c r="AL36" s="47"/>
      <c r="AM36" s="47"/>
      <c r="AN36" s="47"/>
      <c r="AO36" s="47"/>
      <c r="AP36" s="47"/>
      <c r="AQ36" s="47"/>
      <c r="AR36" s="47">
        <v>100000</v>
      </c>
      <c r="AS36" s="47">
        <v>0</v>
      </c>
      <c r="AT36" s="41" t="s">
        <v>77</v>
      </c>
      <c r="AV36" s="55" t="s">
        <v>355</v>
      </c>
      <c r="AW36" s="40" t="s">
        <v>373</v>
      </c>
      <c r="AY36" s="52" t="s">
        <v>115</v>
      </c>
      <c r="AZ36" s="52">
        <f ca="1">SUMIF(Tableau_Lancer_la_requête_à_partir_de_Excel_Files3[Avis Prog],"1-Favorable",Tableau3[''BFC''])</f>
        <v>0</v>
      </c>
      <c r="BB36" s="37">
        <f>SUMIF(Tableau3[Avis],"1-Favorable",Tableau3[''BFC''])</f>
        <v>0</v>
      </c>
      <c r="BG36" s="37">
        <f>SUMIF(Tableau3[Avis],"0",Tableau3[''BFC''])</f>
        <v>0</v>
      </c>
      <c r="CM36" s="37"/>
      <c r="CN36" s="37"/>
      <c r="CO36" s="37"/>
      <c r="CP36" s="37"/>
      <c r="CQ36" s="37"/>
      <c r="CR36" s="37"/>
      <c r="CS36" s="37"/>
      <c r="CT36" s="37"/>
      <c r="CU36" s="37"/>
      <c r="CV36" s="37"/>
      <c r="CW36" s="37"/>
      <c r="CX36" s="37"/>
      <c r="CY36" s="37"/>
      <c r="CZ36" s="37"/>
      <c r="DA36" s="37"/>
      <c r="DB36" s="37"/>
      <c r="DC36" s="37"/>
      <c r="DD36" s="37"/>
      <c r="DE36" s="37"/>
      <c r="DF36" s="37"/>
      <c r="DG36" s="37"/>
      <c r="DH36" s="37"/>
    </row>
    <row r="37" spans="1:112" ht="45" x14ac:dyDescent="0.25">
      <c r="A37" s="43" t="s">
        <v>5</v>
      </c>
      <c r="B37" s="45" t="s">
        <v>295</v>
      </c>
      <c r="C37" s="45" t="s">
        <v>293</v>
      </c>
      <c r="D37" s="46" t="s">
        <v>227</v>
      </c>
      <c r="E37" s="46" t="s">
        <v>294</v>
      </c>
      <c r="F37" s="47">
        <v>180850.77000000002</v>
      </c>
      <c r="G37" s="47">
        <v>180850.77</v>
      </c>
      <c r="H37" s="47">
        <f>IF(Tableau_Lancer_la_requête_à_partir_de_Excel_Files3[[#This Row],[Coût total Eligible FEDER]]="",Tableau_Lancer_la_requête_à_partir_de_Excel_Files3[[#This Row],[Coût total déposé]],Tableau_Lancer_la_requête_à_partir_de_Excel_Files3[[#This Row],[Coût total Eligible FEDER]])</f>
        <v>180850.77</v>
      </c>
      <c r="I37" s="47">
        <f>Tableau_Lancer_la_requête_à_partir_de_Excel_Files3[[#This Row],[Aide Massif Obtenu]]+Tableau_Lancer_la_requête_à_partir_de_Excel_Files3[[#This Row],[''Autre Public'']]</f>
        <v>152894.77000000002</v>
      </c>
      <c r="J37" s="48">
        <f>Tableau_Lancer_la_requête_à_partir_de_Excel_Files3[[#This Row],[Aide Publique Obtenue]]/Tableau_Lancer_la_requête_à_partir_de_Excel_Files3[[#This Row],[Coût total]]</f>
        <v>0.84541951355805689</v>
      </c>
      <c r="K37" s="47">
        <f>Tableau_Lancer_la_requête_à_partir_de_Excel_Files3[[#This Row],[Etat]]+Tableau_Lancer_la_requête_à_partir_de_Excel_Files3[[#This Row],[Régions]]+Tableau_Lancer_la_requête_à_partir_de_Excel_Files3[[#This Row],[Départements]]+Tableau_Lancer_la_requête_à_partir_de_Excel_Files3[[#This Row],[''FEDER'']]</f>
        <v>152894.77000000002</v>
      </c>
      <c r="L37" s="48">
        <f>Tableau_Lancer_la_requête_à_partir_de_Excel_Files3[[#This Row],[Aide Massif Obtenu]]/Tableau_Lancer_la_requête_à_partir_de_Excel_Files3[[#This Row],[Coût total]]</f>
        <v>0.84541951355805689</v>
      </c>
      <c r="M37" s="49">
        <f>Tableau_Lancer_la_requête_à_partir_de_Excel_Files3[[#This Row],[''FNADT'']]+Tableau_Lancer_la_requête_à_partir_de_Excel_Files3[[#This Row],[''Agriculture'']]</f>
        <v>20286.97</v>
      </c>
      <c r="N37" s="47">
        <v>20286.97</v>
      </c>
      <c r="O37" s="47"/>
      <c r="P37" s="49">
        <f>Tableau_Lancer_la_requête_à_partir_de_Excel_Files3[[#This Row],[''ALPC'']]+Tableau_Lancer_la_requête_à_partir_de_Excel_Files3[[#This Row],[''AURA'']]+Tableau_Lancer_la_requête_à_partir_de_Excel_Files3[[#This Row],[''BFC'']]+Tableau_Lancer_la_requête_à_partir_de_Excel_Files3[[#This Row],[''LRMP'']]</f>
        <v>42182.5</v>
      </c>
      <c r="Q37" s="47">
        <v>3000</v>
      </c>
      <c r="R37" s="47">
        <v>21852.5</v>
      </c>
      <c r="S37" s="47">
        <v>4520</v>
      </c>
      <c r="T37" s="47">
        <v>12810</v>
      </c>
      <c r="U37" s="49">
        <f>Tableau_Lancer_la_requête_à_partir_de_Excel_Files3[[#This Row],[''03'']]+Tableau_Lancer_la_requête_à_partir_de_Excel_Files3[[#This Row],[''07'']]+Tableau_Lancer_la_requête_à_partir_de_Excel_Files3[[#This Row],[''11'']]+Tableau_Lancer_la_requête_à_partir_de_Excel_Files3[[#This Row],[''12'']]+Tableau_Lancer_la_requête_à_partir_de_Excel_Files3[[#This Row],[''15'']]+Tableau_Lancer_la_requête_à_partir_de_Excel_Files3[[#This Row],[''21'']]+Tableau_Lancer_la_requête_à_partir_de_Excel_Files3[[#This Row],[''19'']]+Tableau_Lancer_la_requête_à_partir_de_Excel_Files3[[#This Row],[''23'']]+Tableau_Lancer_la_requête_à_partir_de_Excel_Files3[[#This Row],[''30'']]+Tableau_Lancer_la_requête_à_partir_de_Excel_Files3[[#This Row],[''34'']]+Tableau_Lancer_la_requête_à_partir_de_Excel_Files3[[#This Row],[''42'']]+Tableau_Lancer_la_requête_à_partir_de_Excel_Files3[[#This Row],[''43'']]+Tableau_Lancer_la_requête_à_partir_de_Excel_Files3[[#This Row],[''46'']]+Tableau_Lancer_la_requête_à_partir_de_Excel_Files3[[#This Row],[''48'']]+Tableau_Lancer_la_requête_à_partir_de_Excel_Files3[[#This Row],[''58'']]+Tableau_Lancer_la_requête_à_partir_de_Excel_Files3[[#This Row],[''63'']]+Tableau_Lancer_la_requête_à_partir_de_Excel_Files3[[#This Row],[''69'']]+Tableau_Lancer_la_requête_à_partir_de_Excel_Files3[[#This Row],[''71'']]+Tableau_Lancer_la_requête_à_partir_de_Excel_Files3[[#This Row],[''81'']]+Tableau_Lancer_la_requête_à_partir_de_Excel_Files3[[#This Row],[''82'']]+Tableau_Lancer_la_requête_à_partir_de_Excel_Files3[[#This Row],[''87'']]+Tableau_Lancer_la_requête_à_partir_de_Excel_Files3[[#This Row],[''89'']]</f>
        <v>0</v>
      </c>
      <c r="V37" s="47"/>
      <c r="W37" s="47"/>
      <c r="X37" s="47"/>
      <c r="Y37" s="47"/>
      <c r="Z37" s="47"/>
      <c r="AA37" s="47"/>
      <c r="AB37" s="47"/>
      <c r="AC37" s="47"/>
      <c r="AD37" s="47"/>
      <c r="AE37" s="47"/>
      <c r="AF37" s="47"/>
      <c r="AG37" s="47"/>
      <c r="AH37" s="47"/>
      <c r="AI37" s="47"/>
      <c r="AJ37" s="47"/>
      <c r="AK37" s="47"/>
      <c r="AL37" s="47"/>
      <c r="AM37" s="47"/>
      <c r="AN37" s="47"/>
      <c r="AO37" s="47"/>
      <c r="AP37" s="47"/>
      <c r="AQ37" s="47"/>
      <c r="AR37" s="47">
        <v>90425.3</v>
      </c>
      <c r="AS37" s="47">
        <v>0</v>
      </c>
      <c r="AT37" s="41" t="s">
        <v>77</v>
      </c>
      <c r="AV37" s="64" t="s">
        <v>333</v>
      </c>
      <c r="AW37" s="40" t="s">
        <v>293</v>
      </c>
      <c r="AY37" s="52" t="s">
        <v>116</v>
      </c>
      <c r="AZ37" s="52">
        <f ca="1">SUMIF(Tableau_Lancer_la_requête_à_partir_de_Excel_Files3[Avis Prog],"1-Favorable",Tableau3[''LRMP''])</f>
        <v>-17512</v>
      </c>
      <c r="BB37" s="37">
        <f>SUMIF(Tableau3[Avis],"1-Favorable",Tableau3[''LRMP''])</f>
        <v>-8756</v>
      </c>
      <c r="BG37" s="37">
        <f>SUMIF(Tableau3[Avis],"0",Tableau3[''LRMP''])</f>
        <v>0</v>
      </c>
      <c r="CM37" s="37"/>
      <c r="CN37" s="37"/>
      <c r="CO37" s="37"/>
      <c r="CP37" s="37"/>
      <c r="CQ37" s="37"/>
      <c r="CR37" s="37"/>
      <c r="CS37" s="37"/>
      <c r="CT37" s="37"/>
      <c r="CU37" s="37"/>
      <c r="CV37" s="37"/>
      <c r="CW37" s="37"/>
      <c r="CX37" s="37"/>
      <c r="CY37" s="37"/>
      <c r="CZ37" s="37"/>
      <c r="DA37" s="37"/>
      <c r="DB37" s="37"/>
      <c r="DC37" s="37"/>
      <c r="DD37" s="37"/>
      <c r="DE37" s="37"/>
      <c r="DF37" s="37"/>
      <c r="DG37" s="37"/>
      <c r="DH37" s="37"/>
    </row>
    <row r="38" spans="1:112" ht="30" x14ac:dyDescent="0.25">
      <c r="A38" s="43" t="s">
        <v>5</v>
      </c>
      <c r="B38" s="45" t="s">
        <v>343</v>
      </c>
      <c r="C38" s="45" t="s">
        <v>340</v>
      </c>
      <c r="D38" s="46" t="s">
        <v>341</v>
      </c>
      <c r="E38" s="46" t="s">
        <v>342</v>
      </c>
      <c r="F38" s="47">
        <v>0</v>
      </c>
      <c r="G38" s="47"/>
      <c r="H38" s="47">
        <f>IF(Tableau_Lancer_la_requête_à_partir_de_Excel_Files3[[#This Row],[Coût total Eligible FEDER]]="",Tableau_Lancer_la_requête_à_partir_de_Excel_Files3[[#This Row],[Coût total déposé]],Tableau_Lancer_la_requête_à_partir_de_Excel_Files3[[#This Row],[Coût total Eligible FEDER]])</f>
        <v>0</v>
      </c>
      <c r="I38" s="47">
        <f>Tableau_Lancer_la_requête_à_partir_de_Excel_Files3[[#This Row],[Aide Massif Obtenu]]+Tableau_Lancer_la_requête_à_partir_de_Excel_Files3[[#This Row],[''Autre Public'']]</f>
        <v>0</v>
      </c>
      <c r="J38" s="48" t="e">
        <f>Tableau_Lancer_la_requête_à_partir_de_Excel_Files3[[#This Row],[Aide Publique Obtenue]]/Tableau_Lancer_la_requête_à_partir_de_Excel_Files3[[#This Row],[Coût total]]</f>
        <v>#DIV/0!</v>
      </c>
      <c r="K38" s="47">
        <f>Tableau_Lancer_la_requête_à_partir_de_Excel_Files3[[#This Row],[Etat]]+Tableau_Lancer_la_requête_à_partir_de_Excel_Files3[[#This Row],[Régions]]+Tableau_Lancer_la_requête_à_partir_de_Excel_Files3[[#This Row],[Départements]]+Tableau_Lancer_la_requête_à_partir_de_Excel_Files3[[#This Row],[''FEDER'']]</f>
        <v>0</v>
      </c>
      <c r="L38" s="48" t="e">
        <f>Tableau_Lancer_la_requête_à_partir_de_Excel_Files3[[#This Row],[Aide Massif Obtenu]]/Tableau_Lancer_la_requête_à_partir_de_Excel_Files3[[#This Row],[Coût total]]</f>
        <v>#DIV/0!</v>
      </c>
      <c r="M38" s="49">
        <f>Tableau_Lancer_la_requête_à_partir_de_Excel_Files3[[#This Row],[''FNADT'']]+Tableau_Lancer_la_requête_à_partir_de_Excel_Files3[[#This Row],[''Agriculture'']]</f>
        <v>0</v>
      </c>
      <c r="N38" s="47"/>
      <c r="O38" s="47"/>
      <c r="P38" s="49">
        <f>Tableau_Lancer_la_requête_à_partir_de_Excel_Files3[[#This Row],[''ALPC'']]+Tableau_Lancer_la_requête_à_partir_de_Excel_Files3[[#This Row],[''AURA'']]+Tableau_Lancer_la_requête_à_partir_de_Excel_Files3[[#This Row],[''BFC'']]+Tableau_Lancer_la_requête_à_partir_de_Excel_Files3[[#This Row],[''LRMP'']]</f>
        <v>0</v>
      </c>
      <c r="Q38" s="47"/>
      <c r="R38" s="47"/>
      <c r="S38" s="47"/>
      <c r="T38" s="47"/>
      <c r="U38" s="49">
        <f>Tableau_Lancer_la_requête_à_partir_de_Excel_Files3[[#This Row],[''03'']]+Tableau_Lancer_la_requête_à_partir_de_Excel_Files3[[#This Row],[''07'']]+Tableau_Lancer_la_requête_à_partir_de_Excel_Files3[[#This Row],[''11'']]+Tableau_Lancer_la_requête_à_partir_de_Excel_Files3[[#This Row],[''12'']]+Tableau_Lancer_la_requête_à_partir_de_Excel_Files3[[#This Row],[''15'']]+Tableau_Lancer_la_requête_à_partir_de_Excel_Files3[[#This Row],[''21'']]+Tableau_Lancer_la_requête_à_partir_de_Excel_Files3[[#This Row],[''19'']]+Tableau_Lancer_la_requête_à_partir_de_Excel_Files3[[#This Row],[''23'']]+Tableau_Lancer_la_requête_à_partir_de_Excel_Files3[[#This Row],[''30'']]+Tableau_Lancer_la_requête_à_partir_de_Excel_Files3[[#This Row],[''34'']]+Tableau_Lancer_la_requête_à_partir_de_Excel_Files3[[#This Row],[''42'']]+Tableau_Lancer_la_requête_à_partir_de_Excel_Files3[[#This Row],[''43'']]+Tableau_Lancer_la_requête_à_partir_de_Excel_Files3[[#This Row],[''46'']]+Tableau_Lancer_la_requête_à_partir_de_Excel_Files3[[#This Row],[''48'']]+Tableau_Lancer_la_requête_à_partir_de_Excel_Files3[[#This Row],[''58'']]+Tableau_Lancer_la_requête_à_partir_de_Excel_Files3[[#This Row],[''63'']]+Tableau_Lancer_la_requête_à_partir_de_Excel_Files3[[#This Row],[''69'']]+Tableau_Lancer_la_requête_à_partir_de_Excel_Files3[[#This Row],[''71'']]+Tableau_Lancer_la_requête_à_partir_de_Excel_Files3[[#This Row],[''81'']]+Tableau_Lancer_la_requête_à_partir_de_Excel_Files3[[#This Row],[''82'']]+Tableau_Lancer_la_requête_à_partir_de_Excel_Files3[[#This Row],[''87'']]+Tableau_Lancer_la_requête_à_partir_de_Excel_Files3[[#This Row],[''89'']]</f>
        <v>0</v>
      </c>
      <c r="V38" s="47"/>
      <c r="W38" s="47"/>
      <c r="X38" s="47"/>
      <c r="Y38" s="47"/>
      <c r="Z38" s="47"/>
      <c r="AA38" s="47"/>
      <c r="AB38" s="47"/>
      <c r="AC38" s="47"/>
      <c r="AD38" s="47"/>
      <c r="AE38" s="47"/>
      <c r="AF38" s="47"/>
      <c r="AG38" s="47"/>
      <c r="AH38" s="47"/>
      <c r="AI38" s="47"/>
      <c r="AJ38" s="47"/>
      <c r="AK38" s="47"/>
      <c r="AL38" s="47"/>
      <c r="AM38" s="47"/>
      <c r="AN38" s="47"/>
      <c r="AO38" s="47"/>
      <c r="AP38" s="47"/>
      <c r="AQ38" s="47"/>
      <c r="AR38" s="47">
        <v>0</v>
      </c>
      <c r="AS38" s="47">
        <v>0</v>
      </c>
      <c r="AT38" s="41" t="s">
        <v>77</v>
      </c>
      <c r="AV38" s="55" t="s">
        <v>377</v>
      </c>
      <c r="AW38" s="40" t="s">
        <v>340</v>
      </c>
      <c r="AY38" s="40" t="s">
        <v>58</v>
      </c>
      <c r="AZ38" s="52">
        <f ca="1">SUMIF(Tableau_Lancer_la_requête_à_partir_de_Excel_Files3[Avis Prog],"1-Favorable",Tableau3[Départements])</f>
        <v>12578</v>
      </c>
      <c r="BB38" s="37">
        <f>SUMIF(Tableau3[Avis],"1-Favorable",Tableau3[Départements])</f>
        <v>6289</v>
      </c>
      <c r="BG38" s="37">
        <f>SUMIF(Tableau3[Avis],"0",Tableau3[Départements])</f>
        <v>0</v>
      </c>
      <c r="CM38" s="37"/>
      <c r="CN38" s="37"/>
      <c r="CO38" s="37"/>
      <c r="CP38" s="37"/>
      <c r="CQ38" s="37"/>
      <c r="CR38" s="37"/>
      <c r="CS38" s="37"/>
      <c r="CT38" s="37"/>
      <c r="CU38" s="37"/>
      <c r="CV38" s="37"/>
      <c r="CW38" s="37"/>
      <c r="CX38" s="37"/>
      <c r="CY38" s="37"/>
      <c r="CZ38" s="37"/>
      <c r="DA38" s="37"/>
      <c r="DB38" s="37"/>
      <c r="DC38" s="37"/>
      <c r="DD38" s="37"/>
      <c r="DE38" s="37"/>
      <c r="DF38" s="37"/>
      <c r="DG38" s="37"/>
      <c r="DH38" s="37"/>
    </row>
    <row r="39" spans="1:112" ht="30" x14ac:dyDescent="0.25">
      <c r="A39" s="43" t="s">
        <v>5</v>
      </c>
      <c r="B39" s="45" t="s">
        <v>412</v>
      </c>
      <c r="C39" s="45" t="s">
        <v>409</v>
      </c>
      <c r="D39" s="46" t="s">
        <v>410</v>
      </c>
      <c r="E39" s="46" t="s">
        <v>411</v>
      </c>
      <c r="F39" s="47">
        <v>99999.85</v>
      </c>
      <c r="G39" s="47">
        <v>96509.28</v>
      </c>
      <c r="H39" s="47">
        <f>IF(Tableau_Lancer_la_requête_à_partir_de_Excel_Files3[[#This Row],[Coût total Eligible FEDER]]="",Tableau_Lancer_la_requête_à_partir_de_Excel_Files3[[#This Row],[Coût total déposé]],Tableau_Lancer_la_requête_à_partir_de_Excel_Files3[[#This Row],[Coût total Eligible FEDER]])</f>
        <v>96509.28</v>
      </c>
      <c r="I39" s="47">
        <f>Tableau_Lancer_la_requête_à_partir_de_Excel_Files3[[#This Row],[Aide Massif Obtenu]]+Tableau_Lancer_la_requête_à_partir_de_Excel_Files3[[#This Row],[''Autre Public'']]</f>
        <v>67556</v>
      </c>
      <c r="J39" s="48">
        <f>Tableau_Lancer_la_requête_à_partir_de_Excel_Files3[[#This Row],[Aide Publique Obtenue]]/Tableau_Lancer_la_requête_à_partir_de_Excel_Files3[[#This Row],[Coût total]]</f>
        <v>0.69999486059786165</v>
      </c>
      <c r="K39" s="47">
        <f>Tableau_Lancer_la_requête_à_partir_de_Excel_Files3[[#This Row],[Etat]]+Tableau_Lancer_la_requête_à_partir_de_Excel_Files3[[#This Row],[Régions]]+Tableau_Lancer_la_requête_à_partir_de_Excel_Files3[[#This Row],[Départements]]+Tableau_Lancer_la_requête_à_partir_de_Excel_Files3[[#This Row],[''FEDER'']]</f>
        <v>67556</v>
      </c>
      <c r="L39" s="48">
        <f>Tableau_Lancer_la_requête_à_partir_de_Excel_Files3[[#This Row],[Aide Massif Obtenu]]/Tableau_Lancer_la_requête_à_partir_de_Excel_Files3[[#This Row],[Coût total]]</f>
        <v>0.69999486059786165</v>
      </c>
      <c r="M39" s="49">
        <f>Tableau_Lancer_la_requête_à_partir_de_Excel_Files3[[#This Row],[''FNADT'']]+Tableau_Lancer_la_requête_à_partir_de_Excel_Files3[[#This Row],[''Agriculture'']]</f>
        <v>30000</v>
      </c>
      <c r="N39" s="47">
        <v>30000</v>
      </c>
      <c r="O39" s="47"/>
      <c r="P39" s="49">
        <f>Tableau_Lancer_la_requête_à_partir_de_Excel_Files3[[#This Row],[''ALPC'']]+Tableau_Lancer_la_requête_à_partir_de_Excel_Files3[[#This Row],[''AURA'']]+Tableau_Lancer_la_requête_à_partir_de_Excel_Files3[[#This Row],[''BFC'']]+Tableau_Lancer_la_requête_à_partir_de_Excel_Files3[[#This Row],[''LRMP'']]</f>
        <v>0</v>
      </c>
      <c r="Q39" s="47"/>
      <c r="R39" s="47"/>
      <c r="S39" s="47"/>
      <c r="T39" s="47"/>
      <c r="U39" s="49">
        <f>Tableau_Lancer_la_requête_à_partir_de_Excel_Files3[[#This Row],[''03'']]+Tableau_Lancer_la_requête_à_partir_de_Excel_Files3[[#This Row],[''07'']]+Tableau_Lancer_la_requête_à_partir_de_Excel_Files3[[#This Row],[''11'']]+Tableau_Lancer_la_requête_à_partir_de_Excel_Files3[[#This Row],[''12'']]+Tableau_Lancer_la_requête_à_partir_de_Excel_Files3[[#This Row],[''15'']]+Tableau_Lancer_la_requête_à_partir_de_Excel_Files3[[#This Row],[''21'']]+Tableau_Lancer_la_requête_à_partir_de_Excel_Files3[[#This Row],[''19'']]+Tableau_Lancer_la_requête_à_partir_de_Excel_Files3[[#This Row],[''23'']]+Tableau_Lancer_la_requête_à_partir_de_Excel_Files3[[#This Row],[''30'']]+Tableau_Lancer_la_requête_à_partir_de_Excel_Files3[[#This Row],[''34'']]+Tableau_Lancer_la_requête_à_partir_de_Excel_Files3[[#This Row],[''42'']]+Tableau_Lancer_la_requête_à_partir_de_Excel_Files3[[#This Row],[''43'']]+Tableau_Lancer_la_requête_à_partir_de_Excel_Files3[[#This Row],[''46'']]+Tableau_Lancer_la_requête_à_partir_de_Excel_Files3[[#This Row],[''48'']]+Tableau_Lancer_la_requête_à_partir_de_Excel_Files3[[#This Row],[''58'']]+Tableau_Lancer_la_requête_à_partir_de_Excel_Files3[[#This Row],[''63'']]+Tableau_Lancer_la_requête_à_partir_de_Excel_Files3[[#This Row],[''69'']]+Tableau_Lancer_la_requête_à_partir_de_Excel_Files3[[#This Row],[''71'']]+Tableau_Lancer_la_requête_à_partir_de_Excel_Files3[[#This Row],[''81'']]+Tableau_Lancer_la_requête_à_partir_de_Excel_Files3[[#This Row],[''82'']]+Tableau_Lancer_la_requête_à_partir_de_Excel_Files3[[#This Row],[''87'']]+Tableau_Lancer_la_requête_à_partir_de_Excel_Files3[[#This Row],[''89'']]</f>
        <v>10000</v>
      </c>
      <c r="V39" s="47"/>
      <c r="W39" s="47"/>
      <c r="X39" s="47"/>
      <c r="Y39" s="47"/>
      <c r="Z39" s="47"/>
      <c r="AA39" s="47"/>
      <c r="AB39" s="47"/>
      <c r="AC39" s="47"/>
      <c r="AD39" s="47"/>
      <c r="AE39" s="47"/>
      <c r="AF39" s="47"/>
      <c r="AG39" s="47"/>
      <c r="AH39" s="47"/>
      <c r="AI39" s="47">
        <v>10000</v>
      </c>
      <c r="AJ39" s="47"/>
      <c r="AK39" s="47"/>
      <c r="AL39" s="47"/>
      <c r="AM39" s="47"/>
      <c r="AN39" s="47"/>
      <c r="AO39" s="47"/>
      <c r="AP39" s="47"/>
      <c r="AQ39" s="47"/>
      <c r="AR39" s="47">
        <v>27556</v>
      </c>
      <c r="AS39" s="47">
        <v>0</v>
      </c>
      <c r="AT39" s="41" t="s">
        <v>77</v>
      </c>
      <c r="AV39" s="46" t="s">
        <v>408</v>
      </c>
      <c r="AY39" s="40" t="s">
        <v>32</v>
      </c>
      <c r="AZ39" s="52">
        <f ca="1">SUMIF(Tableau_Lancer_la_requête_à_partir_de_Excel_Files3[Avis Prog],"1-Favorable",Tableau3[''03''])</f>
        <v>0</v>
      </c>
      <c r="BB39" s="37">
        <f>SUMIF(Tableau3[Avis],"1-Favorable",Tableau3[''03''])</f>
        <v>0</v>
      </c>
      <c r="BG39" s="37">
        <f>SUMIF(Tableau3[Avis],"0",Tableau3[''03''])</f>
        <v>0</v>
      </c>
      <c r="CM39" s="37"/>
      <c r="CN39" s="37"/>
      <c r="CO39" s="37"/>
      <c r="CP39" s="37"/>
      <c r="CQ39" s="37"/>
      <c r="CR39" s="37"/>
      <c r="CS39" s="37"/>
      <c r="CT39" s="37"/>
      <c r="CU39" s="37"/>
      <c r="CV39" s="37"/>
      <c r="CW39" s="37"/>
      <c r="CX39" s="37"/>
      <c r="CY39" s="37"/>
      <c r="CZ39" s="37"/>
      <c r="DA39" s="37"/>
      <c r="DB39" s="37"/>
      <c r="DC39" s="37"/>
      <c r="DD39" s="37"/>
      <c r="DE39" s="37"/>
      <c r="DF39" s="37"/>
      <c r="DG39" s="37"/>
      <c r="DH39" s="37"/>
    </row>
    <row r="40" spans="1:112" ht="60" x14ac:dyDescent="0.25">
      <c r="A40" s="43" t="s">
        <v>5</v>
      </c>
      <c r="B40" s="45" t="s">
        <v>19</v>
      </c>
      <c r="C40" s="45" t="s">
        <v>59</v>
      </c>
      <c r="D40" s="46" t="s">
        <v>20</v>
      </c>
      <c r="E40" s="46" t="s">
        <v>21</v>
      </c>
      <c r="F40" s="47">
        <v>282486.90999999997</v>
      </c>
      <c r="G40" s="47">
        <v>287903.82</v>
      </c>
      <c r="H40" s="47">
        <f>IF(Tableau_Lancer_la_requête_à_partir_de_Excel_Files3[[#This Row],[Coût total Eligible FEDER]]="",Tableau_Lancer_la_requête_à_partir_de_Excel_Files3[[#This Row],[Coût total déposé]],Tableau_Lancer_la_requête_à_partir_de_Excel_Files3[[#This Row],[Coût total Eligible FEDER]])</f>
        <v>287903.82</v>
      </c>
      <c r="I40" s="47">
        <f>Tableau_Lancer_la_requête_à_partir_de_Excel_Files3[[#This Row],[Aide Massif Obtenu]]+Tableau_Lancer_la_requête_à_partir_de_Excel_Files3[[#This Row],[''Autre Public'']]</f>
        <v>163451.91</v>
      </c>
      <c r="J40" s="48">
        <f>Tableau_Lancer_la_requête_à_partir_de_Excel_Files3[[#This Row],[Aide Publique Obtenue]]/Tableau_Lancer_la_requête_à_partir_de_Excel_Files3[[#This Row],[Coût total]]</f>
        <v>0.56773095264939522</v>
      </c>
      <c r="K40" s="47">
        <f>Tableau_Lancer_la_requête_à_partir_de_Excel_Files3[[#This Row],[Etat]]+Tableau_Lancer_la_requête_à_partir_de_Excel_Files3[[#This Row],[Régions]]+Tableau_Lancer_la_requête_à_partir_de_Excel_Files3[[#This Row],[Départements]]+Tableau_Lancer_la_requête_à_partir_de_Excel_Files3[[#This Row],[''FEDER'']]</f>
        <v>163451.91</v>
      </c>
      <c r="L40" s="48">
        <f>Tableau_Lancer_la_requête_à_partir_de_Excel_Files3[[#This Row],[Aide Massif Obtenu]]/Tableau_Lancer_la_requête_à_partir_de_Excel_Files3[[#This Row],[Coût total]]</f>
        <v>0.56773095264939522</v>
      </c>
      <c r="M40" s="49">
        <f>Tableau_Lancer_la_requête_à_partir_de_Excel_Files3[[#This Row],[''FNADT'']]+Tableau_Lancer_la_requête_à_partir_de_Excel_Files3[[#This Row],[''Agriculture'']]</f>
        <v>19500</v>
      </c>
      <c r="N40" s="47">
        <v>19500</v>
      </c>
      <c r="O40" s="47"/>
      <c r="P40" s="49">
        <f>Tableau_Lancer_la_requête_à_partir_de_Excel_Files3[[#This Row],[''ALPC'']]+Tableau_Lancer_la_requête_à_partir_de_Excel_Files3[[#This Row],[''AURA'']]+Tableau_Lancer_la_requête_à_partir_de_Excel_Files3[[#This Row],[''BFC'']]+Tableau_Lancer_la_requête_à_partir_de_Excel_Files3[[#This Row],[''LRMP'']]</f>
        <v>0</v>
      </c>
      <c r="Q40" s="47"/>
      <c r="R40" s="47"/>
      <c r="S40" s="47"/>
      <c r="T40" s="47"/>
      <c r="U40" s="49">
        <f>Tableau_Lancer_la_requête_à_partir_de_Excel_Files3[[#This Row],[''03'']]+Tableau_Lancer_la_requête_à_partir_de_Excel_Files3[[#This Row],[''07'']]+Tableau_Lancer_la_requête_à_partir_de_Excel_Files3[[#This Row],[''11'']]+Tableau_Lancer_la_requête_à_partir_de_Excel_Files3[[#This Row],[''12'']]+Tableau_Lancer_la_requête_à_partir_de_Excel_Files3[[#This Row],[''15'']]+Tableau_Lancer_la_requête_à_partir_de_Excel_Files3[[#This Row],[''21'']]+Tableau_Lancer_la_requête_à_partir_de_Excel_Files3[[#This Row],[''19'']]+Tableau_Lancer_la_requête_à_partir_de_Excel_Files3[[#This Row],[''23'']]+Tableau_Lancer_la_requête_à_partir_de_Excel_Files3[[#This Row],[''30'']]+Tableau_Lancer_la_requête_à_partir_de_Excel_Files3[[#This Row],[''34'']]+Tableau_Lancer_la_requête_à_partir_de_Excel_Files3[[#This Row],[''42'']]+Tableau_Lancer_la_requête_à_partir_de_Excel_Files3[[#This Row],[''43'']]+Tableau_Lancer_la_requête_à_partir_de_Excel_Files3[[#This Row],[''46'']]+Tableau_Lancer_la_requête_à_partir_de_Excel_Files3[[#This Row],[''48'']]+Tableau_Lancer_la_requête_à_partir_de_Excel_Files3[[#This Row],[''58'']]+Tableau_Lancer_la_requête_à_partir_de_Excel_Files3[[#This Row],[''63'']]+Tableau_Lancer_la_requête_à_partir_de_Excel_Files3[[#This Row],[''69'']]+Tableau_Lancer_la_requête_à_partir_de_Excel_Files3[[#This Row],[''71'']]+Tableau_Lancer_la_requête_à_partir_de_Excel_Files3[[#This Row],[''81'']]+Tableau_Lancer_la_requête_à_partir_de_Excel_Files3[[#This Row],[''82'']]+Tableau_Lancer_la_requête_à_partir_de_Excel_Files3[[#This Row],[''87'']]+Tableau_Lancer_la_requête_à_partir_de_Excel_Files3[[#This Row],[''89'']]</f>
        <v>0</v>
      </c>
      <c r="V40" s="47"/>
      <c r="W40" s="47"/>
      <c r="X40" s="47"/>
      <c r="Y40" s="47"/>
      <c r="Z40" s="47"/>
      <c r="AA40" s="47"/>
      <c r="AB40" s="47"/>
      <c r="AC40" s="47"/>
      <c r="AD40" s="47"/>
      <c r="AE40" s="47"/>
      <c r="AF40" s="47"/>
      <c r="AG40" s="47"/>
      <c r="AH40" s="47"/>
      <c r="AI40" s="47"/>
      <c r="AJ40" s="47"/>
      <c r="AK40" s="47"/>
      <c r="AL40" s="47"/>
      <c r="AM40" s="47"/>
      <c r="AN40" s="47"/>
      <c r="AO40" s="47"/>
      <c r="AP40" s="47"/>
      <c r="AQ40" s="47"/>
      <c r="AR40" s="47">
        <v>143951.91</v>
      </c>
      <c r="AS40" s="47">
        <v>0</v>
      </c>
      <c r="AT40" s="41" t="s">
        <v>77</v>
      </c>
      <c r="AV40" s="64" t="s">
        <v>378</v>
      </c>
      <c r="AW40" s="40" t="s">
        <v>59</v>
      </c>
      <c r="AY40" s="40" t="s">
        <v>34</v>
      </c>
      <c r="AZ40" s="52">
        <f ca="1">SUMIF(Tableau_Lancer_la_requête_à_partir_de_Excel_Files3[Avis Prog],"1-Favorable",Tableau3[''11''])</f>
        <v>0</v>
      </c>
      <c r="BB40" s="37">
        <f>SUMIF(Tableau3[Avis],"1-Favorable",Tableau3[''11''])</f>
        <v>0</v>
      </c>
      <c r="BG40" s="37">
        <f>SUMIF(Tableau3[Avis],"0",Tableau3[''11''])</f>
        <v>0</v>
      </c>
      <c r="CM40" s="37"/>
      <c r="CN40" s="37"/>
      <c r="CO40" s="37"/>
      <c r="CP40" s="37"/>
      <c r="CQ40" s="37"/>
      <c r="CR40" s="37"/>
      <c r="CS40" s="37"/>
      <c r="CT40" s="37"/>
      <c r="CU40" s="37"/>
      <c r="CV40" s="37"/>
      <c r="CW40" s="37"/>
      <c r="CX40" s="37"/>
      <c r="CY40" s="37"/>
      <c r="CZ40" s="37"/>
      <c r="DA40" s="37"/>
      <c r="DB40" s="37"/>
      <c r="DC40" s="37"/>
      <c r="DD40" s="37"/>
      <c r="DE40" s="37"/>
      <c r="DF40" s="37"/>
      <c r="DG40" s="37"/>
      <c r="DH40" s="37"/>
    </row>
    <row r="41" spans="1:112" ht="45" x14ac:dyDescent="0.25">
      <c r="A41" s="43" t="s">
        <v>5</v>
      </c>
      <c r="B41" s="45" t="s">
        <v>292</v>
      </c>
      <c r="C41" s="45" t="s">
        <v>289</v>
      </c>
      <c r="D41" s="46" t="s">
        <v>290</v>
      </c>
      <c r="E41" s="46" t="s">
        <v>291</v>
      </c>
      <c r="F41" s="47">
        <v>166529.43</v>
      </c>
      <c r="G41" s="47">
        <v>166529.43</v>
      </c>
      <c r="H41" s="47">
        <f>IF(Tableau_Lancer_la_requête_à_partir_de_Excel_Files3[[#This Row],[Coût total Eligible FEDER]]="",Tableau_Lancer_la_requête_à_partir_de_Excel_Files3[[#This Row],[Coût total déposé]],Tableau_Lancer_la_requête_à_partir_de_Excel_Files3[[#This Row],[Coût total Eligible FEDER]])</f>
        <v>166529.43</v>
      </c>
      <c r="I41" s="47">
        <f>Tableau_Lancer_la_requête_à_partir_de_Excel_Files3[[#This Row],[Aide Massif Obtenu]]+Tableau_Lancer_la_requête_à_partir_de_Excel_Files3[[#This Row],[''Autre Public'']]</f>
        <v>106759.37</v>
      </c>
      <c r="J41" s="48">
        <f>Tableau_Lancer_la_requête_à_partir_de_Excel_Files3[[#This Row],[Aide Publique Obtenue]]/Tableau_Lancer_la_requête_à_partir_de_Excel_Files3[[#This Row],[Coût total]]</f>
        <v>0.64108410147083317</v>
      </c>
      <c r="K41" s="47">
        <f>Tableau_Lancer_la_requête_à_partir_de_Excel_Files3[[#This Row],[Etat]]+Tableau_Lancer_la_requête_à_partir_de_Excel_Files3[[#This Row],[Régions]]+Tableau_Lancer_la_requête_à_partir_de_Excel_Files3[[#This Row],[Départements]]+Tableau_Lancer_la_requête_à_partir_de_Excel_Files3[[#This Row],[''FEDER'']]</f>
        <v>106759.37</v>
      </c>
      <c r="L41" s="48">
        <f>Tableau_Lancer_la_requête_à_partir_de_Excel_Files3[[#This Row],[Aide Massif Obtenu]]/Tableau_Lancer_la_requête_à_partir_de_Excel_Files3[[#This Row],[Coût total]]</f>
        <v>0.64108410147083317</v>
      </c>
      <c r="M41" s="49">
        <f>Tableau_Lancer_la_requête_à_partir_de_Excel_Files3[[#This Row],[''FNADT'']]+Tableau_Lancer_la_requête_à_partir_de_Excel_Files3[[#This Row],[''Agriculture'']]</f>
        <v>23493.65</v>
      </c>
      <c r="N41" s="47">
        <v>23493.65</v>
      </c>
      <c r="O41" s="47"/>
      <c r="P41" s="49">
        <f>Tableau_Lancer_la_requête_à_partir_de_Excel_Files3[[#This Row],[''ALPC'']]+Tableau_Lancer_la_requête_à_partir_de_Excel_Files3[[#This Row],[''AURA'']]+Tableau_Lancer_la_requête_à_partir_de_Excel_Files3[[#This Row],[''BFC'']]+Tableau_Lancer_la_requête_à_partir_de_Excel_Files3[[#This Row],[''LRMP'']]</f>
        <v>0</v>
      </c>
      <c r="Q41" s="47"/>
      <c r="R41" s="47"/>
      <c r="S41" s="47"/>
      <c r="T41" s="47"/>
      <c r="U41" s="49">
        <f>Tableau_Lancer_la_requête_à_partir_de_Excel_Files3[[#This Row],[''03'']]+Tableau_Lancer_la_requête_à_partir_de_Excel_Files3[[#This Row],[''07'']]+Tableau_Lancer_la_requête_à_partir_de_Excel_Files3[[#This Row],[''11'']]+Tableau_Lancer_la_requête_à_partir_de_Excel_Files3[[#This Row],[''12'']]+Tableau_Lancer_la_requête_à_partir_de_Excel_Files3[[#This Row],[''15'']]+Tableau_Lancer_la_requête_à_partir_de_Excel_Files3[[#This Row],[''21'']]+Tableau_Lancer_la_requête_à_partir_de_Excel_Files3[[#This Row],[''19'']]+Tableau_Lancer_la_requête_à_partir_de_Excel_Files3[[#This Row],[''23'']]+Tableau_Lancer_la_requête_à_partir_de_Excel_Files3[[#This Row],[''30'']]+Tableau_Lancer_la_requête_à_partir_de_Excel_Files3[[#This Row],[''34'']]+Tableau_Lancer_la_requête_à_partir_de_Excel_Files3[[#This Row],[''42'']]+Tableau_Lancer_la_requête_à_partir_de_Excel_Files3[[#This Row],[''43'']]+Tableau_Lancer_la_requête_à_partir_de_Excel_Files3[[#This Row],[''46'']]+Tableau_Lancer_la_requête_à_partir_de_Excel_Files3[[#This Row],[''48'']]+Tableau_Lancer_la_requête_à_partir_de_Excel_Files3[[#This Row],[''58'']]+Tableau_Lancer_la_requête_à_partir_de_Excel_Files3[[#This Row],[''63'']]+Tableau_Lancer_la_requête_à_partir_de_Excel_Files3[[#This Row],[''69'']]+Tableau_Lancer_la_requête_à_partir_de_Excel_Files3[[#This Row],[''71'']]+Tableau_Lancer_la_requête_à_partir_de_Excel_Files3[[#This Row],[''81'']]+Tableau_Lancer_la_requête_à_partir_de_Excel_Files3[[#This Row],[''82'']]+Tableau_Lancer_la_requête_à_partir_de_Excel_Files3[[#This Row],[''87'']]+Tableau_Lancer_la_requête_à_partir_de_Excel_Files3[[#This Row],[''89'']]</f>
        <v>0</v>
      </c>
      <c r="V41" s="47"/>
      <c r="W41" s="47"/>
      <c r="X41" s="47"/>
      <c r="Y41" s="47"/>
      <c r="Z41" s="47"/>
      <c r="AA41" s="47"/>
      <c r="AB41" s="47"/>
      <c r="AC41" s="47"/>
      <c r="AD41" s="47"/>
      <c r="AE41" s="47"/>
      <c r="AF41" s="47"/>
      <c r="AG41" s="47"/>
      <c r="AH41" s="47"/>
      <c r="AI41" s="47"/>
      <c r="AJ41" s="47"/>
      <c r="AK41" s="47"/>
      <c r="AL41" s="47"/>
      <c r="AM41" s="47"/>
      <c r="AN41" s="47"/>
      <c r="AO41" s="47"/>
      <c r="AP41" s="47"/>
      <c r="AQ41" s="47"/>
      <c r="AR41" s="47">
        <v>83265.72</v>
      </c>
      <c r="AS41" s="47">
        <v>0</v>
      </c>
      <c r="AT41" s="41" t="s">
        <v>77</v>
      </c>
      <c r="AV41" s="55" t="s">
        <v>326</v>
      </c>
      <c r="AW41" s="40" t="s">
        <v>289</v>
      </c>
      <c r="AY41" s="40" t="s">
        <v>35</v>
      </c>
      <c r="AZ41" s="52">
        <f ca="1">SUMIF(Tableau_Lancer_la_requête_à_partir_de_Excel_Files3[Avis Prog],"1-Favorable",Tableau3[''12''])</f>
        <v>0</v>
      </c>
      <c r="BB41" s="37">
        <f>SUMIF(Tableau3[Avis],"1-Favorable",Tableau3[''12''])</f>
        <v>0</v>
      </c>
      <c r="BG41" s="37">
        <f>SUMIF(Tableau3[Avis],"0",Tableau3[''12''])</f>
        <v>0</v>
      </c>
      <c r="CM41" s="37"/>
      <c r="CN41" s="37"/>
      <c r="CO41" s="37"/>
      <c r="CP41" s="37"/>
      <c r="CQ41" s="37"/>
      <c r="CR41" s="37"/>
      <c r="CS41" s="37"/>
      <c r="CT41" s="37"/>
      <c r="CU41" s="37"/>
      <c r="CV41" s="37"/>
      <c r="CW41" s="37"/>
      <c r="CX41" s="37"/>
      <c r="CY41" s="37"/>
      <c r="CZ41" s="37"/>
      <c r="DA41" s="37"/>
      <c r="DB41" s="37"/>
      <c r="DC41" s="37"/>
      <c r="DD41" s="37"/>
      <c r="DE41" s="37"/>
      <c r="DF41" s="37"/>
      <c r="DG41" s="37"/>
      <c r="DH41" s="37"/>
    </row>
    <row r="42" spans="1:112" ht="75" x14ac:dyDescent="0.25">
      <c r="A42" s="43" t="s">
        <v>5</v>
      </c>
      <c r="B42" s="45" t="s">
        <v>364</v>
      </c>
      <c r="C42" s="45" t="s">
        <v>361</v>
      </c>
      <c r="D42" s="46" t="s">
        <v>362</v>
      </c>
      <c r="E42" s="46" t="s">
        <v>363</v>
      </c>
      <c r="F42" s="47">
        <v>75000</v>
      </c>
      <c r="G42" s="47">
        <v>72060.490000000005</v>
      </c>
      <c r="H42" s="47">
        <f>IF(Tableau_Lancer_la_requête_à_partir_de_Excel_Files3[[#This Row],[Coût total Eligible FEDER]]="",Tableau_Lancer_la_requête_à_partir_de_Excel_Files3[[#This Row],[Coût total déposé]],Tableau_Lancer_la_requête_à_partir_de_Excel_Files3[[#This Row],[Coût total Eligible FEDER]])</f>
        <v>72060.490000000005</v>
      </c>
      <c r="I42" s="47">
        <f>Tableau_Lancer_la_requête_à_partir_de_Excel_Files3[[#This Row],[Aide Massif Obtenu]]+Tableau_Lancer_la_requête_à_partir_de_Excel_Files3[[#This Row],[''Autre Public'']]</f>
        <v>50442</v>
      </c>
      <c r="J42" s="48">
        <f>Tableau_Lancer_la_requête_à_partir_de_Excel_Files3[[#This Row],[Aide Publique Obtenue]]/Tableau_Lancer_la_requête_à_partir_de_Excel_Files3[[#This Row],[Coût total]]</f>
        <v>0.69999524011007974</v>
      </c>
      <c r="K42" s="47">
        <f>Tableau_Lancer_la_requête_à_partir_de_Excel_Files3[[#This Row],[Etat]]+Tableau_Lancer_la_requête_à_partir_de_Excel_Files3[[#This Row],[Régions]]+Tableau_Lancer_la_requête_à_partir_de_Excel_Files3[[#This Row],[Départements]]+Tableau_Lancer_la_requête_à_partir_de_Excel_Files3[[#This Row],[''FEDER'']]</f>
        <v>50442</v>
      </c>
      <c r="L42" s="48">
        <f>Tableau_Lancer_la_requête_à_partir_de_Excel_Files3[[#This Row],[Aide Massif Obtenu]]/Tableau_Lancer_la_requête_à_partir_de_Excel_Files3[[#This Row],[Coût total]]</f>
        <v>0.69999524011007974</v>
      </c>
      <c r="M42" s="49">
        <f>Tableau_Lancer_la_requête_à_partir_de_Excel_Files3[[#This Row],[''FNADT'']]+Tableau_Lancer_la_requête_à_partir_de_Excel_Files3[[#This Row],[''Agriculture'']]</f>
        <v>0</v>
      </c>
      <c r="N42" s="47"/>
      <c r="O42" s="47"/>
      <c r="P42" s="49">
        <f>Tableau_Lancer_la_requête_à_partir_de_Excel_Files3[[#This Row],[''ALPC'']]+Tableau_Lancer_la_requête_à_partir_de_Excel_Files3[[#This Row],[''AURA'']]+Tableau_Lancer_la_requête_à_partir_de_Excel_Files3[[#This Row],[''BFC'']]+Tableau_Lancer_la_requête_à_partir_de_Excel_Files3[[#This Row],[''LRMP'']]</f>
        <v>0</v>
      </c>
      <c r="Q42" s="47"/>
      <c r="R42" s="47"/>
      <c r="S42" s="47"/>
      <c r="T42" s="47"/>
      <c r="U42" s="49">
        <f>Tableau_Lancer_la_requête_à_partir_de_Excel_Files3[[#This Row],[''03'']]+Tableau_Lancer_la_requête_à_partir_de_Excel_Files3[[#This Row],[''07'']]+Tableau_Lancer_la_requête_à_partir_de_Excel_Files3[[#This Row],[''11'']]+Tableau_Lancer_la_requête_à_partir_de_Excel_Files3[[#This Row],[''12'']]+Tableau_Lancer_la_requête_à_partir_de_Excel_Files3[[#This Row],[''15'']]+Tableau_Lancer_la_requête_à_partir_de_Excel_Files3[[#This Row],[''21'']]+Tableau_Lancer_la_requête_à_partir_de_Excel_Files3[[#This Row],[''19'']]+Tableau_Lancer_la_requête_à_partir_de_Excel_Files3[[#This Row],[''23'']]+Tableau_Lancer_la_requête_à_partir_de_Excel_Files3[[#This Row],[''30'']]+Tableau_Lancer_la_requête_à_partir_de_Excel_Files3[[#This Row],[''34'']]+Tableau_Lancer_la_requête_à_partir_de_Excel_Files3[[#This Row],[''42'']]+Tableau_Lancer_la_requête_à_partir_de_Excel_Files3[[#This Row],[''43'']]+Tableau_Lancer_la_requête_à_partir_de_Excel_Files3[[#This Row],[''46'']]+Tableau_Lancer_la_requête_à_partir_de_Excel_Files3[[#This Row],[''48'']]+Tableau_Lancer_la_requête_à_partir_de_Excel_Files3[[#This Row],[''58'']]+Tableau_Lancer_la_requête_à_partir_de_Excel_Files3[[#This Row],[''63'']]+Tableau_Lancer_la_requête_à_partir_de_Excel_Files3[[#This Row],[''69'']]+Tableau_Lancer_la_requête_à_partir_de_Excel_Files3[[#This Row],[''71'']]+Tableau_Lancer_la_requête_à_partir_de_Excel_Files3[[#This Row],[''81'']]+Tableau_Lancer_la_requête_à_partir_de_Excel_Files3[[#This Row],[''82'']]+Tableau_Lancer_la_requête_à_partir_de_Excel_Files3[[#This Row],[''87'']]+Tableau_Lancer_la_requête_à_partir_de_Excel_Files3[[#This Row],[''89'']]</f>
        <v>0</v>
      </c>
      <c r="V42" s="47"/>
      <c r="W42" s="47"/>
      <c r="X42" s="47"/>
      <c r="Y42" s="47"/>
      <c r="Z42" s="47"/>
      <c r="AA42" s="47"/>
      <c r="AB42" s="47"/>
      <c r="AC42" s="47"/>
      <c r="AD42" s="47"/>
      <c r="AE42" s="47"/>
      <c r="AF42" s="47"/>
      <c r="AG42" s="47"/>
      <c r="AH42" s="47"/>
      <c r="AI42" s="47"/>
      <c r="AJ42" s="47"/>
      <c r="AK42" s="47"/>
      <c r="AL42" s="47"/>
      <c r="AM42" s="47"/>
      <c r="AN42" s="47"/>
      <c r="AO42" s="47"/>
      <c r="AP42" s="47"/>
      <c r="AQ42" s="47"/>
      <c r="AR42" s="47">
        <v>50442</v>
      </c>
      <c r="AS42" s="47">
        <v>0</v>
      </c>
      <c r="AT42" s="41" t="s">
        <v>77</v>
      </c>
      <c r="AV42" s="64" t="s">
        <v>355</v>
      </c>
      <c r="AW42" s="40" t="s">
        <v>361</v>
      </c>
      <c r="AY42" s="40" t="s">
        <v>36</v>
      </c>
      <c r="AZ42" s="52">
        <f ca="1">SUMIF(Tableau_Lancer_la_requête_à_partir_de_Excel_Files3[Avis Prog],"1-Favorable",Tableau3[''15''])</f>
        <v>0</v>
      </c>
      <c r="BB42" s="37">
        <f>SUMIF(Tableau3[Avis],"1-Favorable",Tableau3[''15''])</f>
        <v>0</v>
      </c>
      <c r="BG42" s="37">
        <f>SUMIF(Tableau3[Avis],"0",Tableau3[''15''])</f>
        <v>0</v>
      </c>
      <c r="CM42" s="37"/>
      <c r="CN42" s="37"/>
      <c r="CO42" s="37"/>
      <c r="CP42" s="37"/>
      <c r="CQ42" s="37"/>
      <c r="CR42" s="37"/>
      <c r="CS42" s="37"/>
      <c r="CT42" s="37"/>
      <c r="CU42" s="37"/>
      <c r="CV42" s="37"/>
      <c r="CW42" s="37"/>
      <c r="CX42" s="37"/>
      <c r="CY42" s="37"/>
      <c r="CZ42" s="37"/>
      <c r="DA42" s="37"/>
      <c r="DB42" s="37"/>
      <c r="DC42" s="37"/>
      <c r="DD42" s="37"/>
      <c r="DE42" s="37"/>
      <c r="DF42" s="37"/>
      <c r="DG42" s="37"/>
      <c r="DH42" s="37"/>
    </row>
    <row r="43" spans="1:112" ht="75" x14ac:dyDescent="0.25">
      <c r="A43" s="43" t="s">
        <v>5</v>
      </c>
      <c r="B43" s="45" t="s">
        <v>278</v>
      </c>
      <c r="C43" s="45" t="s">
        <v>275</v>
      </c>
      <c r="D43" s="46" t="s">
        <v>276</v>
      </c>
      <c r="E43" s="46" t="s">
        <v>277</v>
      </c>
      <c r="F43" s="47">
        <v>100000</v>
      </c>
      <c r="G43" s="47">
        <v>102795</v>
      </c>
      <c r="H43" s="47">
        <f>IF(Tableau_Lancer_la_requête_à_partir_de_Excel_Files3[[#This Row],[Coût total Eligible FEDER]]="",Tableau_Lancer_la_requête_à_partir_de_Excel_Files3[[#This Row],[Coût total déposé]],Tableau_Lancer_la_requête_à_partir_de_Excel_Files3[[#This Row],[Coût total Eligible FEDER]])</f>
        <v>102795</v>
      </c>
      <c r="I43" s="47">
        <f>Tableau_Lancer_la_requête_à_partir_de_Excel_Files3[[#This Row],[Aide Massif Obtenu]]+Tableau_Lancer_la_requête_à_partir_de_Excel_Files3[[#This Row],[''Autre Public'']]</f>
        <v>61118</v>
      </c>
      <c r="J43" s="48">
        <f>Tableau_Lancer_la_requête_à_partir_de_Excel_Files3[[#This Row],[Aide Publique Obtenue]]/Tableau_Lancer_la_requête_à_partir_de_Excel_Files3[[#This Row],[Coût total]]</f>
        <v>0.59456199231480134</v>
      </c>
      <c r="K43" s="47">
        <f>Tableau_Lancer_la_requête_à_partir_de_Excel_Files3[[#This Row],[Etat]]+Tableau_Lancer_la_requête_à_partir_de_Excel_Files3[[#This Row],[Régions]]+Tableau_Lancer_la_requête_à_partir_de_Excel_Files3[[#This Row],[Départements]]+Tableau_Lancer_la_requête_à_partir_de_Excel_Files3[[#This Row],[''FEDER'']]</f>
        <v>61118</v>
      </c>
      <c r="L43" s="48">
        <f>Tableau_Lancer_la_requête_à_partir_de_Excel_Files3[[#This Row],[Aide Massif Obtenu]]/Tableau_Lancer_la_requête_à_partir_de_Excel_Files3[[#This Row],[Coût total]]</f>
        <v>0.59456199231480134</v>
      </c>
      <c r="M43" s="49">
        <f>Tableau_Lancer_la_requête_à_partir_de_Excel_Files3[[#This Row],[''FNADT'']]+Tableau_Lancer_la_requête_à_partir_de_Excel_Files3[[#This Row],[''Agriculture'']]</f>
        <v>20000</v>
      </c>
      <c r="N43" s="47">
        <v>20000</v>
      </c>
      <c r="O43" s="47"/>
      <c r="P43" s="49">
        <f>Tableau_Lancer_la_requête_à_partir_de_Excel_Files3[[#This Row],[''ALPC'']]+Tableau_Lancer_la_requête_à_partir_de_Excel_Files3[[#This Row],[''AURA'']]+Tableau_Lancer_la_requête_à_partir_de_Excel_Files3[[#This Row],[''BFC'']]+Tableau_Lancer_la_requête_à_partir_de_Excel_Files3[[#This Row],[''LRMP'']]</f>
        <v>0</v>
      </c>
      <c r="Q43" s="47"/>
      <c r="R43" s="47"/>
      <c r="S43" s="47"/>
      <c r="T43" s="47"/>
      <c r="U43" s="49">
        <f>Tableau_Lancer_la_requête_à_partir_de_Excel_Files3[[#This Row],[''03'']]+Tableau_Lancer_la_requête_à_partir_de_Excel_Files3[[#This Row],[''07'']]+Tableau_Lancer_la_requête_à_partir_de_Excel_Files3[[#This Row],[''11'']]+Tableau_Lancer_la_requête_à_partir_de_Excel_Files3[[#This Row],[''12'']]+Tableau_Lancer_la_requête_à_partir_de_Excel_Files3[[#This Row],[''15'']]+Tableau_Lancer_la_requête_à_partir_de_Excel_Files3[[#This Row],[''21'']]+Tableau_Lancer_la_requête_à_partir_de_Excel_Files3[[#This Row],[''19'']]+Tableau_Lancer_la_requête_à_partir_de_Excel_Files3[[#This Row],[''23'']]+Tableau_Lancer_la_requête_à_partir_de_Excel_Files3[[#This Row],[''30'']]+Tableau_Lancer_la_requête_à_partir_de_Excel_Files3[[#This Row],[''34'']]+Tableau_Lancer_la_requête_à_partir_de_Excel_Files3[[#This Row],[''42'']]+Tableau_Lancer_la_requête_à_partir_de_Excel_Files3[[#This Row],[''43'']]+Tableau_Lancer_la_requête_à_partir_de_Excel_Files3[[#This Row],[''46'']]+Tableau_Lancer_la_requête_à_partir_de_Excel_Files3[[#This Row],[''48'']]+Tableau_Lancer_la_requête_à_partir_de_Excel_Files3[[#This Row],[''58'']]+Tableau_Lancer_la_requête_à_partir_de_Excel_Files3[[#This Row],[''63'']]+Tableau_Lancer_la_requête_à_partir_de_Excel_Files3[[#This Row],[''69'']]+Tableau_Lancer_la_requête_à_partir_de_Excel_Files3[[#This Row],[''71'']]+Tableau_Lancer_la_requête_à_partir_de_Excel_Files3[[#This Row],[''81'']]+Tableau_Lancer_la_requête_à_partir_de_Excel_Files3[[#This Row],[''82'']]+Tableau_Lancer_la_requête_à_partir_de_Excel_Files3[[#This Row],[''87'']]+Tableau_Lancer_la_requête_à_partir_de_Excel_Files3[[#This Row],[''89'']]</f>
        <v>0</v>
      </c>
      <c r="V43" s="47"/>
      <c r="W43" s="47"/>
      <c r="X43" s="47"/>
      <c r="Y43" s="47"/>
      <c r="Z43" s="47"/>
      <c r="AA43" s="47"/>
      <c r="AB43" s="47"/>
      <c r="AC43" s="47"/>
      <c r="AD43" s="47"/>
      <c r="AE43" s="47"/>
      <c r="AF43" s="47"/>
      <c r="AG43" s="47"/>
      <c r="AH43" s="47"/>
      <c r="AI43" s="47"/>
      <c r="AJ43" s="47"/>
      <c r="AK43" s="47"/>
      <c r="AL43" s="47"/>
      <c r="AM43" s="47"/>
      <c r="AN43" s="47"/>
      <c r="AO43" s="47"/>
      <c r="AP43" s="47"/>
      <c r="AQ43" s="47"/>
      <c r="AR43" s="47">
        <v>41118</v>
      </c>
      <c r="AS43" s="47">
        <v>0</v>
      </c>
      <c r="AT43" s="41" t="s">
        <v>77</v>
      </c>
      <c r="AV43" s="55" t="s">
        <v>322</v>
      </c>
      <c r="AW43" s="40" t="s">
        <v>275</v>
      </c>
      <c r="AY43" s="40" t="s">
        <v>37</v>
      </c>
      <c r="AZ43" s="52">
        <f ca="1">SUMIF(Tableau_Lancer_la_requête_à_partir_de_Excel_Files3[Avis Prog],"1-Favorable",Tableau3[''19''])</f>
        <v>0</v>
      </c>
      <c r="BB43" s="37">
        <f>SUMIF(Tableau3[Avis],"1-Favorable",Tableau3[''19''])</f>
        <v>0</v>
      </c>
      <c r="BG43" s="37">
        <f>SUMIF(Tableau3[Avis],"0",Tableau3[''19''])</f>
        <v>0</v>
      </c>
      <c r="CM43" s="37"/>
      <c r="CN43" s="37"/>
      <c r="CO43" s="37"/>
      <c r="CP43" s="37"/>
      <c r="CQ43" s="37"/>
      <c r="CR43" s="37"/>
      <c r="CS43" s="37"/>
      <c r="CT43" s="37"/>
      <c r="CU43" s="37"/>
      <c r="CV43" s="37"/>
      <c r="CW43" s="37"/>
      <c r="CX43" s="37"/>
      <c r="CY43" s="37"/>
      <c r="CZ43" s="37"/>
      <c r="DA43" s="37"/>
      <c r="DB43" s="37"/>
      <c r="DC43" s="37"/>
      <c r="DD43" s="37"/>
      <c r="DE43" s="37"/>
      <c r="DF43" s="37"/>
      <c r="DG43" s="37"/>
      <c r="DH43" s="37"/>
    </row>
    <row r="44" spans="1:112" ht="75" x14ac:dyDescent="0.25">
      <c r="A44" s="43" t="s">
        <v>5</v>
      </c>
      <c r="B44" s="45" t="s">
        <v>393</v>
      </c>
      <c r="C44" s="45" t="s">
        <v>390</v>
      </c>
      <c r="D44" s="46" t="s">
        <v>391</v>
      </c>
      <c r="E44" s="46" t="s">
        <v>392</v>
      </c>
      <c r="F44" s="47">
        <v>126916.25</v>
      </c>
      <c r="G44" s="47">
        <v>126317</v>
      </c>
      <c r="H44" s="47">
        <f>IF(Tableau_Lancer_la_requête_à_partir_de_Excel_Files3[[#This Row],[Coût total Eligible FEDER]]="",Tableau_Lancer_la_requête_à_partir_de_Excel_Files3[[#This Row],[Coût total déposé]],Tableau_Lancer_la_requête_à_partir_de_Excel_Files3[[#This Row],[Coût total Eligible FEDER]])</f>
        <v>126317</v>
      </c>
      <c r="I44" s="47">
        <f>Tableau_Lancer_la_requête_à_partir_de_Excel_Files3[[#This Row],[Aide Massif Obtenu]]+Tableau_Lancer_la_requête_à_partir_de_Excel_Files3[[#This Row],[''Autre Public'']]</f>
        <v>75790</v>
      </c>
      <c r="J44" s="48">
        <f>Tableau_Lancer_la_requête_à_partir_de_Excel_Files3[[#This Row],[Aide Publique Obtenue]]/Tableau_Lancer_la_requête_à_partir_de_Excel_Files3[[#This Row],[Coût total]]</f>
        <v>0.59999841668184017</v>
      </c>
      <c r="K44" s="47">
        <f>Tableau_Lancer_la_requête_à_partir_de_Excel_Files3[[#This Row],[Etat]]+Tableau_Lancer_la_requête_à_partir_de_Excel_Files3[[#This Row],[Régions]]+Tableau_Lancer_la_requête_à_partir_de_Excel_Files3[[#This Row],[Départements]]+Tableau_Lancer_la_requête_à_partir_de_Excel_Files3[[#This Row],[''FEDER'']]</f>
        <v>75790</v>
      </c>
      <c r="L44" s="48">
        <f>Tableau_Lancer_la_requête_à_partir_de_Excel_Files3[[#This Row],[Aide Massif Obtenu]]/Tableau_Lancer_la_requête_à_partir_de_Excel_Files3[[#This Row],[Coût total]]</f>
        <v>0.59999841668184017</v>
      </c>
      <c r="M44" s="49">
        <f>Tableau_Lancer_la_requête_à_partir_de_Excel_Files3[[#This Row],[''FNADT'']]+Tableau_Lancer_la_requête_à_partir_de_Excel_Files3[[#This Row],[''Agriculture'']]</f>
        <v>0</v>
      </c>
      <c r="N44" s="47"/>
      <c r="O44" s="47"/>
      <c r="P44" s="49">
        <f>Tableau_Lancer_la_requête_à_partir_de_Excel_Files3[[#This Row],[''ALPC'']]+Tableau_Lancer_la_requête_à_partir_de_Excel_Files3[[#This Row],[''AURA'']]+Tableau_Lancer_la_requête_à_partir_de_Excel_Files3[[#This Row],[''BFC'']]+Tableau_Lancer_la_requête_à_partir_de_Excel_Files3[[#This Row],[''LRMP'']]</f>
        <v>25383</v>
      </c>
      <c r="Q44" s="47"/>
      <c r="R44" s="47">
        <v>25383</v>
      </c>
      <c r="S44" s="47"/>
      <c r="T44" s="47"/>
      <c r="U44" s="49">
        <f>Tableau_Lancer_la_requête_à_partir_de_Excel_Files3[[#This Row],[''03'']]+Tableau_Lancer_la_requête_à_partir_de_Excel_Files3[[#This Row],[''07'']]+Tableau_Lancer_la_requête_à_partir_de_Excel_Files3[[#This Row],[''11'']]+Tableau_Lancer_la_requête_à_partir_de_Excel_Files3[[#This Row],[''12'']]+Tableau_Lancer_la_requête_à_partir_de_Excel_Files3[[#This Row],[''15'']]+Tableau_Lancer_la_requête_à_partir_de_Excel_Files3[[#This Row],[''21'']]+Tableau_Lancer_la_requête_à_partir_de_Excel_Files3[[#This Row],[''19'']]+Tableau_Lancer_la_requête_à_partir_de_Excel_Files3[[#This Row],[''23'']]+Tableau_Lancer_la_requête_à_partir_de_Excel_Files3[[#This Row],[''30'']]+Tableau_Lancer_la_requête_à_partir_de_Excel_Files3[[#This Row],[''34'']]+Tableau_Lancer_la_requête_à_partir_de_Excel_Files3[[#This Row],[''42'']]+Tableau_Lancer_la_requête_à_partir_de_Excel_Files3[[#This Row],[''43'']]+Tableau_Lancer_la_requête_à_partir_de_Excel_Files3[[#This Row],[''46'']]+Tableau_Lancer_la_requête_à_partir_de_Excel_Files3[[#This Row],[''48'']]+Tableau_Lancer_la_requête_à_partir_de_Excel_Files3[[#This Row],[''58'']]+Tableau_Lancer_la_requête_à_partir_de_Excel_Files3[[#This Row],[''63'']]+Tableau_Lancer_la_requête_à_partir_de_Excel_Files3[[#This Row],[''69'']]+Tableau_Lancer_la_requête_à_partir_de_Excel_Files3[[#This Row],[''71'']]+Tableau_Lancer_la_requête_à_partir_de_Excel_Files3[[#This Row],[''81'']]+Tableau_Lancer_la_requête_à_partir_de_Excel_Files3[[#This Row],[''82'']]+Tableau_Lancer_la_requête_à_partir_de_Excel_Files3[[#This Row],[''87'']]+Tableau_Lancer_la_requête_à_partir_de_Excel_Files3[[#This Row],[''89'']]</f>
        <v>0</v>
      </c>
      <c r="V44" s="47"/>
      <c r="W44" s="47"/>
      <c r="X44" s="47"/>
      <c r="Y44" s="47"/>
      <c r="Z44" s="47"/>
      <c r="AA44" s="47"/>
      <c r="AB44" s="47"/>
      <c r="AC44" s="47"/>
      <c r="AD44" s="47"/>
      <c r="AE44" s="47"/>
      <c r="AF44" s="47"/>
      <c r="AG44" s="47"/>
      <c r="AH44" s="47"/>
      <c r="AI44" s="47"/>
      <c r="AJ44" s="47"/>
      <c r="AK44" s="47"/>
      <c r="AL44" s="47"/>
      <c r="AM44" s="47"/>
      <c r="AN44" s="47"/>
      <c r="AO44" s="47"/>
      <c r="AP44" s="47"/>
      <c r="AQ44" s="47"/>
      <c r="AR44" s="47">
        <v>50407</v>
      </c>
      <c r="AS44" s="47">
        <v>0</v>
      </c>
      <c r="AT44" s="41" t="s">
        <v>77</v>
      </c>
      <c r="AV44" s="64" t="s">
        <v>355</v>
      </c>
      <c r="AW44" s="40" t="s">
        <v>390</v>
      </c>
      <c r="AY44" s="40" t="s">
        <v>38</v>
      </c>
      <c r="AZ44" s="52">
        <f ca="1">SUMIF(Tableau_Lancer_la_requête_à_partir_de_Excel_Files3[Avis Prog],"1-Favorable",Tableau3[''21''])</f>
        <v>0</v>
      </c>
      <c r="BB44" s="37">
        <f>SUMIF(Tableau3[Avis],"1-Favorable",Tableau3[''21''])</f>
        <v>0</v>
      </c>
      <c r="BG44" s="37">
        <f>SUMIF(Tableau3[Avis],"0",Tableau3[''21''])</f>
        <v>0</v>
      </c>
      <c r="CM44" s="37"/>
      <c r="CN44" s="37"/>
      <c r="CO44" s="37"/>
      <c r="CP44" s="37"/>
      <c r="CQ44" s="37"/>
      <c r="CR44" s="37"/>
      <c r="CS44" s="37"/>
      <c r="CT44" s="37"/>
      <c r="CU44" s="37"/>
      <c r="CV44" s="37"/>
      <c r="CW44" s="37"/>
      <c r="CX44" s="37"/>
      <c r="CY44" s="37"/>
      <c r="CZ44" s="37"/>
      <c r="DA44" s="37"/>
      <c r="DB44" s="37"/>
      <c r="DC44" s="37"/>
      <c r="DD44" s="37"/>
      <c r="DE44" s="37"/>
      <c r="DF44" s="37"/>
      <c r="DG44" s="37"/>
      <c r="DH44" s="37"/>
    </row>
    <row r="45" spans="1:112" ht="30" x14ac:dyDescent="0.25">
      <c r="A45" s="43" t="s">
        <v>5</v>
      </c>
      <c r="B45" s="45" t="s">
        <v>123</v>
      </c>
      <c r="C45" s="45" t="s">
        <v>117</v>
      </c>
      <c r="D45" s="46" t="s">
        <v>121</v>
      </c>
      <c r="E45" s="46" t="s">
        <v>122</v>
      </c>
      <c r="F45" s="47">
        <v>142851.66</v>
      </c>
      <c r="G45" s="47">
        <v>173402</v>
      </c>
      <c r="H45" s="47">
        <f>IF(Tableau_Lancer_la_requête_à_partir_de_Excel_Files3[[#This Row],[Coût total Eligible FEDER]]="",Tableau_Lancer_la_requête_à_partir_de_Excel_Files3[[#This Row],[Coût total déposé]],Tableau_Lancer_la_requête_à_partir_de_Excel_Files3[[#This Row],[Coût total Eligible FEDER]])</f>
        <v>173402</v>
      </c>
      <c r="I45" s="47">
        <f>Tableau_Lancer_la_requête_à_partir_de_Excel_Files3[[#This Row],[Aide Massif Obtenu]]+Tableau_Lancer_la_requête_à_partir_de_Excel_Files3[[#This Row],[''Autre Public'']]</f>
        <v>108635</v>
      </c>
      <c r="J45" s="48">
        <f>Tableau_Lancer_la_requête_à_partir_de_Excel_Files3[[#This Row],[Aide Publique Obtenue]]/Tableau_Lancer_la_requête_à_partir_de_Excel_Files3[[#This Row],[Coût total]]</f>
        <v>0.62649219732183015</v>
      </c>
      <c r="K45" s="47">
        <f>Tableau_Lancer_la_requête_à_partir_de_Excel_Files3[[#This Row],[Etat]]+Tableau_Lancer_la_requête_à_partir_de_Excel_Files3[[#This Row],[Régions]]+Tableau_Lancer_la_requête_à_partir_de_Excel_Files3[[#This Row],[Départements]]+Tableau_Lancer_la_requête_à_partir_de_Excel_Files3[[#This Row],[''FEDER'']]</f>
        <v>108635</v>
      </c>
      <c r="L45" s="48">
        <f>Tableau_Lancer_la_requête_à_partir_de_Excel_Files3[[#This Row],[Aide Massif Obtenu]]/Tableau_Lancer_la_requête_à_partir_de_Excel_Files3[[#This Row],[Coût total]]</f>
        <v>0.62649219732183015</v>
      </c>
      <c r="M45" s="49">
        <f>Tableau_Lancer_la_requête_à_partir_de_Excel_Files3[[#This Row],[''FNADT'']]+Tableau_Lancer_la_requête_à_partir_de_Excel_Files3[[#This Row],[''Agriculture'']]</f>
        <v>0</v>
      </c>
      <c r="N45" s="47"/>
      <c r="O45" s="47"/>
      <c r="P45" s="49">
        <f>Tableau_Lancer_la_requête_à_partir_de_Excel_Files3[[#This Row],[''ALPC'']]+Tableau_Lancer_la_requête_à_partir_de_Excel_Files3[[#This Row],[''AURA'']]+Tableau_Lancer_la_requête_à_partir_de_Excel_Files3[[#This Row],[''BFC'']]+Tableau_Lancer_la_requête_à_partir_de_Excel_Files3[[#This Row],[''LRMP'']]</f>
        <v>21934</v>
      </c>
      <c r="Q45" s="47">
        <v>21934</v>
      </c>
      <c r="R45" s="47"/>
      <c r="S45" s="47"/>
      <c r="T45" s="47"/>
      <c r="U45" s="49">
        <f>Tableau_Lancer_la_requête_à_partir_de_Excel_Files3[[#This Row],[''03'']]+Tableau_Lancer_la_requête_à_partir_de_Excel_Files3[[#This Row],[''07'']]+Tableau_Lancer_la_requête_à_partir_de_Excel_Files3[[#This Row],[''11'']]+Tableau_Lancer_la_requête_à_partir_de_Excel_Files3[[#This Row],[''12'']]+Tableau_Lancer_la_requête_à_partir_de_Excel_Files3[[#This Row],[''15'']]+Tableau_Lancer_la_requête_à_partir_de_Excel_Files3[[#This Row],[''21'']]+Tableau_Lancer_la_requête_à_partir_de_Excel_Files3[[#This Row],[''19'']]+Tableau_Lancer_la_requête_à_partir_de_Excel_Files3[[#This Row],[''23'']]+Tableau_Lancer_la_requête_à_partir_de_Excel_Files3[[#This Row],[''30'']]+Tableau_Lancer_la_requête_à_partir_de_Excel_Files3[[#This Row],[''34'']]+Tableau_Lancer_la_requête_à_partir_de_Excel_Files3[[#This Row],[''42'']]+Tableau_Lancer_la_requête_à_partir_de_Excel_Files3[[#This Row],[''43'']]+Tableau_Lancer_la_requête_à_partir_de_Excel_Files3[[#This Row],[''46'']]+Tableau_Lancer_la_requête_à_partir_de_Excel_Files3[[#This Row],[''48'']]+Tableau_Lancer_la_requête_à_partir_de_Excel_Files3[[#This Row],[''58'']]+Tableau_Lancer_la_requête_à_partir_de_Excel_Files3[[#This Row],[''63'']]+Tableau_Lancer_la_requête_à_partir_de_Excel_Files3[[#This Row],[''69'']]+Tableau_Lancer_la_requête_à_partir_de_Excel_Files3[[#This Row],[''71'']]+Tableau_Lancer_la_requête_à_partir_de_Excel_Files3[[#This Row],[''81'']]+Tableau_Lancer_la_requête_à_partir_de_Excel_Files3[[#This Row],[''82'']]+Tableau_Lancer_la_requête_à_partir_de_Excel_Files3[[#This Row],[''87'']]+Tableau_Lancer_la_requête_à_partir_de_Excel_Files3[[#This Row],[''89'']]</f>
        <v>0</v>
      </c>
      <c r="V45" s="47"/>
      <c r="W45" s="47"/>
      <c r="X45" s="47"/>
      <c r="Y45" s="47"/>
      <c r="Z45" s="47"/>
      <c r="AA45" s="47"/>
      <c r="AB45" s="47"/>
      <c r="AC45" s="47"/>
      <c r="AD45" s="47"/>
      <c r="AE45" s="47"/>
      <c r="AF45" s="47"/>
      <c r="AG45" s="47"/>
      <c r="AH45" s="47"/>
      <c r="AI45" s="47"/>
      <c r="AJ45" s="47"/>
      <c r="AK45" s="47"/>
      <c r="AL45" s="47"/>
      <c r="AM45" s="47"/>
      <c r="AN45" s="47"/>
      <c r="AO45" s="47"/>
      <c r="AP45" s="47"/>
      <c r="AQ45" s="47"/>
      <c r="AR45" s="47">
        <v>86701</v>
      </c>
      <c r="AS45" s="47">
        <v>0</v>
      </c>
      <c r="AT45" s="41" t="s">
        <v>77</v>
      </c>
      <c r="AV45" s="55" t="s">
        <v>350</v>
      </c>
      <c r="AW45" s="40" t="s">
        <v>117</v>
      </c>
      <c r="AY45" s="40" t="s">
        <v>39</v>
      </c>
      <c r="AZ45" s="52">
        <f ca="1">SUMIF(Tableau_Lancer_la_requête_à_partir_de_Excel_Files3[Avis Prog],"1-Favorable",Tableau3[''23''])</f>
        <v>0</v>
      </c>
      <c r="BB45" s="37">
        <f>SUMIF(Tableau3[Avis],"1-Favorable",Tableau3[''23''])</f>
        <v>0</v>
      </c>
      <c r="BG45" s="37">
        <f>SUMIF(Tableau3[Avis],"0",Tableau3[''23''])</f>
        <v>0</v>
      </c>
      <c r="CM45" s="37"/>
      <c r="CN45" s="37"/>
      <c r="CO45" s="37"/>
      <c r="CP45" s="37"/>
      <c r="CQ45" s="37"/>
      <c r="CR45" s="37"/>
      <c r="CS45" s="37"/>
      <c r="CT45" s="37"/>
      <c r="CU45" s="37"/>
      <c r="CV45" s="37"/>
      <c r="CW45" s="37"/>
      <c r="CX45" s="37"/>
      <c r="CY45" s="37"/>
      <c r="CZ45" s="37"/>
      <c r="DA45" s="37"/>
      <c r="DB45" s="37"/>
      <c r="DC45" s="37"/>
      <c r="DD45" s="37"/>
      <c r="DE45" s="37"/>
      <c r="DF45" s="37"/>
      <c r="DG45" s="37"/>
      <c r="DH45" s="37"/>
    </row>
    <row r="46" spans="1:112" ht="30" x14ac:dyDescent="0.25">
      <c r="A46" s="43" t="s">
        <v>5</v>
      </c>
      <c r="B46" s="45" t="s">
        <v>372</v>
      </c>
      <c r="C46" s="45" t="s">
        <v>369</v>
      </c>
      <c r="D46" s="46" t="s">
        <v>370</v>
      </c>
      <c r="E46" s="46" t="s">
        <v>371</v>
      </c>
      <c r="F46" s="47">
        <v>215469</v>
      </c>
      <c r="G46" s="47">
        <v>61403</v>
      </c>
      <c r="H46" s="47">
        <f>IF(Tableau_Lancer_la_requête_à_partir_de_Excel_Files3[[#This Row],[Coût total Eligible FEDER]]="",Tableau_Lancer_la_requête_à_partir_de_Excel_Files3[[#This Row],[Coût total déposé]],Tableau_Lancer_la_requête_à_partir_de_Excel_Files3[[#This Row],[Coût total Eligible FEDER]])</f>
        <v>61403</v>
      </c>
      <c r="I46" s="47">
        <f>Tableau_Lancer_la_requête_à_partir_de_Excel_Files3[[#This Row],[Aide Massif Obtenu]]+Tableau_Lancer_la_requête_à_partir_de_Excel_Files3[[#This Row],[''Autre Public'']]</f>
        <v>42982</v>
      </c>
      <c r="J46" s="48">
        <f>Tableau_Lancer_la_requête_à_partir_de_Excel_Files3[[#This Row],[Aide Publique Obtenue]]/Tableau_Lancer_la_requête_à_partir_de_Excel_Files3[[#This Row],[Coût total]]</f>
        <v>0.69999837141507748</v>
      </c>
      <c r="K46" s="47">
        <f>Tableau_Lancer_la_requête_à_partir_de_Excel_Files3[[#This Row],[Etat]]+Tableau_Lancer_la_requête_à_partir_de_Excel_Files3[[#This Row],[Régions]]+Tableau_Lancer_la_requête_à_partir_de_Excel_Files3[[#This Row],[Départements]]+Tableau_Lancer_la_requête_à_partir_de_Excel_Files3[[#This Row],[''FEDER'']]</f>
        <v>42982</v>
      </c>
      <c r="L46" s="48">
        <f>Tableau_Lancer_la_requête_à_partir_de_Excel_Files3[[#This Row],[Aide Massif Obtenu]]/Tableau_Lancer_la_requête_à_partir_de_Excel_Files3[[#This Row],[Coût total]]</f>
        <v>0.69999837141507748</v>
      </c>
      <c r="M46" s="49">
        <f>Tableau_Lancer_la_requête_à_partir_de_Excel_Files3[[#This Row],[''FNADT'']]+Tableau_Lancer_la_requête_à_partir_de_Excel_Files3[[#This Row],[''Agriculture'']]</f>
        <v>12281</v>
      </c>
      <c r="N46" s="47">
        <v>12281</v>
      </c>
      <c r="O46" s="47"/>
      <c r="P46" s="49">
        <f>Tableau_Lancer_la_requête_à_partir_de_Excel_Files3[[#This Row],[''ALPC'']]+Tableau_Lancer_la_requête_à_partir_de_Excel_Files3[[#This Row],[''AURA'']]+Tableau_Lancer_la_requête_à_partir_de_Excel_Files3[[#This Row],[''BFC'']]+Tableau_Lancer_la_requête_à_partir_de_Excel_Files3[[#This Row],[''LRMP'']]</f>
        <v>0</v>
      </c>
      <c r="Q46" s="47"/>
      <c r="R46" s="47"/>
      <c r="S46" s="47"/>
      <c r="T46" s="47"/>
      <c r="U46" s="49">
        <f>Tableau_Lancer_la_requête_à_partir_de_Excel_Files3[[#This Row],[''03'']]+Tableau_Lancer_la_requête_à_partir_de_Excel_Files3[[#This Row],[''07'']]+Tableau_Lancer_la_requête_à_partir_de_Excel_Files3[[#This Row],[''11'']]+Tableau_Lancer_la_requête_à_partir_de_Excel_Files3[[#This Row],[''12'']]+Tableau_Lancer_la_requête_à_partir_de_Excel_Files3[[#This Row],[''15'']]+Tableau_Lancer_la_requête_à_partir_de_Excel_Files3[[#This Row],[''21'']]+Tableau_Lancer_la_requête_à_partir_de_Excel_Files3[[#This Row],[''19'']]+Tableau_Lancer_la_requête_à_partir_de_Excel_Files3[[#This Row],[''23'']]+Tableau_Lancer_la_requête_à_partir_de_Excel_Files3[[#This Row],[''30'']]+Tableau_Lancer_la_requête_à_partir_de_Excel_Files3[[#This Row],[''34'']]+Tableau_Lancer_la_requête_à_partir_de_Excel_Files3[[#This Row],[''42'']]+Tableau_Lancer_la_requête_à_partir_de_Excel_Files3[[#This Row],[''43'']]+Tableau_Lancer_la_requête_à_partir_de_Excel_Files3[[#This Row],[''46'']]+Tableau_Lancer_la_requête_à_partir_de_Excel_Files3[[#This Row],[''48'']]+Tableau_Lancer_la_requête_à_partir_de_Excel_Files3[[#This Row],[''58'']]+Tableau_Lancer_la_requête_à_partir_de_Excel_Files3[[#This Row],[''63'']]+Tableau_Lancer_la_requête_à_partir_de_Excel_Files3[[#This Row],[''69'']]+Tableau_Lancer_la_requête_à_partir_de_Excel_Files3[[#This Row],[''71'']]+Tableau_Lancer_la_requête_à_partir_de_Excel_Files3[[#This Row],[''81'']]+Tableau_Lancer_la_requête_à_partir_de_Excel_Files3[[#This Row],[''82'']]+Tableau_Lancer_la_requête_à_partir_de_Excel_Files3[[#This Row],[''87'']]+Tableau_Lancer_la_requête_à_partir_de_Excel_Files3[[#This Row],[''89'']]</f>
        <v>0</v>
      </c>
      <c r="V46" s="47"/>
      <c r="W46" s="47"/>
      <c r="X46" s="47"/>
      <c r="Y46" s="47"/>
      <c r="Z46" s="47"/>
      <c r="AA46" s="47"/>
      <c r="AB46" s="47"/>
      <c r="AC46" s="47"/>
      <c r="AD46" s="47"/>
      <c r="AE46" s="47"/>
      <c r="AF46" s="47"/>
      <c r="AG46" s="47"/>
      <c r="AH46" s="47"/>
      <c r="AI46" s="47"/>
      <c r="AJ46" s="47"/>
      <c r="AK46" s="47"/>
      <c r="AL46" s="47"/>
      <c r="AM46" s="47"/>
      <c r="AN46" s="47"/>
      <c r="AO46" s="47"/>
      <c r="AP46" s="47"/>
      <c r="AQ46" s="47"/>
      <c r="AR46" s="47">
        <v>30701</v>
      </c>
      <c r="AS46" s="47">
        <v>0</v>
      </c>
      <c r="AT46" s="41" t="s">
        <v>77</v>
      </c>
      <c r="AV46" s="64" t="s">
        <v>407</v>
      </c>
      <c r="AW46" s="40" t="s">
        <v>369</v>
      </c>
      <c r="AY46" s="40" t="s">
        <v>40</v>
      </c>
      <c r="AZ46" s="52">
        <f ca="1">SUMIF(Tableau_Lancer_la_requête_à_partir_de_Excel_Files3[Avis Prog],"1-Favorable",Tableau3[''30''])</f>
        <v>0</v>
      </c>
      <c r="BB46" s="37">
        <f>SUMIF(Tableau3[Avis],"1-Favorable",Tableau3[''30''])</f>
        <v>0</v>
      </c>
      <c r="BG46" s="37">
        <f>SUMIF(Tableau3[Avis],"0",Tableau3[''30''])</f>
        <v>0</v>
      </c>
      <c r="CM46" s="37"/>
      <c r="CN46" s="37"/>
      <c r="CO46" s="37"/>
      <c r="CP46" s="37"/>
      <c r="CQ46" s="37"/>
      <c r="CR46" s="37"/>
      <c r="CS46" s="37"/>
      <c r="CT46" s="37"/>
      <c r="CU46" s="37"/>
      <c r="CV46" s="37"/>
      <c r="CW46" s="37"/>
      <c r="CX46" s="37"/>
      <c r="CY46" s="37"/>
      <c r="CZ46" s="37"/>
      <c r="DA46" s="37"/>
      <c r="DB46" s="37"/>
      <c r="DC46" s="37"/>
      <c r="DD46" s="37"/>
      <c r="DE46" s="37"/>
      <c r="DF46" s="37"/>
      <c r="DG46" s="37"/>
      <c r="DH46" s="37"/>
    </row>
    <row r="47" spans="1:112" ht="105" x14ac:dyDescent="0.25">
      <c r="A47" s="43" t="s">
        <v>5</v>
      </c>
      <c r="B47" s="45" t="s">
        <v>381</v>
      </c>
      <c r="C47" s="45" t="s">
        <v>379</v>
      </c>
      <c r="D47" s="46" t="s">
        <v>89</v>
      </c>
      <c r="E47" s="46" t="s">
        <v>380</v>
      </c>
      <c r="F47" s="47">
        <v>63672.42</v>
      </c>
      <c r="G47" s="47">
        <v>31836.21</v>
      </c>
      <c r="H47" s="47">
        <f>IF(Tableau_Lancer_la_requête_à_partir_de_Excel_Files3[[#This Row],[Coût total Eligible FEDER]]="",Tableau_Lancer_la_requête_à_partir_de_Excel_Files3[[#This Row],[Coût total déposé]],Tableau_Lancer_la_requête_à_partir_de_Excel_Files3[[#This Row],[Coût total Eligible FEDER]])</f>
        <v>31836.21</v>
      </c>
      <c r="I47" s="47">
        <f>Tableau_Lancer_la_requête_à_partir_de_Excel_Files3[[#This Row],[Aide Massif Obtenu]]+Tableau_Lancer_la_requête_à_partir_de_Excel_Files3[[#This Row],[''Autre Public'']]</f>
        <v>22285.35</v>
      </c>
      <c r="J47" s="48">
        <f>Tableau_Lancer_la_requête_à_partir_de_Excel_Files3[[#This Row],[Aide Publique Obtenue]]/Tableau_Lancer_la_requête_à_partir_de_Excel_Files3[[#This Row],[Coût total]]</f>
        <v>0.70000009423232223</v>
      </c>
      <c r="K47" s="47">
        <f>Tableau_Lancer_la_requête_à_partir_de_Excel_Files3[[#This Row],[Etat]]+Tableau_Lancer_la_requête_à_partir_de_Excel_Files3[[#This Row],[Régions]]+Tableau_Lancer_la_requête_à_partir_de_Excel_Files3[[#This Row],[Départements]]+Tableau_Lancer_la_requête_à_partir_de_Excel_Files3[[#This Row],[''FEDER'']]</f>
        <v>22285.35</v>
      </c>
      <c r="L47" s="48">
        <f>Tableau_Lancer_la_requête_à_partir_de_Excel_Files3[[#This Row],[Aide Massif Obtenu]]/Tableau_Lancer_la_requête_à_partir_de_Excel_Files3[[#This Row],[Coût total]]</f>
        <v>0.70000009423232223</v>
      </c>
      <c r="M47" s="49">
        <f>Tableau_Lancer_la_requête_à_partir_de_Excel_Files3[[#This Row],[''FNADT'']]+Tableau_Lancer_la_requête_à_partir_de_Excel_Files3[[#This Row],[''Agriculture'']]</f>
        <v>6367.24</v>
      </c>
      <c r="N47" s="47">
        <v>6367.24</v>
      </c>
      <c r="O47" s="47"/>
      <c r="P47" s="49">
        <f>Tableau_Lancer_la_requête_à_partir_de_Excel_Files3[[#This Row],[''ALPC'']]+Tableau_Lancer_la_requête_à_partir_de_Excel_Files3[[#This Row],[''AURA'']]+Tableau_Lancer_la_requête_à_partir_de_Excel_Files3[[#This Row],[''BFC'']]+Tableau_Lancer_la_requête_à_partir_de_Excel_Files3[[#This Row],[''LRMP'']]</f>
        <v>0</v>
      </c>
      <c r="Q47" s="47"/>
      <c r="R47" s="47"/>
      <c r="S47" s="47"/>
      <c r="T47" s="47"/>
      <c r="U47" s="49">
        <f>Tableau_Lancer_la_requête_à_partir_de_Excel_Files3[[#This Row],[''03'']]+Tableau_Lancer_la_requête_à_partir_de_Excel_Files3[[#This Row],[''07'']]+Tableau_Lancer_la_requête_à_partir_de_Excel_Files3[[#This Row],[''11'']]+Tableau_Lancer_la_requête_à_partir_de_Excel_Files3[[#This Row],[''12'']]+Tableau_Lancer_la_requête_à_partir_de_Excel_Files3[[#This Row],[''15'']]+Tableau_Lancer_la_requête_à_partir_de_Excel_Files3[[#This Row],[''21'']]+Tableau_Lancer_la_requête_à_partir_de_Excel_Files3[[#This Row],[''19'']]+Tableau_Lancer_la_requête_à_partir_de_Excel_Files3[[#This Row],[''23'']]+Tableau_Lancer_la_requête_à_partir_de_Excel_Files3[[#This Row],[''30'']]+Tableau_Lancer_la_requête_à_partir_de_Excel_Files3[[#This Row],[''34'']]+Tableau_Lancer_la_requête_à_partir_de_Excel_Files3[[#This Row],[''42'']]+Tableau_Lancer_la_requête_à_partir_de_Excel_Files3[[#This Row],[''43'']]+Tableau_Lancer_la_requête_à_partir_de_Excel_Files3[[#This Row],[''46'']]+Tableau_Lancer_la_requête_à_partir_de_Excel_Files3[[#This Row],[''48'']]+Tableau_Lancer_la_requête_à_partir_de_Excel_Files3[[#This Row],[''58'']]+Tableau_Lancer_la_requête_à_partir_de_Excel_Files3[[#This Row],[''63'']]+Tableau_Lancer_la_requête_à_partir_de_Excel_Files3[[#This Row],[''69'']]+Tableau_Lancer_la_requête_à_partir_de_Excel_Files3[[#This Row],[''71'']]+Tableau_Lancer_la_requête_à_partir_de_Excel_Files3[[#This Row],[''81'']]+Tableau_Lancer_la_requête_à_partir_de_Excel_Files3[[#This Row],[''82'']]+Tableau_Lancer_la_requête_à_partir_de_Excel_Files3[[#This Row],[''87'']]+Tableau_Lancer_la_requête_à_partir_de_Excel_Files3[[#This Row],[''89'']]</f>
        <v>0</v>
      </c>
      <c r="V47" s="47"/>
      <c r="W47" s="47"/>
      <c r="X47" s="47"/>
      <c r="Y47" s="47"/>
      <c r="Z47" s="47"/>
      <c r="AA47" s="47"/>
      <c r="AB47" s="47"/>
      <c r="AC47" s="47"/>
      <c r="AD47" s="47"/>
      <c r="AE47" s="47"/>
      <c r="AF47" s="47"/>
      <c r="AG47" s="47"/>
      <c r="AH47" s="47"/>
      <c r="AI47" s="47"/>
      <c r="AJ47" s="47"/>
      <c r="AK47" s="47"/>
      <c r="AL47" s="47"/>
      <c r="AM47" s="47"/>
      <c r="AN47" s="47"/>
      <c r="AO47" s="47"/>
      <c r="AP47" s="47"/>
      <c r="AQ47" s="47"/>
      <c r="AR47" s="47">
        <v>15918.11</v>
      </c>
      <c r="AS47" s="47">
        <v>0</v>
      </c>
      <c r="AT47" s="41" t="s">
        <v>77</v>
      </c>
      <c r="AV47" s="55" t="s">
        <v>406</v>
      </c>
      <c r="AW47" s="40" t="s">
        <v>379</v>
      </c>
      <c r="AY47" s="40" t="s">
        <v>41</v>
      </c>
      <c r="AZ47" s="52">
        <f ca="1">SUMIF(Tableau_Lancer_la_requête_à_partir_de_Excel_Files3[Avis Prog],"1-Favorable",Tableau3[''34''])</f>
        <v>0</v>
      </c>
      <c r="BB47" s="37">
        <f>SUMIF(Tableau3[Avis],"1-Favorable",Tableau3[''34''])</f>
        <v>0</v>
      </c>
      <c r="BG47" s="37">
        <f>SUMIF(Tableau3[Avis],"0",Tableau3[''34''])</f>
        <v>0</v>
      </c>
      <c r="CM47" s="37"/>
      <c r="CN47" s="37"/>
      <c r="CO47" s="37"/>
      <c r="CP47" s="37"/>
      <c r="CQ47" s="37"/>
      <c r="CR47" s="37"/>
      <c r="CS47" s="37"/>
      <c r="CT47" s="37"/>
      <c r="CU47" s="37"/>
      <c r="CV47" s="37"/>
      <c r="CW47" s="37"/>
      <c r="CX47" s="37"/>
      <c r="CY47" s="37"/>
      <c r="CZ47" s="37"/>
      <c r="DA47" s="37"/>
      <c r="DB47" s="37"/>
      <c r="DC47" s="37"/>
      <c r="DD47" s="37"/>
      <c r="DE47" s="37"/>
      <c r="DF47" s="37"/>
      <c r="DG47" s="37"/>
      <c r="DH47" s="37"/>
    </row>
    <row r="48" spans="1:112" ht="105" x14ac:dyDescent="0.25">
      <c r="A48" s="43" t="s">
        <v>5</v>
      </c>
      <c r="B48" s="45" t="s">
        <v>383</v>
      </c>
      <c r="C48" s="45" t="s">
        <v>379</v>
      </c>
      <c r="D48" s="46" t="s">
        <v>382</v>
      </c>
      <c r="E48" s="46" t="s">
        <v>380</v>
      </c>
      <c r="F48" s="47">
        <v>248439.94</v>
      </c>
      <c r="G48" s="47">
        <v>123323.97</v>
      </c>
      <c r="H48" s="47">
        <f>IF(Tableau_Lancer_la_requête_à_partir_de_Excel_Files3[[#This Row],[Coût total Eligible FEDER]]="",Tableau_Lancer_la_requête_à_partir_de_Excel_Files3[[#This Row],[Coût total déposé]],Tableau_Lancer_la_requête_à_partir_de_Excel_Files3[[#This Row],[Coût total Eligible FEDER]])</f>
        <v>123323.97</v>
      </c>
      <c r="I48" s="47">
        <f>Tableau_Lancer_la_requête_à_partir_de_Excel_Files3[[#This Row],[Aide Massif Obtenu]]+Tableau_Lancer_la_requête_à_partir_de_Excel_Files3[[#This Row],[''Autre Public'']]</f>
        <v>85538.44</v>
      </c>
      <c r="J48" s="48">
        <f>Tableau_Lancer_la_requête_à_partir_de_Excel_Files3[[#This Row],[Aide Publique Obtenue]]/Tableau_Lancer_la_requête_à_partir_de_Excel_Files3[[#This Row],[Coût total]]</f>
        <v>0.69360757685630781</v>
      </c>
      <c r="K48" s="47">
        <f>Tableau_Lancer_la_requête_à_partir_de_Excel_Files3[[#This Row],[Etat]]+Tableau_Lancer_la_requête_à_partir_de_Excel_Files3[[#This Row],[Régions]]+Tableau_Lancer_la_requête_à_partir_de_Excel_Files3[[#This Row],[Départements]]+Tableau_Lancer_la_requête_à_partir_de_Excel_Files3[[#This Row],[''FEDER'']]</f>
        <v>85538.44</v>
      </c>
      <c r="L48" s="48">
        <f>Tableau_Lancer_la_requête_à_partir_de_Excel_Files3[[#This Row],[Aide Massif Obtenu]]/Tableau_Lancer_la_requête_à_partir_de_Excel_Files3[[#This Row],[Coût total]]</f>
        <v>0.69360757685630781</v>
      </c>
      <c r="M48" s="49">
        <f>Tableau_Lancer_la_requête_à_partir_de_Excel_Files3[[#This Row],[''FNADT'']]+Tableau_Lancer_la_requête_à_partir_de_Excel_Files3[[#This Row],[''Agriculture'']]</f>
        <v>37363</v>
      </c>
      <c r="N48" s="47">
        <v>37363</v>
      </c>
      <c r="O48" s="47"/>
      <c r="P48" s="49">
        <f>Tableau_Lancer_la_requête_à_partir_de_Excel_Files3[[#This Row],[''ALPC'']]+Tableau_Lancer_la_requête_à_partir_de_Excel_Files3[[#This Row],[''AURA'']]+Tableau_Lancer_la_requête_à_partir_de_Excel_Files3[[#This Row],[''BFC'']]+Tableau_Lancer_la_requête_à_partir_de_Excel_Files3[[#This Row],[''LRMP'']]</f>
        <v>11913.44</v>
      </c>
      <c r="Q48" s="47">
        <v>5956.72</v>
      </c>
      <c r="R48" s="47">
        <v>5956.72</v>
      </c>
      <c r="S48" s="47"/>
      <c r="T48" s="47"/>
      <c r="U48" s="49">
        <f>Tableau_Lancer_la_requête_à_partir_de_Excel_Files3[[#This Row],[''03'']]+Tableau_Lancer_la_requête_à_partir_de_Excel_Files3[[#This Row],[''07'']]+Tableau_Lancer_la_requête_à_partir_de_Excel_Files3[[#This Row],[''11'']]+Tableau_Lancer_la_requête_à_partir_de_Excel_Files3[[#This Row],[''12'']]+Tableau_Lancer_la_requête_à_partir_de_Excel_Files3[[#This Row],[''15'']]+Tableau_Lancer_la_requête_à_partir_de_Excel_Files3[[#This Row],[''21'']]+Tableau_Lancer_la_requête_à_partir_de_Excel_Files3[[#This Row],[''19'']]+Tableau_Lancer_la_requête_à_partir_de_Excel_Files3[[#This Row],[''23'']]+Tableau_Lancer_la_requête_à_partir_de_Excel_Files3[[#This Row],[''30'']]+Tableau_Lancer_la_requête_à_partir_de_Excel_Files3[[#This Row],[''34'']]+Tableau_Lancer_la_requête_à_partir_de_Excel_Files3[[#This Row],[''42'']]+Tableau_Lancer_la_requête_à_partir_de_Excel_Files3[[#This Row],[''43'']]+Tableau_Lancer_la_requête_à_partir_de_Excel_Files3[[#This Row],[''46'']]+Tableau_Lancer_la_requête_à_partir_de_Excel_Files3[[#This Row],[''48'']]+Tableau_Lancer_la_requête_à_partir_de_Excel_Files3[[#This Row],[''58'']]+Tableau_Lancer_la_requête_à_partir_de_Excel_Files3[[#This Row],[''63'']]+Tableau_Lancer_la_requête_à_partir_de_Excel_Files3[[#This Row],[''69'']]+Tableau_Lancer_la_requête_à_partir_de_Excel_Files3[[#This Row],[''71'']]+Tableau_Lancer_la_requête_à_partir_de_Excel_Files3[[#This Row],[''81'']]+Tableau_Lancer_la_requête_à_partir_de_Excel_Files3[[#This Row],[''82'']]+Tableau_Lancer_la_requête_à_partir_de_Excel_Files3[[#This Row],[''87'']]+Tableau_Lancer_la_requête_à_partir_de_Excel_Files3[[#This Row],[''89'']]</f>
        <v>0</v>
      </c>
      <c r="V48" s="47"/>
      <c r="W48" s="47"/>
      <c r="X48" s="47"/>
      <c r="Y48" s="47"/>
      <c r="Z48" s="47"/>
      <c r="AA48" s="47"/>
      <c r="AB48" s="47"/>
      <c r="AC48" s="47"/>
      <c r="AD48" s="47"/>
      <c r="AE48" s="47"/>
      <c r="AF48" s="47"/>
      <c r="AG48" s="47"/>
      <c r="AH48" s="47"/>
      <c r="AI48" s="47"/>
      <c r="AJ48" s="47"/>
      <c r="AK48" s="47"/>
      <c r="AL48" s="47"/>
      <c r="AM48" s="47"/>
      <c r="AN48" s="47"/>
      <c r="AO48" s="47"/>
      <c r="AP48" s="47"/>
      <c r="AQ48" s="47"/>
      <c r="AR48" s="47">
        <v>36262</v>
      </c>
      <c r="AS48" s="47">
        <v>0</v>
      </c>
      <c r="AT48" s="41" t="s">
        <v>77</v>
      </c>
      <c r="AV48" s="64" t="s">
        <v>406</v>
      </c>
      <c r="AW48" s="40" t="s">
        <v>379</v>
      </c>
      <c r="AY48" s="40" t="s">
        <v>42</v>
      </c>
      <c r="AZ48" s="52">
        <f ca="1">SUMIF(Tableau_Lancer_la_requête_à_partir_de_Excel_Files3[Avis Prog],"1-Favorable",Tableau3[''42''])</f>
        <v>0</v>
      </c>
      <c r="BB48" s="37">
        <f>SUMIF(Tableau3[Avis],"1-Favorable",Tableau3[''42''])</f>
        <v>0</v>
      </c>
      <c r="BG48" s="37">
        <f>SUMIF(Tableau3[Avis],"0",Tableau3[''42''])</f>
        <v>0</v>
      </c>
      <c r="CM48" s="37"/>
      <c r="CN48" s="37"/>
      <c r="CO48" s="37"/>
      <c r="CP48" s="37"/>
      <c r="CQ48" s="37"/>
      <c r="CR48" s="37"/>
      <c r="CS48" s="37"/>
      <c r="CT48" s="37"/>
      <c r="CU48" s="37"/>
      <c r="CV48" s="37"/>
      <c r="CW48" s="37"/>
      <c r="CX48" s="37"/>
      <c r="CY48" s="37"/>
      <c r="CZ48" s="37"/>
      <c r="DA48" s="37"/>
      <c r="DB48" s="37"/>
      <c r="DC48" s="37"/>
      <c r="DD48" s="37"/>
      <c r="DE48" s="37"/>
      <c r="DF48" s="37"/>
      <c r="DG48" s="37"/>
      <c r="DH48" s="37"/>
    </row>
    <row r="49" spans="1:112" ht="105" x14ac:dyDescent="0.25">
      <c r="A49" s="43" t="s">
        <v>5</v>
      </c>
      <c r="B49" s="45" t="s">
        <v>385</v>
      </c>
      <c r="C49" s="45" t="s">
        <v>379</v>
      </c>
      <c r="D49" s="46" t="s">
        <v>384</v>
      </c>
      <c r="E49" s="46" t="s">
        <v>380</v>
      </c>
      <c r="F49" s="47">
        <v>62991.9</v>
      </c>
      <c r="G49" s="47">
        <v>31047.95</v>
      </c>
      <c r="H49" s="47">
        <f>IF(Tableau_Lancer_la_requête_à_partir_de_Excel_Files3[[#This Row],[Coût total Eligible FEDER]]="",Tableau_Lancer_la_requête_à_partir_de_Excel_Files3[[#This Row],[Coût total déposé]],Tableau_Lancer_la_requête_à_partir_de_Excel_Files3[[#This Row],[Coût total Eligible FEDER]])</f>
        <v>31047.95</v>
      </c>
      <c r="I49" s="47">
        <f>Tableau_Lancer_la_requête_à_partir_de_Excel_Files3[[#This Row],[Aide Massif Obtenu]]+Tableau_Lancer_la_requête_à_partir_de_Excel_Files3[[#This Row],[''Autre Public'']]</f>
        <v>21733.57</v>
      </c>
      <c r="J49" s="48">
        <f>Tableau_Lancer_la_requête_à_partir_de_Excel_Files3[[#This Row],[Aide Publique Obtenue]]/Tableau_Lancer_la_requête_à_partir_de_Excel_Files3[[#This Row],[Coût total]]</f>
        <v>0.70000016104122809</v>
      </c>
      <c r="K49" s="47">
        <f>Tableau_Lancer_la_requête_à_partir_de_Excel_Files3[[#This Row],[Etat]]+Tableau_Lancer_la_requête_à_partir_de_Excel_Files3[[#This Row],[Régions]]+Tableau_Lancer_la_requête_à_partir_de_Excel_Files3[[#This Row],[Départements]]+Tableau_Lancer_la_requête_à_partir_de_Excel_Files3[[#This Row],[''FEDER'']]</f>
        <v>21733.57</v>
      </c>
      <c r="L49" s="48">
        <f>Tableau_Lancer_la_requête_à_partir_de_Excel_Files3[[#This Row],[Aide Massif Obtenu]]/Tableau_Lancer_la_requête_à_partir_de_Excel_Files3[[#This Row],[Coût total]]</f>
        <v>0.70000016104122809</v>
      </c>
      <c r="M49" s="49">
        <f>Tableau_Lancer_la_requête_à_partir_de_Excel_Files3[[#This Row],[''FNADT'']]+Tableau_Lancer_la_requête_à_partir_de_Excel_Files3[[#This Row],[''Agriculture'']]</f>
        <v>6209.59</v>
      </c>
      <c r="N49" s="47">
        <v>6209.59</v>
      </c>
      <c r="O49" s="47"/>
      <c r="P49" s="49">
        <f>Tableau_Lancer_la_requête_à_partir_de_Excel_Files3[[#This Row],[''ALPC'']]+Tableau_Lancer_la_requête_à_partir_de_Excel_Files3[[#This Row],[''AURA'']]+Tableau_Lancer_la_requête_à_partir_de_Excel_Files3[[#This Row],[''BFC'']]+Tableau_Lancer_la_requête_à_partir_de_Excel_Files3[[#This Row],[''LRMP'']]</f>
        <v>0</v>
      </c>
      <c r="Q49" s="47"/>
      <c r="R49" s="47"/>
      <c r="S49" s="47"/>
      <c r="T49" s="47"/>
      <c r="U49" s="49">
        <f>Tableau_Lancer_la_requête_à_partir_de_Excel_Files3[[#This Row],[''03'']]+Tableau_Lancer_la_requête_à_partir_de_Excel_Files3[[#This Row],[''07'']]+Tableau_Lancer_la_requête_à_partir_de_Excel_Files3[[#This Row],[''11'']]+Tableau_Lancer_la_requête_à_partir_de_Excel_Files3[[#This Row],[''12'']]+Tableau_Lancer_la_requête_à_partir_de_Excel_Files3[[#This Row],[''15'']]+Tableau_Lancer_la_requête_à_partir_de_Excel_Files3[[#This Row],[''21'']]+Tableau_Lancer_la_requête_à_partir_de_Excel_Files3[[#This Row],[''19'']]+Tableau_Lancer_la_requête_à_partir_de_Excel_Files3[[#This Row],[''23'']]+Tableau_Lancer_la_requête_à_partir_de_Excel_Files3[[#This Row],[''30'']]+Tableau_Lancer_la_requête_à_partir_de_Excel_Files3[[#This Row],[''34'']]+Tableau_Lancer_la_requête_à_partir_de_Excel_Files3[[#This Row],[''42'']]+Tableau_Lancer_la_requête_à_partir_de_Excel_Files3[[#This Row],[''43'']]+Tableau_Lancer_la_requête_à_partir_de_Excel_Files3[[#This Row],[''46'']]+Tableau_Lancer_la_requête_à_partir_de_Excel_Files3[[#This Row],[''48'']]+Tableau_Lancer_la_requête_à_partir_de_Excel_Files3[[#This Row],[''58'']]+Tableau_Lancer_la_requête_à_partir_de_Excel_Files3[[#This Row],[''63'']]+Tableau_Lancer_la_requête_à_partir_de_Excel_Files3[[#This Row],[''69'']]+Tableau_Lancer_la_requête_à_partir_de_Excel_Files3[[#This Row],[''71'']]+Tableau_Lancer_la_requête_à_partir_de_Excel_Files3[[#This Row],[''81'']]+Tableau_Lancer_la_requête_à_partir_de_Excel_Files3[[#This Row],[''82'']]+Tableau_Lancer_la_requête_à_partir_de_Excel_Files3[[#This Row],[''87'']]+Tableau_Lancer_la_requête_à_partir_de_Excel_Files3[[#This Row],[''89'']]</f>
        <v>0</v>
      </c>
      <c r="V49" s="47"/>
      <c r="W49" s="47"/>
      <c r="X49" s="47"/>
      <c r="Y49" s="47"/>
      <c r="Z49" s="47"/>
      <c r="AA49" s="47"/>
      <c r="AB49" s="47"/>
      <c r="AC49" s="47"/>
      <c r="AD49" s="47"/>
      <c r="AE49" s="47"/>
      <c r="AF49" s="47"/>
      <c r="AG49" s="47"/>
      <c r="AH49" s="47"/>
      <c r="AI49" s="47"/>
      <c r="AJ49" s="47"/>
      <c r="AK49" s="47"/>
      <c r="AL49" s="47"/>
      <c r="AM49" s="47"/>
      <c r="AN49" s="47"/>
      <c r="AO49" s="47"/>
      <c r="AP49" s="47"/>
      <c r="AQ49" s="47"/>
      <c r="AR49" s="47">
        <v>15523.98</v>
      </c>
      <c r="AS49" s="47">
        <v>0</v>
      </c>
      <c r="AT49" s="41" t="s">
        <v>77</v>
      </c>
      <c r="AV49" s="55" t="s">
        <v>406</v>
      </c>
      <c r="AW49" s="40" t="s">
        <v>379</v>
      </c>
      <c r="AY49" s="40" t="s">
        <v>43</v>
      </c>
      <c r="AZ49" s="52">
        <f ca="1">SUMIF(Tableau_Lancer_la_requête_à_partir_de_Excel_Files3[Avis Prog],"1-Favorable",Tableau3[''43''])</f>
        <v>0</v>
      </c>
      <c r="BB49" s="37">
        <f>SUMIF(Tableau3[Avis],"1-Favorable",Tableau3[''43''])</f>
        <v>0</v>
      </c>
      <c r="BG49" s="37">
        <f>SUMIF(Tableau3[Avis],"0",Tableau3[''43''])</f>
        <v>0</v>
      </c>
      <c r="CM49" s="37"/>
      <c r="CN49" s="37"/>
      <c r="CO49" s="37"/>
      <c r="CP49" s="37"/>
      <c r="CQ49" s="37"/>
      <c r="CR49" s="37"/>
      <c r="CS49" s="37"/>
      <c r="CT49" s="37"/>
      <c r="CU49" s="37"/>
      <c r="CV49" s="37"/>
      <c r="CW49" s="37"/>
      <c r="CX49" s="37"/>
      <c r="CY49" s="37"/>
      <c r="CZ49" s="37"/>
      <c r="DA49" s="37"/>
      <c r="DB49" s="37"/>
      <c r="DC49" s="37"/>
      <c r="DD49" s="37"/>
      <c r="DE49" s="37"/>
      <c r="DF49" s="37"/>
      <c r="DG49" s="37"/>
      <c r="DH49" s="37"/>
    </row>
    <row r="50" spans="1:112" ht="105" x14ac:dyDescent="0.25">
      <c r="A50" s="43" t="s">
        <v>5</v>
      </c>
      <c r="B50" s="45" t="s">
        <v>387</v>
      </c>
      <c r="C50" s="45" t="s">
        <v>379</v>
      </c>
      <c r="D50" s="46" t="s">
        <v>386</v>
      </c>
      <c r="E50" s="46" t="s">
        <v>380</v>
      </c>
      <c r="F50" s="47">
        <v>62991.64</v>
      </c>
      <c r="G50" s="47">
        <v>31047.82</v>
      </c>
      <c r="H50" s="47">
        <f>IF(Tableau_Lancer_la_requête_à_partir_de_Excel_Files3[[#This Row],[Coût total Eligible FEDER]]="",Tableau_Lancer_la_requête_à_partir_de_Excel_Files3[[#This Row],[Coût total déposé]],Tableau_Lancer_la_requête_à_partir_de_Excel_Files3[[#This Row],[Coût total Eligible FEDER]])</f>
        <v>31047.82</v>
      </c>
      <c r="I50" s="47">
        <f>Tableau_Lancer_la_requête_à_partir_de_Excel_Files3[[#This Row],[Aide Massif Obtenu]]+Tableau_Lancer_la_requête_à_partir_de_Excel_Files3[[#This Row],[''Autre Public'']]</f>
        <v>21733.47</v>
      </c>
      <c r="J50" s="48">
        <f>Tableau_Lancer_la_requête_à_partir_de_Excel_Files3[[#This Row],[Aide Publique Obtenue]]/Tableau_Lancer_la_requête_à_partir_de_Excel_Files3[[#This Row],[Coût total]]</f>
        <v>0.6999998711664781</v>
      </c>
      <c r="K50" s="47">
        <f>Tableau_Lancer_la_requête_à_partir_de_Excel_Files3[[#This Row],[Etat]]+Tableau_Lancer_la_requête_à_partir_de_Excel_Files3[[#This Row],[Régions]]+Tableau_Lancer_la_requête_à_partir_de_Excel_Files3[[#This Row],[Départements]]+Tableau_Lancer_la_requête_à_partir_de_Excel_Files3[[#This Row],[''FEDER'']]</f>
        <v>21733.47</v>
      </c>
      <c r="L50" s="48">
        <f>Tableau_Lancer_la_requête_à_partir_de_Excel_Files3[[#This Row],[Aide Massif Obtenu]]/Tableau_Lancer_la_requête_à_partir_de_Excel_Files3[[#This Row],[Coût total]]</f>
        <v>0.6999998711664781</v>
      </c>
      <c r="M50" s="49">
        <f>Tableau_Lancer_la_requête_à_partir_de_Excel_Files3[[#This Row],[''FNADT'']]+Tableau_Lancer_la_requête_à_partir_de_Excel_Files3[[#This Row],[''Agriculture'']]</f>
        <v>6209.56</v>
      </c>
      <c r="N50" s="47">
        <v>6209.56</v>
      </c>
      <c r="O50" s="47"/>
      <c r="P50" s="49">
        <f>Tableau_Lancer_la_requête_à_partir_de_Excel_Files3[[#This Row],[''ALPC'']]+Tableau_Lancer_la_requête_à_partir_de_Excel_Files3[[#This Row],[''AURA'']]+Tableau_Lancer_la_requête_à_partir_de_Excel_Files3[[#This Row],[''BFC'']]+Tableau_Lancer_la_requête_à_partir_de_Excel_Files3[[#This Row],[''LRMP'']]</f>
        <v>0</v>
      </c>
      <c r="Q50" s="47"/>
      <c r="R50" s="47"/>
      <c r="S50" s="47"/>
      <c r="T50" s="47"/>
      <c r="U50" s="49">
        <f>Tableau_Lancer_la_requête_à_partir_de_Excel_Files3[[#This Row],[''03'']]+Tableau_Lancer_la_requête_à_partir_de_Excel_Files3[[#This Row],[''07'']]+Tableau_Lancer_la_requête_à_partir_de_Excel_Files3[[#This Row],[''11'']]+Tableau_Lancer_la_requête_à_partir_de_Excel_Files3[[#This Row],[''12'']]+Tableau_Lancer_la_requête_à_partir_de_Excel_Files3[[#This Row],[''15'']]+Tableau_Lancer_la_requête_à_partir_de_Excel_Files3[[#This Row],[''21'']]+Tableau_Lancer_la_requête_à_partir_de_Excel_Files3[[#This Row],[''19'']]+Tableau_Lancer_la_requête_à_partir_de_Excel_Files3[[#This Row],[''23'']]+Tableau_Lancer_la_requête_à_partir_de_Excel_Files3[[#This Row],[''30'']]+Tableau_Lancer_la_requête_à_partir_de_Excel_Files3[[#This Row],[''34'']]+Tableau_Lancer_la_requête_à_partir_de_Excel_Files3[[#This Row],[''42'']]+Tableau_Lancer_la_requête_à_partir_de_Excel_Files3[[#This Row],[''43'']]+Tableau_Lancer_la_requête_à_partir_de_Excel_Files3[[#This Row],[''46'']]+Tableau_Lancer_la_requête_à_partir_de_Excel_Files3[[#This Row],[''48'']]+Tableau_Lancer_la_requête_à_partir_de_Excel_Files3[[#This Row],[''58'']]+Tableau_Lancer_la_requête_à_partir_de_Excel_Files3[[#This Row],[''63'']]+Tableau_Lancer_la_requête_à_partir_de_Excel_Files3[[#This Row],[''69'']]+Tableau_Lancer_la_requête_à_partir_de_Excel_Files3[[#This Row],[''71'']]+Tableau_Lancer_la_requête_à_partir_de_Excel_Files3[[#This Row],[''81'']]+Tableau_Lancer_la_requête_à_partir_de_Excel_Files3[[#This Row],[''82'']]+Tableau_Lancer_la_requête_à_partir_de_Excel_Files3[[#This Row],[''87'']]+Tableau_Lancer_la_requête_à_partir_de_Excel_Files3[[#This Row],[''89'']]</f>
        <v>0</v>
      </c>
      <c r="V50" s="47"/>
      <c r="W50" s="47"/>
      <c r="X50" s="47"/>
      <c r="Y50" s="47"/>
      <c r="Z50" s="47"/>
      <c r="AA50" s="47"/>
      <c r="AB50" s="47"/>
      <c r="AC50" s="47"/>
      <c r="AD50" s="47"/>
      <c r="AE50" s="47"/>
      <c r="AF50" s="47"/>
      <c r="AG50" s="47"/>
      <c r="AH50" s="47"/>
      <c r="AI50" s="47"/>
      <c r="AJ50" s="47"/>
      <c r="AK50" s="47"/>
      <c r="AL50" s="47"/>
      <c r="AM50" s="47"/>
      <c r="AN50" s="47"/>
      <c r="AO50" s="47"/>
      <c r="AP50" s="47"/>
      <c r="AQ50" s="47"/>
      <c r="AR50" s="47">
        <v>15523.91</v>
      </c>
      <c r="AS50" s="47">
        <v>0</v>
      </c>
      <c r="AT50" s="41" t="s">
        <v>77</v>
      </c>
      <c r="AV50" s="64" t="s">
        <v>406</v>
      </c>
      <c r="AW50" s="40" t="s">
        <v>379</v>
      </c>
      <c r="AY50" s="40" t="s">
        <v>44</v>
      </c>
      <c r="AZ50" s="52">
        <f ca="1">SUMIF(Tableau_Lancer_la_requête_à_partir_de_Excel_Files3[Avis Prog],"1-Favorable",Tableau3[''46''])</f>
        <v>0</v>
      </c>
      <c r="BB50" s="37">
        <f>SUMIF(Tableau3[Avis],"1-Favorable",Tableau3[''46''])</f>
        <v>0</v>
      </c>
      <c r="BG50" s="37">
        <f>SUMIF(Tableau3[Avis],"0",Tableau3[''46''])</f>
        <v>0</v>
      </c>
      <c r="CM50" s="37"/>
      <c r="CN50" s="37"/>
      <c r="CO50" s="37"/>
      <c r="CP50" s="37"/>
      <c r="CQ50" s="37"/>
      <c r="CR50" s="37"/>
      <c r="CS50" s="37"/>
      <c r="CT50" s="37"/>
      <c r="CU50" s="37"/>
      <c r="CV50" s="37"/>
      <c r="CW50" s="37"/>
      <c r="CX50" s="37"/>
      <c r="CY50" s="37"/>
      <c r="CZ50" s="37"/>
      <c r="DA50" s="37"/>
      <c r="DB50" s="37"/>
      <c r="DC50" s="37"/>
      <c r="DD50" s="37"/>
      <c r="DE50" s="37"/>
      <c r="DF50" s="37"/>
      <c r="DG50" s="37"/>
      <c r="DH50" s="37"/>
    </row>
    <row r="51" spans="1:112" ht="105" x14ac:dyDescent="0.25">
      <c r="A51" s="43" t="s">
        <v>5</v>
      </c>
      <c r="B51" s="45" t="s">
        <v>389</v>
      </c>
      <c r="C51" s="45" t="s">
        <v>379</v>
      </c>
      <c r="D51" s="46" t="s">
        <v>388</v>
      </c>
      <c r="E51" s="46" t="s">
        <v>380</v>
      </c>
      <c r="F51" s="47">
        <v>62991.3</v>
      </c>
      <c r="G51" s="47">
        <v>31047.65</v>
      </c>
      <c r="H51" s="47">
        <f>IF(Tableau_Lancer_la_requête_à_partir_de_Excel_Files3[[#This Row],[Coût total Eligible FEDER]]="",Tableau_Lancer_la_requête_à_partir_de_Excel_Files3[[#This Row],[Coût total déposé]],Tableau_Lancer_la_requête_à_partir_de_Excel_Files3[[#This Row],[Coût total Eligible FEDER]])</f>
        <v>31047.65</v>
      </c>
      <c r="I51" s="47">
        <f>Tableau_Lancer_la_requête_à_partir_de_Excel_Files3[[#This Row],[Aide Massif Obtenu]]+Tableau_Lancer_la_requête_à_partir_de_Excel_Files3[[#This Row],[''Autre Public'']]</f>
        <v>21733.360000000001</v>
      </c>
      <c r="J51" s="48">
        <f>Tableau_Lancer_la_requête_à_partir_de_Excel_Files3[[#This Row],[Aide Publique Obtenue]]/Tableau_Lancer_la_requête_à_partir_de_Excel_Files3[[#This Row],[Coût total]]</f>
        <v>0.70000016104278417</v>
      </c>
      <c r="K51" s="47">
        <f>Tableau_Lancer_la_requête_à_partir_de_Excel_Files3[[#This Row],[Etat]]+Tableau_Lancer_la_requête_à_partir_de_Excel_Files3[[#This Row],[Régions]]+Tableau_Lancer_la_requête_à_partir_de_Excel_Files3[[#This Row],[Départements]]+Tableau_Lancer_la_requête_à_partir_de_Excel_Files3[[#This Row],[''FEDER'']]</f>
        <v>21733.360000000001</v>
      </c>
      <c r="L51" s="48">
        <f>Tableau_Lancer_la_requête_à_partir_de_Excel_Files3[[#This Row],[Aide Massif Obtenu]]/Tableau_Lancer_la_requête_à_partir_de_Excel_Files3[[#This Row],[Coût total]]</f>
        <v>0.70000016104278417</v>
      </c>
      <c r="M51" s="49">
        <f>Tableau_Lancer_la_requête_à_partir_de_Excel_Files3[[#This Row],[''FNADT'']]+Tableau_Lancer_la_requête_à_partir_de_Excel_Files3[[#This Row],[''Agriculture'']]</f>
        <v>6209.53</v>
      </c>
      <c r="N51" s="47">
        <v>6209.53</v>
      </c>
      <c r="O51" s="47"/>
      <c r="P51" s="49">
        <f>Tableau_Lancer_la_requête_à_partir_de_Excel_Files3[[#This Row],[''ALPC'']]+Tableau_Lancer_la_requête_à_partir_de_Excel_Files3[[#This Row],[''AURA'']]+Tableau_Lancer_la_requête_à_partir_de_Excel_Files3[[#This Row],[''BFC'']]+Tableau_Lancer_la_requête_à_partir_de_Excel_Files3[[#This Row],[''LRMP'']]</f>
        <v>0</v>
      </c>
      <c r="Q51" s="47"/>
      <c r="R51" s="47"/>
      <c r="S51" s="47"/>
      <c r="T51" s="47"/>
      <c r="U51" s="49">
        <f>Tableau_Lancer_la_requête_à_partir_de_Excel_Files3[[#This Row],[''03'']]+Tableau_Lancer_la_requête_à_partir_de_Excel_Files3[[#This Row],[''07'']]+Tableau_Lancer_la_requête_à_partir_de_Excel_Files3[[#This Row],[''11'']]+Tableau_Lancer_la_requête_à_partir_de_Excel_Files3[[#This Row],[''12'']]+Tableau_Lancer_la_requête_à_partir_de_Excel_Files3[[#This Row],[''15'']]+Tableau_Lancer_la_requête_à_partir_de_Excel_Files3[[#This Row],[''21'']]+Tableau_Lancer_la_requête_à_partir_de_Excel_Files3[[#This Row],[''19'']]+Tableau_Lancer_la_requête_à_partir_de_Excel_Files3[[#This Row],[''23'']]+Tableau_Lancer_la_requête_à_partir_de_Excel_Files3[[#This Row],[''30'']]+Tableau_Lancer_la_requête_à_partir_de_Excel_Files3[[#This Row],[''34'']]+Tableau_Lancer_la_requête_à_partir_de_Excel_Files3[[#This Row],[''42'']]+Tableau_Lancer_la_requête_à_partir_de_Excel_Files3[[#This Row],[''43'']]+Tableau_Lancer_la_requête_à_partir_de_Excel_Files3[[#This Row],[''46'']]+Tableau_Lancer_la_requête_à_partir_de_Excel_Files3[[#This Row],[''48'']]+Tableau_Lancer_la_requête_à_partir_de_Excel_Files3[[#This Row],[''58'']]+Tableau_Lancer_la_requête_à_partir_de_Excel_Files3[[#This Row],[''63'']]+Tableau_Lancer_la_requête_à_partir_de_Excel_Files3[[#This Row],[''69'']]+Tableau_Lancer_la_requête_à_partir_de_Excel_Files3[[#This Row],[''71'']]+Tableau_Lancer_la_requête_à_partir_de_Excel_Files3[[#This Row],[''81'']]+Tableau_Lancer_la_requête_à_partir_de_Excel_Files3[[#This Row],[''82'']]+Tableau_Lancer_la_requête_à_partir_de_Excel_Files3[[#This Row],[''87'']]+Tableau_Lancer_la_requête_à_partir_de_Excel_Files3[[#This Row],[''89'']]</f>
        <v>0</v>
      </c>
      <c r="V51" s="47"/>
      <c r="W51" s="47"/>
      <c r="X51" s="47"/>
      <c r="Y51" s="47"/>
      <c r="Z51" s="47"/>
      <c r="AA51" s="47"/>
      <c r="AB51" s="47"/>
      <c r="AC51" s="47"/>
      <c r="AD51" s="47"/>
      <c r="AE51" s="47"/>
      <c r="AF51" s="47"/>
      <c r="AG51" s="47"/>
      <c r="AH51" s="47"/>
      <c r="AI51" s="47"/>
      <c r="AJ51" s="47"/>
      <c r="AK51" s="47"/>
      <c r="AL51" s="47"/>
      <c r="AM51" s="47"/>
      <c r="AN51" s="47"/>
      <c r="AO51" s="47"/>
      <c r="AP51" s="47"/>
      <c r="AQ51" s="47"/>
      <c r="AR51" s="47">
        <v>15523.83</v>
      </c>
      <c r="AS51" s="47">
        <v>0</v>
      </c>
      <c r="AT51" s="41" t="s">
        <v>77</v>
      </c>
      <c r="AV51" s="55" t="s">
        <v>406</v>
      </c>
      <c r="AW51" s="40" t="s">
        <v>379</v>
      </c>
      <c r="AY51" s="40" t="s">
        <v>45</v>
      </c>
      <c r="AZ51" s="52">
        <f ca="1">SUMIF(Tableau_Lancer_la_requête_à_partir_de_Excel_Files3[Avis Prog],"1-Favorable",Tableau3[''48''])</f>
        <v>0</v>
      </c>
      <c r="BB51" s="37">
        <f>SUMIF(Tableau3[Avis],"1-Favorable",Tableau3[''48''])</f>
        <v>0</v>
      </c>
      <c r="BG51" s="37">
        <f>SUMIF(Tableau3[Avis],"0",Tableau3[''48''])</f>
        <v>0</v>
      </c>
      <c r="CM51" s="37"/>
      <c r="CN51" s="37"/>
      <c r="CO51" s="37"/>
      <c r="CP51" s="37"/>
      <c r="CQ51" s="37"/>
      <c r="CR51" s="37"/>
      <c r="CS51" s="37"/>
      <c r="CT51" s="37"/>
      <c r="CU51" s="37"/>
      <c r="CV51" s="37"/>
      <c r="CW51" s="37"/>
      <c r="CX51" s="37"/>
      <c r="CY51" s="37"/>
      <c r="CZ51" s="37"/>
      <c r="DA51" s="37"/>
      <c r="DB51" s="37"/>
      <c r="DC51" s="37"/>
      <c r="DD51" s="37"/>
      <c r="DE51" s="37"/>
      <c r="DF51" s="37"/>
      <c r="DG51" s="37"/>
      <c r="DH51" s="37"/>
    </row>
    <row r="52" spans="1:112" ht="30" x14ac:dyDescent="0.25">
      <c r="A52" s="43" t="s">
        <v>5</v>
      </c>
      <c r="B52" s="45" t="s">
        <v>60</v>
      </c>
      <c r="C52" s="45" t="s">
        <v>124</v>
      </c>
      <c r="D52" s="46" t="s">
        <v>63</v>
      </c>
      <c r="E52" s="46" t="s">
        <v>68</v>
      </c>
      <c r="F52" s="47">
        <v>151050</v>
      </c>
      <c r="G52" s="47">
        <v>131679</v>
      </c>
      <c r="H52" s="47">
        <f>IF(Tableau_Lancer_la_requête_à_partir_de_Excel_Files3[[#This Row],[Coût total Eligible FEDER]]="",Tableau_Lancer_la_requête_à_partir_de_Excel_Files3[[#This Row],[Coût total déposé]],Tableau_Lancer_la_requête_à_partir_de_Excel_Files3[[#This Row],[Coût total Eligible FEDER]])</f>
        <v>131679</v>
      </c>
      <c r="I52" s="47">
        <f>Tableau_Lancer_la_requête_à_partir_de_Excel_Files3[[#This Row],[Aide Massif Obtenu]]+Tableau_Lancer_la_requête_à_partir_de_Excel_Files3[[#This Row],[''Autre Public'']]</f>
        <v>65839</v>
      </c>
      <c r="J52" s="48">
        <f>Tableau_Lancer_la_requête_à_partir_de_Excel_Files3[[#This Row],[Aide Publique Obtenue]]/Tableau_Lancer_la_requête_à_partir_de_Excel_Files3[[#This Row],[Coût total]]</f>
        <v>0.49999620288732449</v>
      </c>
      <c r="K52" s="47">
        <f>Tableau_Lancer_la_requête_à_partir_de_Excel_Files3[[#This Row],[Etat]]+Tableau_Lancer_la_requête_à_partir_de_Excel_Files3[[#This Row],[Régions]]+Tableau_Lancer_la_requête_à_partir_de_Excel_Files3[[#This Row],[Départements]]+Tableau_Lancer_la_requête_à_partir_de_Excel_Files3[[#This Row],[''FEDER'']]</f>
        <v>65839</v>
      </c>
      <c r="L52" s="48">
        <f>Tableau_Lancer_la_requête_à_partir_de_Excel_Files3[[#This Row],[Aide Massif Obtenu]]/Tableau_Lancer_la_requête_à_partir_de_Excel_Files3[[#This Row],[Coût total]]</f>
        <v>0.49999620288732449</v>
      </c>
      <c r="M52" s="49">
        <f>Tableau_Lancer_la_requête_à_partir_de_Excel_Files3[[#This Row],[''FNADT'']]+Tableau_Lancer_la_requête_à_partir_de_Excel_Files3[[#This Row],[''Agriculture'']]</f>
        <v>6681</v>
      </c>
      <c r="N52" s="47">
        <v>6681</v>
      </c>
      <c r="O52" s="47"/>
      <c r="P52" s="49">
        <f>Tableau_Lancer_la_requête_à_partir_de_Excel_Files3[[#This Row],[''ALPC'']]+Tableau_Lancer_la_requête_à_partir_de_Excel_Files3[[#This Row],[''AURA'']]+Tableau_Lancer_la_requête_à_partir_de_Excel_Files3[[#This Row],[''BFC'']]+Tableau_Lancer_la_requête_à_partir_de_Excel_Files3[[#This Row],[''LRMP'']]</f>
        <v>6620</v>
      </c>
      <c r="Q52" s="47"/>
      <c r="R52" s="47"/>
      <c r="S52" s="47">
        <v>6620</v>
      </c>
      <c r="T52" s="47"/>
      <c r="U52" s="49">
        <f>Tableau_Lancer_la_requête_à_partir_de_Excel_Files3[[#This Row],[''03'']]+Tableau_Lancer_la_requête_à_partir_de_Excel_Files3[[#This Row],[''07'']]+Tableau_Lancer_la_requête_à_partir_de_Excel_Files3[[#This Row],[''11'']]+Tableau_Lancer_la_requête_à_partir_de_Excel_Files3[[#This Row],[''12'']]+Tableau_Lancer_la_requête_à_partir_de_Excel_Files3[[#This Row],[''15'']]+Tableau_Lancer_la_requête_à_partir_de_Excel_Files3[[#This Row],[''21'']]+Tableau_Lancer_la_requête_à_partir_de_Excel_Files3[[#This Row],[''19'']]+Tableau_Lancer_la_requête_à_partir_de_Excel_Files3[[#This Row],[''23'']]+Tableau_Lancer_la_requête_à_partir_de_Excel_Files3[[#This Row],[''30'']]+Tableau_Lancer_la_requête_à_partir_de_Excel_Files3[[#This Row],[''34'']]+Tableau_Lancer_la_requête_à_partir_de_Excel_Files3[[#This Row],[''42'']]+Tableau_Lancer_la_requête_à_partir_de_Excel_Files3[[#This Row],[''43'']]+Tableau_Lancer_la_requête_à_partir_de_Excel_Files3[[#This Row],[''46'']]+Tableau_Lancer_la_requête_à_partir_de_Excel_Files3[[#This Row],[''48'']]+Tableau_Lancer_la_requête_à_partir_de_Excel_Files3[[#This Row],[''58'']]+Tableau_Lancer_la_requête_à_partir_de_Excel_Files3[[#This Row],[''63'']]+Tableau_Lancer_la_requête_à_partir_de_Excel_Files3[[#This Row],[''69'']]+Tableau_Lancer_la_requête_à_partir_de_Excel_Files3[[#This Row],[''71'']]+Tableau_Lancer_la_requête_à_partir_de_Excel_Files3[[#This Row],[''81'']]+Tableau_Lancer_la_requête_à_partir_de_Excel_Files3[[#This Row],[''82'']]+Tableau_Lancer_la_requête_à_partir_de_Excel_Files3[[#This Row],[''87'']]+Tableau_Lancer_la_requête_à_partir_de_Excel_Files3[[#This Row],[''89'']]</f>
        <v>0</v>
      </c>
      <c r="V52" s="47"/>
      <c r="W52" s="47"/>
      <c r="X52" s="47"/>
      <c r="Y52" s="47"/>
      <c r="Z52" s="47"/>
      <c r="AA52" s="47"/>
      <c r="AB52" s="47"/>
      <c r="AC52" s="47"/>
      <c r="AD52" s="47"/>
      <c r="AE52" s="47"/>
      <c r="AF52" s="47"/>
      <c r="AG52" s="47"/>
      <c r="AH52" s="47"/>
      <c r="AI52" s="47"/>
      <c r="AJ52" s="47"/>
      <c r="AK52" s="47"/>
      <c r="AL52" s="47"/>
      <c r="AM52" s="47"/>
      <c r="AN52" s="47"/>
      <c r="AO52" s="47"/>
      <c r="AP52" s="47"/>
      <c r="AQ52" s="47"/>
      <c r="AR52" s="47">
        <v>52538</v>
      </c>
      <c r="AS52" s="47">
        <v>0</v>
      </c>
      <c r="AT52" s="41" t="s">
        <v>77</v>
      </c>
      <c r="AV52" s="64" t="s">
        <v>69</v>
      </c>
      <c r="AW52" s="40" t="s">
        <v>124</v>
      </c>
      <c r="AY52" s="40" t="s">
        <v>46</v>
      </c>
      <c r="AZ52" s="52">
        <f ca="1">SUMIF(Tableau_Lancer_la_requête_à_partir_de_Excel_Files3[Avis Prog],"1-Favorable",Tableau3[''58''])</f>
        <v>0</v>
      </c>
      <c r="BB52" s="37">
        <f>SUMIF(Tableau3[Avis],"1-Favorable",Tableau3[''58''])</f>
        <v>0</v>
      </c>
      <c r="BG52" s="37">
        <f>SUMIF(Tableau3[Avis],"0",Tableau3[''58''])</f>
        <v>0</v>
      </c>
      <c r="CM52" s="37"/>
      <c r="CN52" s="37"/>
      <c r="CO52" s="37"/>
      <c r="CP52" s="37"/>
      <c r="CQ52" s="37"/>
      <c r="CR52" s="37"/>
      <c r="CS52" s="37"/>
      <c r="CT52" s="37"/>
      <c r="CU52" s="37"/>
      <c r="CV52" s="37"/>
      <c r="CW52" s="37"/>
      <c r="CX52" s="37"/>
      <c r="CY52" s="37"/>
      <c r="CZ52" s="37"/>
      <c r="DA52" s="37"/>
      <c r="DB52" s="37"/>
      <c r="DC52" s="37"/>
      <c r="DD52" s="37"/>
      <c r="DE52" s="37"/>
      <c r="DF52" s="37"/>
      <c r="DG52" s="37"/>
      <c r="DH52" s="37"/>
    </row>
    <row r="53" spans="1:112" ht="75" x14ac:dyDescent="0.25">
      <c r="A53" s="43" t="s">
        <v>5</v>
      </c>
      <c r="B53" s="45" t="s">
        <v>396</v>
      </c>
      <c r="C53" s="45" t="s">
        <v>394</v>
      </c>
      <c r="D53" s="46" t="s">
        <v>395</v>
      </c>
      <c r="E53" s="46" t="s">
        <v>284</v>
      </c>
      <c r="F53" s="47">
        <v>80500</v>
      </c>
      <c r="G53" s="47">
        <v>78066.7</v>
      </c>
      <c r="H53" s="47">
        <f>IF(Tableau_Lancer_la_requête_à_partir_de_Excel_Files3[[#This Row],[Coût total Eligible FEDER]]="",Tableau_Lancer_la_requête_à_partir_de_Excel_Files3[[#This Row],[Coût total déposé]],Tableau_Lancer_la_requête_à_partir_de_Excel_Files3[[#This Row],[Coût total Eligible FEDER]])</f>
        <v>78066.7</v>
      </c>
      <c r="I53" s="47">
        <f>Tableau_Lancer_la_requête_à_partir_de_Excel_Files3[[#This Row],[Aide Massif Obtenu]]+Tableau_Lancer_la_requête_à_partir_de_Excel_Files3[[#This Row],[''Autre Public'']]</f>
        <v>46839</v>
      </c>
      <c r="J53" s="48">
        <f>Tableau_Lancer_la_requête_à_partir_de_Excel_Files3[[#This Row],[Aide Publique Obtenue]]/Tableau_Lancer_la_requête_à_partir_de_Excel_Files3[[#This Row],[Coût total]]</f>
        <v>0.59998693424981464</v>
      </c>
      <c r="K53" s="47">
        <f>Tableau_Lancer_la_requête_à_partir_de_Excel_Files3[[#This Row],[Etat]]+Tableau_Lancer_la_requête_à_partir_de_Excel_Files3[[#This Row],[Régions]]+Tableau_Lancer_la_requête_à_partir_de_Excel_Files3[[#This Row],[Départements]]+Tableau_Lancer_la_requête_à_partir_de_Excel_Files3[[#This Row],[''FEDER'']]</f>
        <v>46839</v>
      </c>
      <c r="L53" s="48">
        <f>Tableau_Lancer_la_requête_à_partir_de_Excel_Files3[[#This Row],[Aide Massif Obtenu]]/Tableau_Lancer_la_requête_à_partir_de_Excel_Files3[[#This Row],[Coût total]]</f>
        <v>0.59998693424981464</v>
      </c>
      <c r="M53" s="49">
        <f>Tableau_Lancer_la_requête_à_partir_de_Excel_Files3[[#This Row],[''FNADT'']]+Tableau_Lancer_la_requête_à_partir_de_Excel_Files3[[#This Row],[''Agriculture'']]</f>
        <v>15613</v>
      </c>
      <c r="N53" s="47">
        <v>15613</v>
      </c>
      <c r="O53" s="47"/>
      <c r="P53" s="49">
        <f>Tableau_Lancer_la_requête_à_partir_de_Excel_Files3[[#This Row],[''ALPC'']]+Tableau_Lancer_la_requête_à_partir_de_Excel_Files3[[#This Row],[''AURA'']]+Tableau_Lancer_la_requête_à_partir_de_Excel_Files3[[#This Row],[''BFC'']]+Tableau_Lancer_la_requête_à_partir_de_Excel_Files3[[#This Row],[''LRMP'']]</f>
        <v>0</v>
      </c>
      <c r="Q53" s="47"/>
      <c r="R53" s="47"/>
      <c r="S53" s="47"/>
      <c r="T53" s="47"/>
      <c r="U53" s="49">
        <f>Tableau_Lancer_la_requête_à_partir_de_Excel_Files3[[#This Row],[''03'']]+Tableau_Lancer_la_requête_à_partir_de_Excel_Files3[[#This Row],[''07'']]+Tableau_Lancer_la_requête_à_partir_de_Excel_Files3[[#This Row],[''11'']]+Tableau_Lancer_la_requête_à_partir_de_Excel_Files3[[#This Row],[''12'']]+Tableau_Lancer_la_requête_à_partir_de_Excel_Files3[[#This Row],[''15'']]+Tableau_Lancer_la_requête_à_partir_de_Excel_Files3[[#This Row],[''21'']]+Tableau_Lancer_la_requête_à_partir_de_Excel_Files3[[#This Row],[''19'']]+Tableau_Lancer_la_requête_à_partir_de_Excel_Files3[[#This Row],[''23'']]+Tableau_Lancer_la_requête_à_partir_de_Excel_Files3[[#This Row],[''30'']]+Tableau_Lancer_la_requête_à_partir_de_Excel_Files3[[#This Row],[''34'']]+Tableau_Lancer_la_requête_à_partir_de_Excel_Files3[[#This Row],[''42'']]+Tableau_Lancer_la_requête_à_partir_de_Excel_Files3[[#This Row],[''43'']]+Tableau_Lancer_la_requête_à_partir_de_Excel_Files3[[#This Row],[''46'']]+Tableau_Lancer_la_requête_à_partir_de_Excel_Files3[[#This Row],[''48'']]+Tableau_Lancer_la_requête_à_partir_de_Excel_Files3[[#This Row],[''58'']]+Tableau_Lancer_la_requête_à_partir_de_Excel_Files3[[#This Row],[''63'']]+Tableau_Lancer_la_requête_à_partir_de_Excel_Files3[[#This Row],[''69'']]+Tableau_Lancer_la_requête_à_partir_de_Excel_Files3[[#This Row],[''71'']]+Tableau_Lancer_la_requête_à_partir_de_Excel_Files3[[#This Row],[''81'']]+Tableau_Lancer_la_requête_à_partir_de_Excel_Files3[[#This Row],[''82'']]+Tableau_Lancer_la_requête_à_partir_de_Excel_Files3[[#This Row],[''87'']]+Tableau_Lancer_la_requête_à_partir_de_Excel_Files3[[#This Row],[''89'']]</f>
        <v>0</v>
      </c>
      <c r="V53" s="47"/>
      <c r="W53" s="47"/>
      <c r="X53" s="47"/>
      <c r="Y53" s="47"/>
      <c r="Z53" s="47"/>
      <c r="AA53" s="47"/>
      <c r="AB53" s="47"/>
      <c r="AC53" s="47"/>
      <c r="AD53" s="47"/>
      <c r="AE53" s="47"/>
      <c r="AF53" s="47"/>
      <c r="AG53" s="47"/>
      <c r="AH53" s="47"/>
      <c r="AI53" s="47"/>
      <c r="AJ53" s="47"/>
      <c r="AK53" s="47"/>
      <c r="AL53" s="47"/>
      <c r="AM53" s="47"/>
      <c r="AN53" s="47"/>
      <c r="AO53" s="47"/>
      <c r="AP53" s="47"/>
      <c r="AQ53" s="47"/>
      <c r="AR53" s="47">
        <v>31226</v>
      </c>
      <c r="AS53" s="47">
        <v>0</v>
      </c>
      <c r="AT53" s="41" t="s">
        <v>77</v>
      </c>
      <c r="AV53" s="55" t="s">
        <v>355</v>
      </c>
      <c r="AW53" s="40" t="s">
        <v>394</v>
      </c>
      <c r="AY53" s="40" t="s">
        <v>47</v>
      </c>
      <c r="AZ53" s="52">
        <f ca="1">SUMIF(Tableau_Lancer_la_requête_à_partir_de_Excel_Files3[Avis Prog],"1-Favorable",Tableau3[''63''])</f>
        <v>0</v>
      </c>
      <c r="BB53" s="37">
        <f>SUMIF(Tableau3[Avis],"1-Favorable",Tableau3[''63''])</f>
        <v>0</v>
      </c>
      <c r="BG53" s="37">
        <f>SUMIF(Tableau3[Avis],"0",Tableau3[''63''])</f>
        <v>0</v>
      </c>
      <c r="CM53" s="37"/>
      <c r="CN53" s="37"/>
      <c r="CO53" s="37"/>
      <c r="CP53" s="37"/>
      <c r="CQ53" s="37"/>
      <c r="CR53" s="37"/>
      <c r="CS53" s="37"/>
      <c r="CT53" s="37"/>
      <c r="CU53" s="37"/>
      <c r="CV53" s="37"/>
      <c r="CW53" s="37"/>
      <c r="CX53" s="37"/>
      <c r="CY53" s="37"/>
      <c r="CZ53" s="37"/>
      <c r="DA53" s="37"/>
      <c r="DB53" s="37"/>
      <c r="DC53" s="37"/>
      <c r="DD53" s="37"/>
      <c r="DE53" s="37"/>
      <c r="DF53" s="37"/>
      <c r="DG53" s="37"/>
      <c r="DH53" s="37"/>
    </row>
    <row r="54" spans="1:112" ht="90" x14ac:dyDescent="0.25">
      <c r="A54" s="43" t="s">
        <v>5</v>
      </c>
      <c r="B54" s="45" t="s">
        <v>285</v>
      </c>
      <c r="C54" s="45" t="s">
        <v>282</v>
      </c>
      <c r="D54" s="46" t="s">
        <v>283</v>
      </c>
      <c r="E54" s="46" t="s">
        <v>284</v>
      </c>
      <c r="F54" s="47">
        <v>80500</v>
      </c>
      <c r="G54" s="47">
        <v>78198.7</v>
      </c>
      <c r="H54" s="47">
        <f>IF(Tableau_Lancer_la_requête_à_partir_de_Excel_Files3[[#This Row],[Coût total Eligible FEDER]]="",Tableau_Lancer_la_requête_à_partir_de_Excel_Files3[[#This Row],[Coût total déposé]],Tableau_Lancer_la_requête_à_partir_de_Excel_Files3[[#This Row],[Coût total Eligible FEDER]])</f>
        <v>78198.7</v>
      </c>
      <c r="I54" s="47">
        <f>Tableau_Lancer_la_requête_à_partir_de_Excel_Files3[[#This Row],[Aide Massif Obtenu]]+Tableau_Lancer_la_requête_à_partir_de_Excel_Files3[[#This Row],[''Autre Public'']]</f>
        <v>44518</v>
      </c>
      <c r="J54" s="48">
        <f>Tableau_Lancer_la_requête_à_partir_de_Excel_Files3[[#This Row],[Aide Publique Obtenue]]/Tableau_Lancer_la_requête_à_partir_de_Excel_Files3[[#This Row],[Coût total]]</f>
        <v>0.56929335142400073</v>
      </c>
      <c r="K54" s="47">
        <f>Tableau_Lancer_la_requête_à_partir_de_Excel_Files3[[#This Row],[Etat]]+Tableau_Lancer_la_requête_à_partir_de_Excel_Files3[[#This Row],[Régions]]+Tableau_Lancer_la_requête_à_partir_de_Excel_Files3[[#This Row],[Départements]]+Tableau_Lancer_la_requête_à_partir_de_Excel_Files3[[#This Row],[''FEDER'']]</f>
        <v>44518</v>
      </c>
      <c r="L54" s="48">
        <f>Tableau_Lancer_la_requête_à_partir_de_Excel_Files3[[#This Row],[Aide Massif Obtenu]]/Tableau_Lancer_la_requête_à_partir_de_Excel_Files3[[#This Row],[Coût total]]</f>
        <v>0.56929335142400073</v>
      </c>
      <c r="M54" s="49">
        <f>Tableau_Lancer_la_requête_à_partir_de_Excel_Files3[[#This Row],[''FNADT'']]+Tableau_Lancer_la_requête_à_partir_de_Excel_Files3[[#This Row],[''Agriculture'']]</f>
        <v>13239</v>
      </c>
      <c r="N54" s="47">
        <v>13239</v>
      </c>
      <c r="O54" s="47"/>
      <c r="P54" s="49">
        <f>Tableau_Lancer_la_requête_à_partir_de_Excel_Files3[[#This Row],[''ALPC'']]+Tableau_Lancer_la_requête_à_partir_de_Excel_Files3[[#This Row],[''AURA'']]+Tableau_Lancer_la_requête_à_partir_de_Excel_Files3[[#This Row],[''BFC'']]+Tableau_Lancer_la_requête_à_partir_de_Excel_Files3[[#This Row],[''LRMP'']]</f>
        <v>0</v>
      </c>
      <c r="Q54" s="47"/>
      <c r="R54" s="47"/>
      <c r="S54" s="47"/>
      <c r="T54" s="47"/>
      <c r="U54" s="49">
        <f>Tableau_Lancer_la_requête_à_partir_de_Excel_Files3[[#This Row],[''03'']]+Tableau_Lancer_la_requête_à_partir_de_Excel_Files3[[#This Row],[''07'']]+Tableau_Lancer_la_requête_à_partir_de_Excel_Files3[[#This Row],[''11'']]+Tableau_Lancer_la_requête_à_partir_de_Excel_Files3[[#This Row],[''12'']]+Tableau_Lancer_la_requête_à_partir_de_Excel_Files3[[#This Row],[''15'']]+Tableau_Lancer_la_requête_à_partir_de_Excel_Files3[[#This Row],[''21'']]+Tableau_Lancer_la_requête_à_partir_de_Excel_Files3[[#This Row],[''19'']]+Tableau_Lancer_la_requête_à_partir_de_Excel_Files3[[#This Row],[''23'']]+Tableau_Lancer_la_requête_à_partir_de_Excel_Files3[[#This Row],[''30'']]+Tableau_Lancer_la_requête_à_partir_de_Excel_Files3[[#This Row],[''34'']]+Tableau_Lancer_la_requête_à_partir_de_Excel_Files3[[#This Row],[''42'']]+Tableau_Lancer_la_requête_à_partir_de_Excel_Files3[[#This Row],[''43'']]+Tableau_Lancer_la_requête_à_partir_de_Excel_Files3[[#This Row],[''46'']]+Tableau_Lancer_la_requête_à_partir_de_Excel_Files3[[#This Row],[''48'']]+Tableau_Lancer_la_requête_à_partir_de_Excel_Files3[[#This Row],[''58'']]+Tableau_Lancer_la_requête_à_partir_de_Excel_Files3[[#This Row],[''63'']]+Tableau_Lancer_la_requête_à_partir_de_Excel_Files3[[#This Row],[''69'']]+Tableau_Lancer_la_requête_à_partir_de_Excel_Files3[[#This Row],[''71'']]+Tableau_Lancer_la_requête_à_partir_de_Excel_Files3[[#This Row],[''81'']]+Tableau_Lancer_la_requête_à_partir_de_Excel_Files3[[#This Row],[''82'']]+Tableau_Lancer_la_requête_à_partir_de_Excel_Files3[[#This Row],[''87'']]+Tableau_Lancer_la_requête_à_partir_de_Excel_Files3[[#This Row],[''89'']]</f>
        <v>0</v>
      </c>
      <c r="V54" s="47"/>
      <c r="W54" s="47"/>
      <c r="X54" s="47"/>
      <c r="Y54" s="47"/>
      <c r="Z54" s="47"/>
      <c r="AA54" s="47"/>
      <c r="AB54" s="47"/>
      <c r="AC54" s="47"/>
      <c r="AD54" s="47"/>
      <c r="AE54" s="47"/>
      <c r="AF54" s="47"/>
      <c r="AG54" s="47"/>
      <c r="AH54" s="47"/>
      <c r="AI54" s="47"/>
      <c r="AJ54" s="47"/>
      <c r="AK54" s="47"/>
      <c r="AL54" s="47"/>
      <c r="AM54" s="47"/>
      <c r="AN54" s="47"/>
      <c r="AO54" s="47"/>
      <c r="AP54" s="47"/>
      <c r="AQ54" s="47"/>
      <c r="AR54" s="47">
        <v>31279</v>
      </c>
      <c r="AS54" s="47">
        <v>0</v>
      </c>
      <c r="AT54" s="41" t="s">
        <v>77</v>
      </c>
      <c r="AV54" s="64" t="s">
        <v>334</v>
      </c>
      <c r="AW54" s="40" t="s">
        <v>282</v>
      </c>
      <c r="AY54" s="40" t="s">
        <v>48</v>
      </c>
      <c r="AZ54" s="52">
        <f ca="1">SUMIF(Tableau_Lancer_la_requête_à_partir_de_Excel_Files3[Avis Prog],"1-Favorable",Tableau3[''69''])</f>
        <v>0</v>
      </c>
      <c r="BB54" s="37">
        <f>SUMIF(Tableau3[Avis],"1-Favorable",Tableau3[''69''])</f>
        <v>0</v>
      </c>
      <c r="BG54" s="37">
        <f>SUMIF(Tableau3[Avis],"0",Tableau3[''69''])</f>
        <v>0</v>
      </c>
      <c r="CM54" s="37"/>
      <c r="CN54" s="37"/>
      <c r="CO54" s="37"/>
      <c r="CP54" s="37"/>
      <c r="CQ54" s="37"/>
      <c r="CR54" s="37"/>
      <c r="CS54" s="37"/>
      <c r="CT54" s="37"/>
      <c r="CU54" s="37"/>
      <c r="CV54" s="37"/>
      <c r="CW54" s="37"/>
      <c r="CX54" s="37"/>
      <c r="CY54" s="37"/>
      <c r="CZ54" s="37"/>
      <c r="DA54" s="37"/>
      <c r="DB54" s="37"/>
      <c r="DC54" s="37"/>
      <c r="DD54" s="37"/>
      <c r="DE54" s="37"/>
      <c r="DF54" s="37"/>
      <c r="DG54" s="37"/>
      <c r="DH54" s="37"/>
    </row>
    <row r="55" spans="1:112" x14ac:dyDescent="0.25">
      <c r="A55" s="46" t="s">
        <v>11</v>
      </c>
      <c r="B55" s="46"/>
      <c r="C55" s="46">
        <f>SUBTOTAL(103,Tableau_Lancer_la_requête_à_partir_de_Excel_Files3[ID_Synergie])</f>
        <v>48</v>
      </c>
      <c r="D55" s="46"/>
      <c r="E55" s="46"/>
      <c r="F55" s="47">
        <f>SUBTOTAL(109,Tableau_Lancer_la_requête_à_partir_de_Excel_Files3[Coût total déposé])</f>
        <v>7451905.3250266826</v>
      </c>
      <c r="G55" s="47"/>
      <c r="H55" s="47">
        <f>SUBTOTAL(109,Tableau_Lancer_la_requête_à_partir_de_Excel_Files3[Coût total])</f>
        <v>6400676.1679773126</v>
      </c>
      <c r="I55" s="47">
        <f>SUBTOTAL(109,Tableau_Lancer_la_requête_à_partir_de_Excel_Files3[Aide Publique Obtenue])</f>
        <v>3985250.1588458167</v>
      </c>
      <c r="J55" s="47"/>
      <c r="K55" s="47">
        <f>SUBTOTAL(109,Tableau_Lancer_la_requête_à_partir_de_Excel_Files3[Aide Massif Obtenu])</f>
        <v>3897277.1588458167</v>
      </c>
      <c r="L55" s="46"/>
      <c r="M55" s="47">
        <f>SUBTOTAL(109,Tableau_Lancer_la_requête_à_partir_de_Excel_Files3[Etat])</f>
        <v>1061416.52</v>
      </c>
      <c r="N55" s="47"/>
      <c r="O55" s="47"/>
      <c r="P55" s="47">
        <f>SUBTOTAL(109,Tableau_Lancer_la_requête_à_partir_de_Excel_Files3[Régions])</f>
        <v>355911.1</v>
      </c>
      <c r="Q55" s="47"/>
      <c r="R55" s="47"/>
      <c r="S55" s="47"/>
      <c r="T55" s="47"/>
      <c r="U55" s="47">
        <f>SUBTOTAL(109,Tableau_Lancer_la_requête_à_partir_de_Excel_Files3[Départements])</f>
        <v>55305.078845816708</v>
      </c>
      <c r="V55" s="47"/>
      <c r="W55" s="47"/>
      <c r="X55" s="47"/>
      <c r="Y55" s="47"/>
      <c r="Z55" s="47"/>
      <c r="AA55" s="47"/>
      <c r="AB55" s="47"/>
      <c r="AC55" s="47"/>
      <c r="AD55" s="47"/>
      <c r="AE55" s="47"/>
      <c r="AF55" s="47"/>
      <c r="AG55" s="47"/>
      <c r="AH55" s="47"/>
      <c r="AI55" s="47"/>
      <c r="AJ55" s="47"/>
      <c r="AK55" s="47"/>
      <c r="AL55" s="47"/>
      <c r="AM55" s="47"/>
      <c r="AN55" s="47"/>
      <c r="AO55" s="47"/>
      <c r="AP55" s="47"/>
      <c r="AQ55" s="47"/>
      <c r="AR55" s="47">
        <f>SUBTOTAL(109,Tableau_Lancer_la_requête_à_partir_de_Excel_Files3[''FEDER''])</f>
        <v>2424644.46</v>
      </c>
      <c r="AS55" s="47"/>
      <c r="AT55" s="46"/>
      <c r="AY55" s="40" t="s">
        <v>49</v>
      </c>
      <c r="AZ55" s="52">
        <f ca="1">SUMIF(Tableau_Lancer_la_requête_à_partir_de_Excel_Files3[Avis Prog],"1-Favorable",Tableau3[''71''])</f>
        <v>0</v>
      </c>
      <c r="BB55" s="37">
        <f>SUMIF(Tableau3[Avis],"1-Favorable",Tableau3[''71''])</f>
        <v>0</v>
      </c>
      <c r="BG55" s="37">
        <f>SUMIF(Tableau3[Avis],"0",Tableau3[''71''])</f>
        <v>0</v>
      </c>
      <c r="CM55" s="37"/>
      <c r="CN55" s="37"/>
      <c r="CO55" s="37"/>
      <c r="CP55" s="37"/>
      <c r="CQ55" s="37"/>
      <c r="CR55" s="37"/>
      <c r="CS55" s="37"/>
      <c r="CT55" s="37"/>
      <c r="CU55" s="37"/>
      <c r="CV55" s="37"/>
      <c r="CW55" s="37"/>
      <c r="CX55" s="37"/>
      <c r="CY55" s="37"/>
      <c r="CZ55" s="37"/>
      <c r="DA55" s="37"/>
      <c r="DB55" s="37"/>
      <c r="DC55" s="37"/>
      <c r="DD55" s="37"/>
      <c r="DE55" s="37"/>
      <c r="DF55" s="37"/>
      <c r="DG55" s="37"/>
      <c r="DH55" s="37"/>
    </row>
    <row r="56" spans="1:112" x14ac:dyDescent="0.25">
      <c r="AY56" s="40" t="s">
        <v>50</v>
      </c>
      <c r="AZ56" s="52">
        <f ca="1">SUMIF(Tableau_Lancer_la_requête_à_partir_de_Excel_Files3[Avis Prog],"1-Favorable",Tableau3[''81''])</f>
        <v>0</v>
      </c>
      <c r="BB56" s="37">
        <f>SUMIF(Tableau3[Avis],"1-Favorable",Tableau3[''81''])</f>
        <v>0</v>
      </c>
      <c r="BG56" s="37">
        <f>SUMIF(Tableau3[Avis],"0",Tableau3[''81''])</f>
        <v>0</v>
      </c>
      <c r="CM56" s="37"/>
      <c r="CN56" s="37"/>
      <c r="CO56" s="37"/>
      <c r="CP56" s="37"/>
      <c r="CQ56" s="37"/>
      <c r="CR56" s="37"/>
      <c r="CS56" s="37"/>
      <c r="CT56" s="37"/>
      <c r="CU56" s="37"/>
      <c r="CV56" s="37"/>
      <c r="CW56" s="37"/>
      <c r="CX56" s="37"/>
      <c r="CY56" s="37"/>
      <c r="CZ56" s="37"/>
      <c r="DA56" s="37"/>
      <c r="DB56" s="37"/>
      <c r="DC56" s="37"/>
      <c r="DD56" s="37"/>
      <c r="DE56" s="37"/>
      <c r="DF56" s="37"/>
      <c r="DG56" s="37"/>
      <c r="DH56" s="37"/>
    </row>
    <row r="57" spans="1:112" x14ac:dyDescent="0.25">
      <c r="AY57" s="40" t="s">
        <v>51</v>
      </c>
      <c r="AZ57" s="52">
        <f ca="1">SUMIF(Tableau_Lancer_la_requête_à_partir_de_Excel_Files3[Avis Prog],"1-Favorable",Tableau3[''82''])</f>
        <v>0</v>
      </c>
      <c r="BB57" s="37">
        <f>SUMIF(Tableau3[Avis],"1-Favorable",Tableau3[''82''])</f>
        <v>0</v>
      </c>
      <c r="BG57" s="37">
        <f>SUMIF(Tableau3[Avis],"0",Tableau3[''82''])</f>
        <v>0</v>
      </c>
      <c r="CM57" s="37"/>
      <c r="CN57" s="37"/>
      <c r="CO57" s="37"/>
      <c r="CP57" s="37"/>
      <c r="CQ57" s="37"/>
      <c r="CR57" s="37"/>
      <c r="CS57" s="37"/>
      <c r="CT57" s="37"/>
      <c r="CU57" s="37"/>
      <c r="CV57" s="37"/>
      <c r="CW57" s="37"/>
      <c r="CX57" s="37"/>
      <c r="CY57" s="37"/>
      <c r="CZ57" s="37"/>
      <c r="DA57" s="37"/>
      <c r="DB57" s="37"/>
      <c r="DC57" s="37"/>
      <c r="DD57" s="37"/>
      <c r="DE57" s="37"/>
      <c r="DF57" s="37"/>
      <c r="DG57" s="37"/>
      <c r="DH57" s="37"/>
    </row>
    <row r="58" spans="1:112" x14ac:dyDescent="0.25">
      <c r="AY58" s="40" t="s">
        <v>52</v>
      </c>
      <c r="AZ58" s="52">
        <f ca="1">SUMIF(Tableau_Lancer_la_requête_à_partir_de_Excel_Files3[Avis Prog],"1-Favorable",Tableau3[''87''])</f>
        <v>0</v>
      </c>
      <c r="BB58" s="37">
        <f>SUMIF(Tableau3[Avis],"1-Favorable",Tableau3[''87''])</f>
        <v>0</v>
      </c>
      <c r="BG58" s="37">
        <f>SUMIF(Tableau3[Avis],"0",Tableau3[''87''])</f>
        <v>0</v>
      </c>
      <c r="CM58" s="37"/>
      <c r="CN58" s="37"/>
      <c r="CO58" s="37"/>
      <c r="CP58" s="37"/>
      <c r="CQ58" s="37"/>
      <c r="CR58" s="37"/>
      <c r="CS58" s="37"/>
      <c r="CT58" s="37"/>
      <c r="CU58" s="37"/>
      <c r="CV58" s="37"/>
      <c r="CW58" s="37"/>
      <c r="CX58" s="37"/>
      <c r="CY58" s="37"/>
      <c r="CZ58" s="37"/>
      <c r="DA58" s="37"/>
      <c r="DB58" s="37"/>
      <c r="DC58" s="37"/>
      <c r="DD58" s="37"/>
      <c r="DE58" s="37"/>
      <c r="DF58" s="37"/>
      <c r="DG58" s="37"/>
      <c r="DH58" s="37"/>
    </row>
    <row r="59" spans="1:112" x14ac:dyDescent="0.25">
      <c r="AY59" s="40" t="s">
        <v>53</v>
      </c>
      <c r="AZ59" s="52">
        <f ca="1">SUMIF(Tableau_Lancer_la_requête_à_partir_de_Excel_Files3[Avis Prog],"1-Favorable",Tableau3[''89''])</f>
        <v>0</v>
      </c>
      <c r="BB59" s="37">
        <f>SUMIF(Tableau3[Avis],"1-Favorable",Tableau3[''89''])</f>
        <v>0</v>
      </c>
      <c r="BG59" s="37">
        <f>SUMIF(Tableau3[Avis],"0",Tableau3[''89''])</f>
        <v>0</v>
      </c>
      <c r="CM59" s="37"/>
      <c r="CN59" s="37"/>
      <c r="CO59" s="37"/>
      <c r="CP59" s="37"/>
      <c r="CQ59" s="37"/>
      <c r="CR59" s="37"/>
      <c r="CS59" s="37"/>
      <c r="CT59" s="37"/>
      <c r="CU59" s="37"/>
      <c r="CV59" s="37"/>
      <c r="CW59" s="37"/>
      <c r="CX59" s="37"/>
      <c r="CY59" s="37"/>
      <c r="CZ59" s="37"/>
      <c r="DA59" s="37"/>
      <c r="DB59" s="37"/>
      <c r="DC59" s="37"/>
      <c r="DD59" s="37"/>
      <c r="DE59" s="37"/>
      <c r="DF59" s="37"/>
      <c r="DG59" s="37"/>
      <c r="DH59" s="37"/>
    </row>
    <row r="60" spans="1:112" x14ac:dyDescent="0.25">
      <c r="CM60" s="37"/>
      <c r="CN60" s="37"/>
      <c r="CO60" s="37"/>
      <c r="CP60" s="37"/>
      <c r="CQ60" s="37"/>
      <c r="CR60" s="37"/>
      <c r="CS60" s="37"/>
      <c r="CT60" s="37"/>
      <c r="CU60" s="37"/>
      <c r="CV60" s="37"/>
      <c r="CW60" s="37"/>
      <c r="CX60" s="37"/>
      <c r="CY60" s="37"/>
      <c r="CZ60" s="37"/>
      <c r="DA60" s="37"/>
      <c r="DB60" s="37"/>
      <c r="DC60" s="37"/>
      <c r="DD60" s="37"/>
      <c r="DE60" s="37"/>
      <c r="DF60" s="37"/>
      <c r="DG60" s="37"/>
      <c r="DH60" s="37"/>
    </row>
    <row r="61" spans="1:112" x14ac:dyDescent="0.25">
      <c r="CM61" s="37"/>
      <c r="CN61" s="37"/>
      <c r="CO61" s="37"/>
      <c r="CP61" s="37"/>
      <c r="CQ61" s="37"/>
      <c r="CR61" s="37"/>
      <c r="CS61" s="37"/>
      <c r="CT61" s="37"/>
      <c r="CU61" s="37"/>
      <c r="CV61" s="37"/>
      <c r="CW61" s="37"/>
      <c r="CX61" s="37"/>
      <c r="CY61" s="37"/>
      <c r="CZ61" s="37"/>
      <c r="DA61" s="37"/>
      <c r="DB61" s="37"/>
      <c r="DC61" s="37"/>
      <c r="DD61" s="37"/>
      <c r="DE61" s="37"/>
      <c r="DF61" s="37"/>
      <c r="DG61" s="37"/>
      <c r="DH61" s="37"/>
    </row>
    <row r="62" spans="1:112" x14ac:dyDescent="0.25">
      <c r="CM62" s="37"/>
      <c r="CN62" s="37"/>
      <c r="CO62" s="37"/>
      <c r="CP62" s="37"/>
      <c r="CQ62" s="37"/>
      <c r="CR62" s="37"/>
      <c r="CS62" s="37"/>
      <c r="CT62" s="37"/>
      <c r="CU62" s="37"/>
      <c r="CV62" s="37"/>
      <c r="CW62" s="37"/>
      <c r="CX62" s="37"/>
      <c r="CY62" s="37"/>
      <c r="CZ62" s="37"/>
      <c r="DA62" s="37"/>
      <c r="DB62" s="37"/>
      <c r="DC62" s="37"/>
      <c r="DD62" s="37"/>
      <c r="DE62" s="37"/>
      <c r="DF62" s="37"/>
      <c r="DG62" s="37"/>
      <c r="DH62" s="37"/>
    </row>
    <row r="63" spans="1:112" x14ac:dyDescent="0.25">
      <c r="CM63" s="37"/>
      <c r="CN63" s="37"/>
      <c r="CO63" s="37"/>
      <c r="CP63" s="37"/>
      <c r="CQ63" s="37"/>
      <c r="CR63" s="37"/>
      <c r="CS63" s="37"/>
      <c r="CT63" s="37"/>
      <c r="CU63" s="37"/>
      <c r="CV63" s="37"/>
      <c r="CW63" s="37"/>
      <c r="CX63" s="37"/>
      <c r="CY63" s="37"/>
      <c r="CZ63" s="37"/>
      <c r="DA63" s="37"/>
      <c r="DB63" s="37"/>
      <c r="DC63" s="37"/>
      <c r="DD63" s="37"/>
      <c r="DE63" s="37"/>
      <c r="DF63" s="37"/>
      <c r="DG63" s="37"/>
      <c r="DH63" s="37"/>
    </row>
    <row r="64" spans="1:112" x14ac:dyDescent="0.25">
      <c r="CM64" s="37"/>
      <c r="CN64" s="37"/>
      <c r="CO64" s="37"/>
      <c r="CP64" s="37"/>
      <c r="CQ64" s="37"/>
      <c r="CR64" s="37"/>
      <c r="CS64" s="37"/>
      <c r="CT64" s="37"/>
      <c r="CU64" s="37"/>
      <c r="CV64" s="37"/>
      <c r="CW64" s="37"/>
      <c r="CX64" s="37"/>
      <c r="CY64" s="37"/>
      <c r="CZ64" s="37"/>
      <c r="DA64" s="37"/>
      <c r="DB64" s="37"/>
      <c r="DC64" s="37"/>
      <c r="DD64" s="37"/>
      <c r="DE64" s="37"/>
      <c r="DF64" s="37"/>
      <c r="DG64" s="37"/>
      <c r="DH64" s="37"/>
    </row>
    <row r="65" spans="84:112" x14ac:dyDescent="0.25">
      <c r="CM65" s="37"/>
      <c r="CN65" s="37"/>
      <c r="CO65" s="37"/>
      <c r="CP65" s="37"/>
      <c r="CQ65" s="37"/>
      <c r="CR65" s="37"/>
      <c r="CS65" s="37"/>
      <c r="CT65" s="37"/>
      <c r="CU65" s="37"/>
      <c r="CV65" s="37"/>
      <c r="CW65" s="37"/>
      <c r="CX65" s="37"/>
      <c r="CY65" s="37"/>
      <c r="CZ65" s="37"/>
      <c r="DA65" s="37"/>
      <c r="DB65" s="37"/>
      <c r="DC65" s="37"/>
      <c r="DD65" s="37"/>
      <c r="DE65" s="37"/>
      <c r="DF65" s="37"/>
      <c r="DG65" s="37"/>
      <c r="DH65" s="37"/>
    </row>
    <row r="66" spans="84:112" x14ac:dyDescent="0.25">
      <c r="CM66" s="37"/>
      <c r="CN66" s="37"/>
      <c r="CO66" s="37"/>
      <c r="CP66" s="37"/>
      <c r="CQ66" s="37"/>
      <c r="CR66" s="37"/>
      <c r="CS66" s="37"/>
      <c r="CT66" s="37"/>
      <c r="CU66" s="37"/>
      <c r="CV66" s="37"/>
      <c r="CW66" s="37"/>
      <c r="CX66" s="37"/>
      <c r="CY66" s="37"/>
      <c r="CZ66" s="37"/>
      <c r="DA66" s="37"/>
      <c r="DB66" s="37"/>
      <c r="DC66" s="37"/>
      <c r="DD66" s="37"/>
      <c r="DE66" s="37"/>
      <c r="DF66" s="37"/>
      <c r="DG66" s="37"/>
      <c r="DH66" s="37"/>
    </row>
    <row r="67" spans="84:112" x14ac:dyDescent="0.25">
      <c r="CM67" s="37"/>
      <c r="CN67" s="37"/>
      <c r="CO67" s="37"/>
      <c r="CP67" s="37"/>
      <c r="CQ67" s="37"/>
      <c r="CR67" s="37"/>
      <c r="CS67" s="37"/>
      <c r="CT67" s="37"/>
      <c r="CU67" s="37"/>
      <c r="CV67" s="37"/>
      <c r="CW67" s="37"/>
      <c r="CX67" s="37"/>
      <c r="CY67" s="37"/>
      <c r="CZ67" s="37"/>
      <c r="DA67" s="37"/>
      <c r="DB67" s="37"/>
      <c r="DC67" s="37"/>
      <c r="DD67" s="37"/>
      <c r="DE67" s="37"/>
      <c r="DF67" s="37"/>
      <c r="DG67" s="37"/>
      <c r="DH67" s="37"/>
    </row>
    <row r="68" spans="84:112" x14ac:dyDescent="0.25">
      <c r="CM68" s="37"/>
      <c r="CN68" s="37"/>
      <c r="CO68" s="37"/>
      <c r="CP68" s="37"/>
      <c r="CQ68" s="37"/>
      <c r="CR68" s="37"/>
      <c r="CS68" s="37"/>
      <c r="CT68" s="37"/>
      <c r="CU68" s="37"/>
      <c r="CV68" s="37"/>
      <c r="CW68" s="37"/>
      <c r="CX68" s="37"/>
      <c r="CY68" s="37"/>
      <c r="CZ68" s="37"/>
      <c r="DA68" s="37"/>
      <c r="DB68" s="37"/>
      <c r="DC68" s="37"/>
      <c r="DD68" s="37"/>
      <c r="DE68" s="37"/>
      <c r="DF68" s="37"/>
      <c r="DG68" s="37"/>
      <c r="DH68" s="37"/>
    </row>
    <row r="69" spans="84:112" x14ac:dyDescent="0.25">
      <c r="CM69" s="37"/>
      <c r="CN69" s="37"/>
      <c r="CO69" s="37"/>
      <c r="CP69" s="37"/>
      <c r="CQ69" s="37"/>
      <c r="CR69" s="37"/>
      <c r="CS69" s="37"/>
      <c r="CT69" s="37"/>
      <c r="CU69" s="37"/>
      <c r="CV69" s="37"/>
      <c r="CW69" s="37"/>
      <c r="CX69" s="37"/>
      <c r="CY69" s="37"/>
      <c r="CZ69" s="37"/>
      <c r="DA69" s="37"/>
      <c r="DB69" s="37"/>
      <c r="DC69" s="37"/>
      <c r="DD69" s="37"/>
      <c r="DE69" s="37"/>
      <c r="DF69" s="37"/>
      <c r="DG69" s="37"/>
      <c r="DH69" s="37"/>
    </row>
    <row r="70" spans="84:112" x14ac:dyDescent="0.25">
      <c r="CM70" s="37"/>
      <c r="CN70" s="37"/>
      <c r="CO70" s="37"/>
      <c r="CP70" s="37"/>
      <c r="CQ70" s="37"/>
      <c r="CR70" s="37"/>
      <c r="CS70" s="37"/>
      <c r="CT70" s="37"/>
      <c r="CU70" s="37"/>
      <c r="CV70" s="37"/>
      <c r="CW70" s="37"/>
      <c r="CX70" s="37"/>
      <c r="CY70" s="37"/>
      <c r="CZ70" s="37"/>
      <c r="DA70" s="37"/>
      <c r="DB70" s="37"/>
      <c r="DC70" s="37"/>
      <c r="DD70" s="37"/>
      <c r="DE70" s="37"/>
      <c r="DF70" s="37"/>
      <c r="DG70" s="37"/>
      <c r="DH70" s="37"/>
    </row>
    <row r="71" spans="84:112" x14ac:dyDescent="0.25">
      <c r="CM71" s="37"/>
      <c r="CN71" s="37"/>
      <c r="CO71" s="37"/>
      <c r="CP71" s="37"/>
      <c r="CQ71" s="37"/>
      <c r="CR71" s="37"/>
      <c r="CS71" s="37"/>
      <c r="CT71" s="37"/>
      <c r="CU71" s="37"/>
      <c r="CV71" s="37"/>
      <c r="CW71" s="37"/>
      <c r="CX71" s="37"/>
      <c r="CY71" s="37"/>
      <c r="CZ71" s="37"/>
      <c r="DA71" s="37"/>
      <c r="DB71" s="37"/>
      <c r="DC71" s="37"/>
      <c r="DD71" s="37"/>
      <c r="DE71" s="37"/>
      <c r="DF71" s="37"/>
      <c r="DG71" s="37"/>
      <c r="DH71" s="37"/>
    </row>
    <row r="72" spans="84:112" x14ac:dyDescent="0.25">
      <c r="CF72" s="41"/>
      <c r="CG72" s="41"/>
      <c r="CH72" s="41"/>
      <c r="CI72" s="41"/>
      <c r="CJ72" s="41"/>
      <c r="CK72" s="41"/>
      <c r="CL72" s="41"/>
      <c r="DB72" s="37"/>
      <c r="DC72" s="37"/>
      <c r="DD72" s="37"/>
      <c r="DE72" s="37"/>
      <c r="DF72" s="37"/>
      <c r="DG72" s="37"/>
      <c r="DH72" s="37"/>
    </row>
    <row r="73" spans="84:112" x14ac:dyDescent="0.25">
      <c r="CF73" s="41"/>
      <c r="CG73" s="41"/>
      <c r="CH73" s="41"/>
      <c r="CI73" s="41"/>
      <c r="CJ73" s="41"/>
      <c r="CK73" s="41"/>
      <c r="CL73" s="41"/>
      <c r="DB73" s="37"/>
      <c r="DC73" s="37"/>
      <c r="DD73" s="37"/>
      <c r="DE73" s="37"/>
      <c r="DF73" s="37"/>
      <c r="DG73" s="37"/>
      <c r="DH73" s="37"/>
    </row>
    <row r="74" spans="84:112" x14ac:dyDescent="0.25">
      <c r="CF74" s="41"/>
      <c r="CG74" s="41"/>
      <c r="CH74" s="41"/>
      <c r="CI74" s="41"/>
      <c r="CJ74" s="41"/>
      <c r="CK74" s="41"/>
      <c r="CL74" s="41"/>
      <c r="DB74" s="37"/>
      <c r="DC74" s="37"/>
      <c r="DD74" s="37"/>
      <c r="DE74" s="37"/>
      <c r="DF74" s="37"/>
      <c r="DG74" s="37"/>
      <c r="DH74" s="37"/>
    </row>
    <row r="75" spans="84:112" x14ac:dyDescent="0.25">
      <c r="CF75" s="41"/>
      <c r="CG75" s="41"/>
      <c r="CH75" s="41"/>
      <c r="CI75" s="41"/>
      <c r="CJ75" s="41"/>
      <c r="CK75" s="41"/>
      <c r="CL75" s="41"/>
      <c r="DB75" s="37"/>
      <c r="DC75" s="37"/>
      <c r="DD75" s="37"/>
      <c r="DE75" s="37"/>
      <c r="DF75" s="37"/>
      <c r="DG75" s="37"/>
      <c r="DH75" s="37"/>
    </row>
    <row r="76" spans="84:112" x14ac:dyDescent="0.25">
      <c r="CF76" s="41"/>
      <c r="CG76" s="41"/>
      <c r="CH76" s="41"/>
      <c r="CI76" s="41"/>
      <c r="CJ76" s="41"/>
      <c r="CK76" s="41"/>
      <c r="CL76" s="41"/>
      <c r="DB76" s="37"/>
      <c r="DC76" s="37"/>
      <c r="DD76" s="37"/>
      <c r="DE76" s="37"/>
      <c r="DF76" s="37"/>
      <c r="DG76" s="37"/>
      <c r="DH76" s="37"/>
    </row>
    <row r="77" spans="84:112" x14ac:dyDescent="0.25">
      <c r="CF77" s="41"/>
      <c r="CG77" s="41"/>
      <c r="CH77" s="41"/>
      <c r="CI77" s="41"/>
      <c r="CJ77" s="41"/>
      <c r="CK77" s="41"/>
      <c r="CL77" s="41"/>
      <c r="DB77" s="37"/>
      <c r="DC77" s="37"/>
      <c r="DD77" s="37"/>
      <c r="DE77" s="37"/>
      <c r="DF77" s="37"/>
      <c r="DG77" s="37"/>
      <c r="DH77" s="37"/>
    </row>
    <row r="78" spans="84:112" x14ac:dyDescent="0.25">
      <c r="CF78" s="41"/>
      <c r="CG78" s="41"/>
      <c r="CH78" s="41"/>
      <c r="CI78" s="41"/>
      <c r="CJ78" s="41"/>
      <c r="CK78" s="41"/>
      <c r="CL78" s="41"/>
      <c r="DB78" s="37"/>
      <c r="DC78" s="37"/>
      <c r="DD78" s="37"/>
      <c r="DE78" s="37"/>
      <c r="DF78" s="37"/>
      <c r="DG78" s="37"/>
      <c r="DH78" s="37"/>
    </row>
    <row r="79" spans="84:112" x14ac:dyDescent="0.25">
      <c r="CF79" s="41"/>
      <c r="CG79" s="41"/>
      <c r="CH79" s="41"/>
      <c r="CI79" s="41"/>
      <c r="CJ79" s="41"/>
      <c r="CK79" s="41"/>
      <c r="CL79" s="41"/>
      <c r="DB79" s="37"/>
      <c r="DC79" s="37"/>
      <c r="DD79" s="37"/>
      <c r="DE79" s="37"/>
      <c r="DF79" s="37"/>
      <c r="DG79" s="37"/>
      <c r="DH79" s="37"/>
    </row>
    <row r="80" spans="84:112" x14ac:dyDescent="0.25">
      <c r="CF80" s="41"/>
      <c r="CG80" s="41"/>
      <c r="CH80" s="41"/>
      <c r="CI80" s="41"/>
      <c r="CJ80" s="41"/>
      <c r="CK80" s="41"/>
      <c r="CL80" s="41"/>
      <c r="DB80" s="37"/>
      <c r="DC80" s="37"/>
      <c r="DD80" s="37"/>
      <c r="DE80" s="37"/>
      <c r="DF80" s="37"/>
      <c r="DG80" s="37"/>
      <c r="DH80" s="37"/>
    </row>
    <row r="81" spans="84:112" x14ac:dyDescent="0.25">
      <c r="CF81" s="41"/>
      <c r="CG81" s="41"/>
      <c r="CH81" s="41"/>
      <c r="CI81" s="41"/>
      <c r="CJ81" s="41"/>
      <c r="CK81" s="41"/>
      <c r="CL81" s="41"/>
      <c r="DB81" s="37"/>
      <c r="DC81" s="37"/>
      <c r="DD81" s="37"/>
      <c r="DE81" s="37"/>
      <c r="DF81" s="37"/>
      <c r="DG81" s="37"/>
      <c r="DH81" s="37"/>
    </row>
    <row r="82" spans="84:112" x14ac:dyDescent="0.25">
      <c r="CF82" s="41"/>
      <c r="CG82" s="41"/>
      <c r="CH82" s="41"/>
      <c r="CI82" s="41"/>
      <c r="CJ82" s="41"/>
      <c r="CK82" s="41"/>
      <c r="CL82" s="41"/>
      <c r="DB82" s="37"/>
      <c r="DC82" s="37"/>
      <c r="DD82" s="37"/>
      <c r="DE82" s="37"/>
      <c r="DF82" s="37"/>
      <c r="DG82" s="37"/>
      <c r="DH82" s="37"/>
    </row>
    <row r="83" spans="84:112" x14ac:dyDescent="0.25">
      <c r="CF83" s="41"/>
      <c r="CG83" s="41"/>
      <c r="CH83" s="41"/>
      <c r="CI83" s="41"/>
      <c r="CJ83" s="41"/>
      <c r="CK83" s="41"/>
      <c r="CL83" s="41"/>
      <c r="DB83" s="37"/>
      <c r="DC83" s="37"/>
      <c r="DD83" s="37"/>
      <c r="DE83" s="37"/>
      <c r="DF83" s="37"/>
      <c r="DG83" s="37"/>
      <c r="DH83" s="37"/>
    </row>
    <row r="84" spans="84:112" x14ac:dyDescent="0.25">
      <c r="CF84" s="41"/>
      <c r="CG84" s="41"/>
      <c r="CH84" s="41"/>
      <c r="CI84" s="41"/>
      <c r="CJ84" s="41"/>
      <c r="CK84" s="41"/>
      <c r="CL84" s="41"/>
      <c r="DB84" s="37"/>
      <c r="DC84" s="37"/>
      <c r="DD84" s="37"/>
      <c r="DE84" s="37"/>
      <c r="DF84" s="37"/>
      <c r="DG84" s="37"/>
      <c r="DH84" s="37"/>
    </row>
    <row r="85" spans="84:112" x14ac:dyDescent="0.25">
      <c r="CF85" s="41"/>
      <c r="CG85" s="41"/>
      <c r="CH85" s="41"/>
      <c r="CI85" s="41"/>
      <c r="CJ85" s="41"/>
      <c r="CK85" s="41"/>
      <c r="CL85" s="41"/>
      <c r="DB85" s="37"/>
      <c r="DC85" s="37"/>
      <c r="DD85" s="37"/>
      <c r="DE85" s="37"/>
      <c r="DF85" s="37"/>
      <c r="DG85" s="37"/>
      <c r="DH85" s="37"/>
    </row>
    <row r="86" spans="84:112" x14ac:dyDescent="0.25">
      <c r="CF86" s="41"/>
      <c r="CG86" s="41"/>
      <c r="CH86" s="41"/>
      <c r="CI86" s="41"/>
      <c r="CJ86" s="41"/>
      <c r="CK86" s="41"/>
      <c r="CL86" s="41"/>
      <c r="DB86" s="37"/>
      <c r="DC86" s="37"/>
      <c r="DD86" s="37"/>
      <c r="DE86" s="37"/>
      <c r="DF86" s="37"/>
      <c r="DG86" s="37"/>
      <c r="DH86" s="37"/>
    </row>
    <row r="87" spans="84:112" x14ac:dyDescent="0.25">
      <c r="CF87" s="41"/>
      <c r="CG87" s="41"/>
      <c r="CH87" s="41"/>
      <c r="CI87" s="41"/>
      <c r="CJ87" s="41"/>
      <c r="CK87" s="41"/>
      <c r="CL87" s="41"/>
      <c r="DB87" s="37"/>
      <c r="DC87" s="37"/>
      <c r="DD87" s="37"/>
      <c r="DE87" s="37"/>
      <c r="DF87" s="37"/>
      <c r="DG87" s="37"/>
      <c r="DH87" s="37"/>
    </row>
    <row r="88" spans="84:112" x14ac:dyDescent="0.25">
      <c r="CF88" s="41"/>
      <c r="CG88" s="41"/>
      <c r="CH88" s="41"/>
      <c r="CI88" s="41"/>
      <c r="CJ88" s="41"/>
      <c r="CK88" s="41"/>
      <c r="CL88" s="41"/>
      <c r="DB88" s="37"/>
      <c r="DC88" s="37"/>
      <c r="DD88" s="37"/>
      <c r="DE88" s="37"/>
      <c r="DF88" s="37"/>
      <c r="DG88" s="37"/>
      <c r="DH88" s="37"/>
    </row>
    <row r="89" spans="84:112" x14ac:dyDescent="0.25">
      <c r="CF89" s="41"/>
      <c r="CG89" s="41"/>
      <c r="CH89" s="41"/>
      <c r="CI89" s="41"/>
      <c r="CJ89" s="41"/>
      <c r="CK89" s="41"/>
      <c r="CL89" s="41"/>
      <c r="DB89" s="37"/>
      <c r="DC89" s="37"/>
      <c r="DD89" s="37"/>
      <c r="DE89" s="37"/>
      <c r="DF89" s="37"/>
      <c r="DG89" s="37"/>
      <c r="DH89" s="37"/>
    </row>
    <row r="90" spans="84:112" x14ac:dyDescent="0.25">
      <c r="CF90" s="41"/>
      <c r="CG90" s="41"/>
      <c r="CH90" s="41"/>
      <c r="CI90" s="41"/>
      <c r="CJ90" s="41"/>
      <c r="CK90" s="41"/>
      <c r="CL90" s="41"/>
      <c r="DB90" s="37"/>
      <c r="DC90" s="37"/>
      <c r="DD90" s="37"/>
      <c r="DE90" s="37"/>
      <c r="DF90" s="37"/>
      <c r="DG90" s="37"/>
      <c r="DH90" s="37"/>
    </row>
    <row r="91" spans="84:112" x14ac:dyDescent="0.25">
      <c r="CF91" s="41"/>
      <c r="CG91" s="41"/>
      <c r="CH91" s="41"/>
      <c r="CI91" s="41"/>
      <c r="CJ91" s="41"/>
      <c r="CK91" s="41"/>
      <c r="CL91" s="41"/>
      <c r="DB91" s="37"/>
      <c r="DC91" s="37"/>
      <c r="DD91" s="37"/>
      <c r="DE91" s="37"/>
      <c r="DF91" s="37"/>
      <c r="DG91" s="37"/>
      <c r="DH91" s="37"/>
    </row>
    <row r="92" spans="84:112" x14ac:dyDescent="0.25">
      <c r="CF92" s="41"/>
      <c r="CG92" s="41"/>
      <c r="CH92" s="41"/>
      <c r="CI92" s="41"/>
      <c r="CJ92" s="41"/>
      <c r="CK92" s="41"/>
      <c r="CL92" s="41"/>
      <c r="DB92" s="37"/>
      <c r="DC92" s="37"/>
      <c r="DD92" s="37"/>
      <c r="DE92" s="37"/>
      <c r="DF92" s="37"/>
      <c r="DG92" s="37"/>
      <c r="DH92" s="37"/>
    </row>
  </sheetData>
  <conditionalFormatting sqref="I56:I1048576">
    <cfRule type="cellIs" dxfId="171" priority="35" operator="greaterThan">
      <formula>0</formula>
    </cfRule>
    <cfRule type="cellIs" dxfId="170" priority="36" operator="lessThan">
      <formula>0</formula>
    </cfRule>
  </conditionalFormatting>
  <conditionalFormatting sqref="AV7:AV38 AV40:AV54 AT7:AT55">
    <cfRule type="cellIs" dxfId="169" priority="29" operator="equal">
      <formula>"6-Retiré/Abandon"</formula>
    </cfRule>
    <cfRule type="cellIs" dxfId="168" priority="30" operator="equal">
      <formula>"5-Défavorable"</formula>
    </cfRule>
    <cfRule type="cellIs" dxfId="167" priority="31" operator="equal">
      <formula>"4-Ajournement"</formula>
    </cfRule>
    <cfRule type="cellIs" dxfId="166" priority="32" operator="equal">
      <formula>"1-Favorable"</formula>
    </cfRule>
  </conditionalFormatting>
  <dataValidations count="1">
    <dataValidation type="list" allowBlank="1" showInputMessage="1" showErrorMessage="1" sqref="AT7:AT54">
      <formula1>"1-Favorable,4-Ajournement,5-Défavorable,6-Retiré/Abandon"</formula1>
    </dataValidation>
  </dataValidations>
  <printOptions horizontalCentered="1" verticalCentered="1"/>
  <pageMargins left="0.25" right="0.25" top="0.75" bottom="0.75" header="0.3" footer="0.3"/>
  <pageSetup paperSize="8" scale="59" fitToHeight="0" orientation="landscape" r:id="rId1"/>
  <drawing r:id="rId2"/>
  <tableParts count="2">
    <tablePart r:id="rId3"/>
    <tablePart r:id="rId4"/>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L37"/>
  <sheetViews>
    <sheetView workbookViewId="0">
      <selection activeCell="L7" sqref="L7"/>
    </sheetView>
  </sheetViews>
  <sheetFormatPr baseColWidth="10" defaultRowHeight="15" outlineLevelRow="1" x14ac:dyDescent="0.25"/>
  <cols>
    <col min="3" max="3" width="13.7109375" bestFit="1" customWidth="1"/>
    <col min="4" max="4" width="12.140625" bestFit="1" customWidth="1"/>
    <col min="11" max="17" width="11.42578125" customWidth="1"/>
  </cols>
  <sheetData>
    <row r="5" spans="1:12" x14ac:dyDescent="0.25">
      <c r="A5" s="108"/>
      <c r="B5" s="108"/>
      <c r="C5" s="108"/>
      <c r="D5" s="1"/>
      <c r="L5" s="23">
        <v>42523</v>
      </c>
    </row>
    <row r="6" spans="1:12" x14ac:dyDescent="0.25">
      <c r="D6" s="14"/>
      <c r="L6" s="14">
        <f>SUM(L14,L9,L8,L7)</f>
        <v>5444013.9800000004</v>
      </c>
    </row>
    <row r="7" spans="1:12" x14ac:dyDescent="0.25">
      <c r="D7" s="14"/>
      <c r="K7" t="s">
        <v>112</v>
      </c>
      <c r="L7" s="14">
        <f>Bois!E30+'Reprog (en cours)'!BB31+Pierre!E29+Attractivité!E29+Biodiversité!E33+Agriculture!E19+Tourisme!E22+'AT-Ing Terr'!E21</f>
        <v>2747836.58</v>
      </c>
    </row>
    <row r="8" spans="1:12" x14ac:dyDescent="0.25">
      <c r="D8" s="14"/>
      <c r="K8" t="s">
        <v>56</v>
      </c>
      <c r="L8" s="14">
        <f>Bois!E31+'Reprog (en cours)'!BB32+Pierre!E30+Attractivité!E30+Biodiversité!E34+Agriculture!E20+Tourisme!E23+'AT-Ing Terr'!E22</f>
        <v>2176099.42</v>
      </c>
    </row>
    <row r="9" spans="1:12" x14ac:dyDescent="0.25">
      <c r="D9" s="14"/>
      <c r="K9" t="s">
        <v>57</v>
      </c>
      <c r="L9" s="14">
        <f>Bois!E32+'Reprog (en cours)'!BB33+Pierre!E31+Attractivité!E31+Biodiversité!E35+Agriculture!E21+Tourisme!E24+'AT-Ing Terr'!E23</f>
        <v>470038.73</v>
      </c>
    </row>
    <row r="10" spans="1:12" hidden="1" outlineLevel="1" x14ac:dyDescent="0.25">
      <c r="C10" s="18"/>
      <c r="D10" s="19"/>
      <c r="K10" s="18" t="s">
        <v>113</v>
      </c>
      <c r="L10" s="19">
        <f>Bois!E33+'Reprog (en cours)'!BB34+Pierre!E32+Attractivité!E32+Biodiversité!E36+Agriculture!E22+Tourisme!E25+'AT-Ing Terr'!E24</f>
        <v>87595.94</v>
      </c>
    </row>
    <row r="11" spans="1:12" hidden="1" outlineLevel="1" x14ac:dyDescent="0.25">
      <c r="C11" s="18"/>
      <c r="D11" s="19"/>
      <c r="K11" s="18" t="s">
        <v>114</v>
      </c>
      <c r="L11" s="19">
        <f>Bois!E34+'Reprog (en cours)'!BB35+Pierre!E33+Attractivité!E33+Biodiversité!E37+Agriculture!E23+Tourisme!E26+'AT-Ing Terr'!E25</f>
        <v>191520.28</v>
      </c>
    </row>
    <row r="12" spans="1:12" hidden="1" outlineLevel="1" x14ac:dyDescent="0.25">
      <c r="C12" s="18"/>
      <c r="D12" s="19"/>
      <c r="K12" s="18" t="s">
        <v>115</v>
      </c>
      <c r="L12" s="19">
        <f>Bois!E35+'Reprog (en cours)'!BB36+Pierre!E34+Attractivité!E34+Biodiversité!E38+Agriculture!E24+Tourisme!E27+'AT-Ing Terr'!E26</f>
        <v>15200</v>
      </c>
    </row>
    <row r="13" spans="1:12" hidden="1" outlineLevel="1" x14ac:dyDescent="0.25">
      <c r="C13" s="18"/>
      <c r="D13" s="19"/>
      <c r="K13" s="18" t="s">
        <v>116</v>
      </c>
      <c r="L13" s="19">
        <f>Bois!E36+'Reprog (en cours)'!BB37+Pierre!E35+Attractivité!E35+Biodiversité!E39+Agriculture!E25+Tourisme!E28+'AT-Ing Terr'!E27</f>
        <v>175722.50999999998</v>
      </c>
    </row>
    <row r="14" spans="1:12" collapsed="1" x14ac:dyDescent="0.25">
      <c r="D14" s="14"/>
      <c r="K14" t="s">
        <v>58</v>
      </c>
      <c r="L14" s="14">
        <f>Bois!E37+'Reprog (en cours)'!BB38+Pierre!E36+Attractivité!E36+Biodiversité!E40+Agriculture!E26+Tourisme!E29+'AT-Ing Terr'!E28</f>
        <v>50039.25</v>
      </c>
    </row>
    <row r="15" spans="1:12" hidden="1" outlineLevel="1" x14ac:dyDescent="0.25">
      <c r="C15" s="18"/>
      <c r="D15" s="19"/>
      <c r="K15" s="18" t="s">
        <v>32</v>
      </c>
      <c r="L15" s="14">
        <f>Bois!E38+'Reprog (en cours)'!BB39+Pierre!E37+Attractivité!E37+Biodiversité!E41+Agriculture!E27+Tourisme!E30+'AT-Ing Terr'!E29</f>
        <v>0</v>
      </c>
    </row>
    <row r="16" spans="1:12" hidden="1" outlineLevel="1" x14ac:dyDescent="0.25">
      <c r="C16" s="18"/>
      <c r="D16" s="19"/>
      <c r="K16" s="18" t="s">
        <v>33</v>
      </c>
      <c r="L16" s="14" t="e">
        <f>Bois!E39+'Reprog (en cours)'!#REF!+Pierre!E38+Attractivité!E38+Biodiversité!E42+Agriculture!E28+Tourisme!E31+'AT-Ing Terr'!E30</f>
        <v>#REF!</v>
      </c>
    </row>
    <row r="17" spans="3:12" hidden="1" outlineLevel="1" x14ac:dyDescent="0.25">
      <c r="C17" s="18"/>
      <c r="D17" s="19"/>
      <c r="K17" s="18" t="s">
        <v>34</v>
      </c>
      <c r="L17" s="14">
        <f>Bois!E40+'Reprog (en cours)'!BB40+Pierre!E39+Attractivité!E39+Biodiversité!E43+Agriculture!E29+Tourisme!E32+'AT-Ing Terr'!E31</f>
        <v>0</v>
      </c>
    </row>
    <row r="18" spans="3:12" hidden="1" outlineLevel="1" x14ac:dyDescent="0.25">
      <c r="C18" s="18"/>
      <c r="D18" s="19"/>
      <c r="K18" s="18" t="s">
        <v>35</v>
      </c>
      <c r="L18" s="14">
        <f>Bois!E41+'Reprog (en cours)'!BB41+Pierre!E40+Attractivité!E40+Biodiversité!E44+Agriculture!E30+Tourisme!E33+'AT-Ing Terr'!E32</f>
        <v>0</v>
      </c>
    </row>
    <row r="19" spans="3:12" hidden="1" outlineLevel="1" x14ac:dyDescent="0.25">
      <c r="C19" s="18"/>
      <c r="D19" s="19"/>
      <c r="K19" s="18" t="s">
        <v>36</v>
      </c>
      <c r="L19" s="14">
        <f>Bois!E42+'Reprog (en cours)'!BB42+Pierre!E41+Attractivité!E41+Biodiversité!E45+Agriculture!E31+Tourisme!E34+'AT-Ing Terr'!E33</f>
        <v>0</v>
      </c>
    </row>
    <row r="20" spans="3:12" hidden="1" outlineLevel="1" x14ac:dyDescent="0.25">
      <c r="C20" s="18"/>
      <c r="D20" s="19"/>
      <c r="K20" s="18" t="s">
        <v>37</v>
      </c>
      <c r="L20" s="14">
        <f>Bois!E43+'Reprog (en cours)'!BB43+Pierre!E42+Attractivité!E42+Biodiversité!E46+Agriculture!E32+Tourisme!E35+'AT-Ing Terr'!E34</f>
        <v>4000</v>
      </c>
    </row>
    <row r="21" spans="3:12" hidden="1" outlineLevel="1" x14ac:dyDescent="0.25">
      <c r="C21" s="18"/>
      <c r="D21" s="19"/>
      <c r="K21" s="18" t="s">
        <v>38</v>
      </c>
      <c r="L21" s="14">
        <f>Bois!E44+'Reprog (en cours)'!BB44+Pierre!E43+Attractivité!E43+Biodiversité!E47+Agriculture!E33+Tourisme!E36+'AT-Ing Terr'!E35</f>
        <v>0</v>
      </c>
    </row>
    <row r="22" spans="3:12" hidden="1" outlineLevel="1" x14ac:dyDescent="0.25">
      <c r="C22" s="18"/>
      <c r="D22" s="19"/>
      <c r="K22" s="18" t="s">
        <v>39</v>
      </c>
      <c r="L22" s="14">
        <f>Bois!E45+'Reprog (en cours)'!BB45+Pierre!E44+Attractivité!E44+Biodiversité!E48+Agriculture!E34+Tourisme!E37+'AT-Ing Terr'!E36</f>
        <v>0</v>
      </c>
    </row>
    <row r="23" spans="3:12" hidden="1" outlineLevel="1" x14ac:dyDescent="0.25">
      <c r="C23" s="18"/>
      <c r="D23" s="19"/>
      <c r="K23" s="18" t="s">
        <v>40</v>
      </c>
      <c r="L23" s="14">
        <f>Bois!E46+'Reprog (en cours)'!BB46+Pierre!E45+Attractivité!E45+Biodiversité!E49+Agriculture!E35+Tourisme!E38+'AT-Ing Terr'!E37</f>
        <v>0</v>
      </c>
    </row>
    <row r="24" spans="3:12" hidden="1" outlineLevel="1" x14ac:dyDescent="0.25">
      <c r="C24" s="18"/>
      <c r="D24" s="19"/>
      <c r="K24" s="18" t="s">
        <v>41</v>
      </c>
      <c r="L24" s="14">
        <f>Bois!E47+'Reprog (en cours)'!BB47+Pierre!E46+Attractivité!E46+Biodiversité!E50+Agriculture!E36+Tourisme!E39+'AT-Ing Terr'!E38</f>
        <v>0</v>
      </c>
    </row>
    <row r="25" spans="3:12" hidden="1" outlineLevel="1" x14ac:dyDescent="0.25">
      <c r="C25" s="18"/>
      <c r="D25" s="19"/>
      <c r="K25" s="18" t="s">
        <v>42</v>
      </c>
      <c r="L25" s="14">
        <f>Bois!E48+'Reprog (en cours)'!BB48+Pierre!E47+Attractivité!E47+Biodiversité!E51+Agriculture!E37+Tourisme!E40+'AT-Ing Terr'!E39</f>
        <v>0</v>
      </c>
    </row>
    <row r="26" spans="3:12" hidden="1" outlineLevel="1" x14ac:dyDescent="0.25">
      <c r="C26" s="18"/>
      <c r="D26" s="19"/>
      <c r="K26" s="18" t="s">
        <v>43</v>
      </c>
      <c r="L26" s="14">
        <f>Bois!E49+'Reprog (en cours)'!BB49+Pierre!E48+Attractivité!E48+Biodiversité!E52+Agriculture!E38+Tourisme!E41+'AT-Ing Terr'!E40</f>
        <v>0</v>
      </c>
    </row>
    <row r="27" spans="3:12" hidden="1" outlineLevel="1" x14ac:dyDescent="0.25">
      <c r="C27" s="18"/>
      <c r="D27" s="19"/>
      <c r="K27" s="18" t="s">
        <v>44</v>
      </c>
      <c r="L27" s="14">
        <f>Bois!E50+'Reprog (en cours)'!BB50+Pierre!E49+Attractivité!E49+Biodiversité!E53+Agriculture!E39+Tourisme!E42+'AT-Ing Terr'!E41</f>
        <v>16500</v>
      </c>
    </row>
    <row r="28" spans="3:12" hidden="1" outlineLevel="1" x14ac:dyDescent="0.25">
      <c r="C28" s="18"/>
      <c r="D28" s="19"/>
      <c r="K28" s="18" t="s">
        <v>45</v>
      </c>
      <c r="L28" s="14">
        <f>Bois!E51+'Reprog (en cours)'!BB51+Pierre!E50+Attractivité!E50+Biodiversité!E54+Agriculture!E40+Tourisme!E43+'AT-Ing Terr'!E42</f>
        <v>4296.25</v>
      </c>
    </row>
    <row r="29" spans="3:12" hidden="1" outlineLevel="1" x14ac:dyDescent="0.25">
      <c r="C29" s="18"/>
      <c r="D29" s="19"/>
      <c r="K29" s="18" t="s">
        <v>46</v>
      </c>
      <c r="L29" s="14">
        <f>Bois!E52+'Reprog (en cours)'!BB52+Pierre!E51+Attractivité!E51+Biodiversité!E55+Agriculture!E41+Tourisme!E44+'AT-Ing Terr'!E43</f>
        <v>0</v>
      </c>
    </row>
    <row r="30" spans="3:12" hidden="1" outlineLevel="1" x14ac:dyDescent="0.25">
      <c r="C30" s="18"/>
      <c r="D30" s="19"/>
      <c r="K30" s="18" t="s">
        <v>47</v>
      </c>
      <c r="L30" s="14">
        <f>Bois!E53+'Reprog (en cours)'!BB53+Pierre!E52+Attractivité!E52+Biodiversité!E56+Agriculture!E42+Tourisme!E45+'AT-Ing Terr'!E44</f>
        <v>0</v>
      </c>
    </row>
    <row r="31" spans="3:12" hidden="1" outlineLevel="1" x14ac:dyDescent="0.25">
      <c r="C31" s="18"/>
      <c r="D31" s="19"/>
      <c r="K31" s="18" t="s">
        <v>48</v>
      </c>
      <c r="L31" s="14">
        <f>Bois!E54+'Reprog (en cours)'!BB54+Pierre!E53+Attractivité!E53+Biodiversité!E57+Agriculture!E43+Tourisme!E46+'AT-Ing Terr'!E45</f>
        <v>0</v>
      </c>
    </row>
    <row r="32" spans="3:12" hidden="1" outlineLevel="1" x14ac:dyDescent="0.25">
      <c r="C32" s="18"/>
      <c r="D32" s="19"/>
      <c r="K32" s="18" t="s">
        <v>49</v>
      </c>
      <c r="L32" s="14">
        <f>Bois!E55+'Reprog (en cours)'!BB55+Pierre!E54+Attractivité!E54+Biodiversité!E58+Agriculture!E44+Tourisme!E47+'AT-Ing Terr'!E46</f>
        <v>0</v>
      </c>
    </row>
    <row r="33" spans="3:12" hidden="1" outlineLevel="1" x14ac:dyDescent="0.25">
      <c r="C33" s="18"/>
      <c r="D33" s="19"/>
      <c r="K33" s="18" t="s">
        <v>50</v>
      </c>
      <c r="L33" s="14">
        <f>Bois!E56+'Reprog (en cours)'!BB56+Pierre!E55+Attractivité!E55+Biodiversité!E59+Agriculture!E45+Tourisme!E48+'AT-Ing Terr'!E47</f>
        <v>6000</v>
      </c>
    </row>
    <row r="34" spans="3:12" hidden="1" outlineLevel="1" x14ac:dyDescent="0.25">
      <c r="C34" s="18"/>
      <c r="D34" s="19"/>
      <c r="K34" s="18" t="s">
        <v>51</v>
      </c>
      <c r="L34" s="14">
        <f>Bois!E57+'Reprog (en cours)'!BB57+Pierre!E56+Attractivité!E56+Biodiversité!E60+Agriculture!E46+Tourisme!E49+'AT-Ing Terr'!E48</f>
        <v>954</v>
      </c>
    </row>
    <row r="35" spans="3:12" hidden="1" outlineLevel="1" x14ac:dyDescent="0.25">
      <c r="C35" s="18"/>
      <c r="D35" s="19"/>
      <c r="K35" s="18" t="s">
        <v>52</v>
      </c>
      <c r="L35" s="14">
        <f>Bois!E58+'Reprog (en cours)'!BB58+Pierre!E57+Attractivité!E57+Biodiversité!E61+Agriculture!E47+Tourisme!E50+'AT-Ing Terr'!E49</f>
        <v>0</v>
      </c>
    </row>
    <row r="36" spans="3:12" hidden="1" outlineLevel="1" x14ac:dyDescent="0.25">
      <c r="C36" s="18"/>
      <c r="D36" s="19"/>
      <c r="K36" s="18" t="s">
        <v>53</v>
      </c>
      <c r="L36" s="14">
        <f>Bois!E59+'Reprog (en cours)'!BB59+Pierre!E58+Attractivité!E58+Biodiversité!E62+Agriculture!E48+Tourisme!E51+'AT-Ing Terr'!E50</f>
        <v>0</v>
      </c>
    </row>
    <row r="37" spans="3:12" collapsed="1" x14ac:dyDescent="0.25"/>
  </sheetData>
  <mergeCells count="1">
    <mergeCell ref="A5:C5"/>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11</vt:i4>
      </vt:variant>
      <vt:variant>
        <vt:lpstr>Plages nommées</vt:lpstr>
      </vt:variant>
      <vt:variant>
        <vt:i4>8</vt:i4>
      </vt:variant>
    </vt:vector>
  </HeadingPairs>
  <TitlesOfParts>
    <vt:vector size="19" baseType="lpstr">
      <vt:lpstr>Bois</vt:lpstr>
      <vt:lpstr>Pierre</vt:lpstr>
      <vt:lpstr>Attractivité</vt:lpstr>
      <vt:lpstr>Biodiversité</vt:lpstr>
      <vt:lpstr>Agriculture</vt:lpstr>
      <vt:lpstr>Tourisme</vt:lpstr>
      <vt:lpstr>AT-Ing Terr</vt:lpstr>
      <vt:lpstr>Reprog (en cours)</vt:lpstr>
      <vt:lpstr>Recap Financier</vt:lpstr>
      <vt:lpstr>Reprog 2007-2013</vt:lpstr>
      <vt:lpstr>Feuil2</vt:lpstr>
      <vt:lpstr>'Reprog (en cours)'!Impression_des_titres</vt:lpstr>
      <vt:lpstr>Agriculture!Zone_d_impression</vt:lpstr>
      <vt:lpstr>'AT-Ing Terr'!Zone_d_impression</vt:lpstr>
      <vt:lpstr>Attractivité!Zone_d_impression</vt:lpstr>
      <vt:lpstr>Biodiversité!Zone_d_impression</vt:lpstr>
      <vt:lpstr>Bois!Zone_d_impression</vt:lpstr>
      <vt:lpstr>Pierre!Zone_d_impression</vt:lpstr>
      <vt:lpstr>Tourisme!Zone_d_impression</vt:lpstr>
    </vt:vector>
  </TitlesOfParts>
  <Company>cra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pe.melac</dc:creator>
  <cp:lastModifiedBy>c.marie</cp:lastModifiedBy>
  <cp:lastPrinted>2016-06-03T11:53:35Z</cp:lastPrinted>
  <dcterms:created xsi:type="dcterms:W3CDTF">2016-01-13T16:44:12Z</dcterms:created>
  <dcterms:modified xsi:type="dcterms:W3CDTF">2016-08-12T08:04:54Z</dcterms:modified>
</cp:coreProperties>
</file>