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270" windowWidth="15480" windowHeight="6900"/>
  </bookViews>
  <sheets>
    <sheet name="AAP Accueil" sheetId="2" r:id="rId1"/>
    <sheet name="PPN structurés" sheetId="13" r:id="rId2"/>
    <sheet name="PPN Emergents" sheetId="6" r:id="rId3"/>
    <sheet name="Fil de l'eau" sheetId="8" r:id="rId4"/>
    <sheet name="Fil eau Proj" sheetId="11" state="hidden" r:id="rId5"/>
    <sheet name="recap" sheetId="12" r:id="rId6"/>
  </sheets>
  <definedNames>
    <definedName name="_xlnm.Print_Titles" localSheetId="3">'Fil de l''eau'!$43:$43</definedName>
    <definedName name="Lancer_la_requête_à_partir_de_Export_Bdossiers" localSheetId="0" hidden="1">'AAP Accueil'!$A$5:$BC$37</definedName>
    <definedName name="Lancer_la_requête_à_partir_de_Export_Bdossiers" localSheetId="3" hidden="1">'Fil de l''eau'!#REF!</definedName>
    <definedName name="Lancer_la_requête_à_partir_de_Export_Bdossiers" localSheetId="2" hidden="1">'PPN Emergents'!$A$8:$BC$19</definedName>
    <definedName name="Lancer_la_requête_à_partir_de_Export_Bdossiers" localSheetId="1" hidden="1">'PPN structurés'!$A$6:$E$13</definedName>
    <definedName name="Lancer_la_requête_à_partir_de_Export_Bdossiers_1" localSheetId="0" hidden="1">'AAP Accueil'!#REF!</definedName>
    <definedName name="Lancer_la_requête_à_partir_de_Export_Bdossiers_1" localSheetId="3" hidden="1">'Fil de l''eau'!#REF!</definedName>
    <definedName name="Lancer_la_requête_à_partir_de_Export_Bdossiers_1" localSheetId="2" hidden="1">'PPN Emergents'!#REF!</definedName>
    <definedName name="Lancer_la_requête_à_partir_de_Export_Bdossiers_1" localSheetId="1" hidden="1">'PPN structurés'!#REF!</definedName>
    <definedName name="Lancer_la_requête_à_partir_de_Export_Bdossiers_10" localSheetId="3" hidden="1">'Fil de l''eau'!#REF!</definedName>
    <definedName name="Lancer_la_requête_à_partir_de_Export_Bdossiers_2" localSheetId="0" hidden="1">'AAP Accueil'!$A$43:$BC$46</definedName>
    <definedName name="Lancer_la_requête_à_partir_de_Export_Bdossiers_2" localSheetId="3" hidden="1">'Fil de l''eau'!#REF!</definedName>
    <definedName name="Lancer_la_requête_à_partir_de_Export_Bdossiers_2" localSheetId="2" hidden="1">'PPN Emergents'!#REF!</definedName>
    <definedName name="Lancer_la_requête_à_partir_de_Export_Bdossiers_2" localSheetId="1" hidden="1">'PPN structurés'!#REF!</definedName>
    <definedName name="Lancer_la_requête_à_partir_de_Export_Bdossiers_3" localSheetId="3" hidden="1">'Fil de l''eau'!#REF!</definedName>
    <definedName name="Lancer_la_requête_à_partir_de_Export_Bdossiers_3" localSheetId="2" hidden="1">'PPN Emergents'!#REF!</definedName>
    <definedName name="Lancer_la_requête_à_partir_de_Export_Bdossiers_3" localSheetId="1" hidden="1">'PPN structurés'!#REF!</definedName>
    <definedName name="Lancer_la_requête_à_partir_de_Export_Bdossiers_4" localSheetId="3" hidden="1">'Fil de l''eau'!#REF!</definedName>
    <definedName name="Lancer_la_requête_à_partir_de_Export_Bdossiers_4" localSheetId="2" hidden="1">'PPN Emergents'!#REF!</definedName>
    <definedName name="Lancer_la_requête_à_partir_de_Export_Bdossiers_4" localSheetId="1" hidden="1">'PPN structurés'!$A$18:$E$24</definedName>
    <definedName name="Lancer_la_requête_à_partir_de_Export_Bdossiers_5" localSheetId="3" hidden="1">'Fil de l''eau'!$A$90:$BD$91</definedName>
    <definedName name="Lancer_la_requête_à_partir_de_Export_Bdossiers_5" localSheetId="2" hidden="1">'PPN Emergents'!$A$23:$BC$27</definedName>
    <definedName name="Lancer_la_requête_à_partir_de_Export_Bdossiers_6" localSheetId="3" hidden="1">'Fil de l''eau'!$A$62:$BD$79</definedName>
    <definedName name="Lancer_la_requête_à_partir_de_Export_Bdossiers_7" localSheetId="3" hidden="1">'Fil de l''eau'!$A$5:$BD$57</definedName>
    <definedName name="Lancer_la_requête_à_partir_de_Export_Bdossiers_8" localSheetId="3" hidden="1">'Fil de l''eau'!$A$84:$BD$85</definedName>
    <definedName name="Lancer_la_requête_à_partir_de_Export_Bdossiers_9" localSheetId="3" hidden="1">'Fil de l''eau'!#REF!</definedName>
    <definedName name="_xlnm.Print_Area" localSheetId="3">'Fil de l''eau'!$A$1:$BE$86</definedName>
    <definedName name="_xlnm.Print_Area" localSheetId="2">'PPN Emergents'!$A$1:$BC$28</definedName>
    <definedName name="_xlnm.Print_Area" localSheetId="1">'PPN structurés'!$A$1:$BA$30</definedName>
  </definedNames>
  <calcPr calcId="145621"/>
</workbook>
</file>

<file path=xl/calcChain.xml><?xml version="1.0" encoding="utf-8"?>
<calcChain xmlns="http://schemas.openxmlformats.org/spreadsheetml/2006/main">
  <c r="P15" i="8" l="1"/>
  <c r="L7" i="8"/>
  <c r="L8" i="8"/>
  <c r="L9" i="8"/>
  <c r="L10" i="8"/>
  <c r="L11" i="8"/>
  <c r="O7" i="8"/>
  <c r="O8" i="8"/>
  <c r="O9" i="8"/>
  <c r="O10" i="8"/>
  <c r="O11" i="8"/>
  <c r="O12" i="8"/>
  <c r="O6" i="8"/>
  <c r="Q14" i="8" l="1"/>
  <c r="R14" i="8"/>
  <c r="S14" i="8"/>
  <c r="T14" i="8"/>
  <c r="U14" i="8"/>
  <c r="V14" i="8"/>
  <c r="X14" i="8"/>
  <c r="Y14" i="8"/>
  <c r="Z14" i="8"/>
  <c r="AA14" i="8"/>
  <c r="AB14" i="8"/>
  <c r="W14" i="8"/>
  <c r="H6" i="8"/>
  <c r="K6" i="8" s="1"/>
  <c r="L6" i="8" s="1"/>
  <c r="H7" i="8"/>
  <c r="K7" i="8" s="1"/>
  <c r="H8" i="8"/>
  <c r="I8" i="8" s="1"/>
  <c r="H9" i="8"/>
  <c r="K9" i="8" s="1"/>
  <c r="H10" i="8"/>
  <c r="I10" i="8" s="1"/>
  <c r="H11" i="8"/>
  <c r="K11" i="8" s="1"/>
  <c r="H12" i="8"/>
  <c r="I12" i="8" s="1"/>
  <c r="I7" i="8"/>
  <c r="I9" i="8"/>
  <c r="I11" i="8"/>
  <c r="G19" i="6"/>
  <c r="H19" i="6" s="1"/>
  <c r="G10" i="6"/>
  <c r="H10" i="6" s="1"/>
  <c r="G11" i="6"/>
  <c r="G12" i="6"/>
  <c r="H12" i="6" s="1"/>
  <c r="G13" i="6"/>
  <c r="G14" i="6"/>
  <c r="H14" i="6" s="1"/>
  <c r="G15" i="6"/>
  <c r="G16" i="6"/>
  <c r="H16" i="6" s="1"/>
  <c r="G17" i="6"/>
  <c r="G18" i="6"/>
  <c r="H18" i="6" s="1"/>
  <c r="H11" i="6"/>
  <c r="H13" i="6"/>
  <c r="H15" i="6"/>
  <c r="H17" i="6"/>
  <c r="G9" i="6"/>
  <c r="H9" i="6" s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6" i="2"/>
  <c r="K12" i="8" l="1"/>
  <c r="L12" i="8" s="1"/>
  <c r="K8" i="8"/>
  <c r="K10" i="8"/>
  <c r="I6" i="8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6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13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2" i="8"/>
  <c r="AC33" i="8"/>
  <c r="AC34" i="8"/>
  <c r="AC35" i="8"/>
  <c r="AC36" i="8"/>
  <c r="AC37" i="8"/>
  <c r="AC38" i="8"/>
  <c r="AC39" i="8"/>
  <c r="AC40" i="8"/>
  <c r="AC41" i="8"/>
  <c r="AC42" i="8"/>
  <c r="AC43" i="8"/>
  <c r="AC44" i="8"/>
  <c r="AC45" i="8"/>
  <c r="AC46" i="8"/>
  <c r="AC47" i="8"/>
  <c r="AC48" i="8"/>
  <c r="AC49" i="8"/>
  <c r="AC50" i="8"/>
  <c r="AC51" i="8"/>
  <c r="AC52" i="8"/>
  <c r="AC53" i="8"/>
  <c r="AC54" i="8"/>
  <c r="AC55" i="8"/>
  <c r="AC56" i="8"/>
  <c r="AC57" i="8"/>
  <c r="AC13" i="8"/>
  <c r="AC14" i="8" l="1"/>
  <c r="O13" i="8"/>
  <c r="H13" i="8" s="1"/>
  <c r="P14" i="8"/>
  <c r="O14" i="8" s="1"/>
  <c r="O56" i="8"/>
  <c r="O54" i="8"/>
  <c r="O52" i="8"/>
  <c r="O50" i="8"/>
  <c r="O48" i="8"/>
  <c r="O46" i="8"/>
  <c r="O44" i="8"/>
  <c r="O42" i="8"/>
  <c r="O40" i="8"/>
  <c r="O38" i="8"/>
  <c r="O36" i="8"/>
  <c r="O34" i="8"/>
  <c r="H34" i="8" s="1"/>
  <c r="O32" i="8"/>
  <c r="O30" i="8"/>
  <c r="H30" i="8" s="1"/>
  <c r="O28" i="8"/>
  <c r="O26" i="8"/>
  <c r="H26" i="8" s="1"/>
  <c r="O24" i="8"/>
  <c r="H24" i="8" s="1"/>
  <c r="O22" i="8"/>
  <c r="H22" i="8" s="1"/>
  <c r="O20" i="8"/>
  <c r="O18" i="8"/>
  <c r="H18" i="8" s="1"/>
  <c r="O16" i="8"/>
  <c r="O57" i="8"/>
  <c r="O55" i="8"/>
  <c r="O53" i="8"/>
  <c r="O51" i="8"/>
  <c r="O49" i="8"/>
  <c r="H49" i="8" s="1"/>
  <c r="O47" i="8"/>
  <c r="O45" i="8"/>
  <c r="O43" i="8"/>
  <c r="O41" i="8"/>
  <c r="O39" i="8"/>
  <c r="O37" i="8"/>
  <c r="O35" i="8"/>
  <c r="O33" i="8"/>
  <c r="O31" i="8"/>
  <c r="O29" i="8"/>
  <c r="O27" i="8"/>
  <c r="O25" i="8"/>
  <c r="H25" i="8" s="1"/>
  <c r="O23" i="8"/>
  <c r="H23" i="8" s="1"/>
  <c r="O21" i="8"/>
  <c r="H21" i="8" s="1"/>
  <c r="O19" i="8"/>
  <c r="O17" i="8"/>
  <c r="O15" i="8"/>
  <c r="H15" i="8" s="1"/>
  <c r="H56" i="8"/>
  <c r="H54" i="8"/>
  <c r="H52" i="8"/>
  <c r="H50" i="8"/>
  <c r="H48" i="8"/>
  <c r="H46" i="8"/>
  <c r="H44" i="8"/>
  <c r="H42" i="8"/>
  <c r="H40" i="8"/>
  <c r="H38" i="8"/>
  <c r="H36" i="8"/>
  <c r="H32" i="8"/>
  <c r="H28" i="8"/>
  <c r="H20" i="8"/>
  <c r="H16" i="8"/>
  <c r="H57" i="8"/>
  <c r="H55" i="8"/>
  <c r="H53" i="8"/>
  <c r="H51" i="8"/>
  <c r="H47" i="8"/>
  <c r="H45" i="8"/>
  <c r="H43" i="8"/>
  <c r="H41" i="8"/>
  <c r="H39" i="8"/>
  <c r="H37" i="8"/>
  <c r="H35" i="8"/>
  <c r="H33" i="8"/>
  <c r="H31" i="8"/>
  <c r="H29" i="8"/>
  <c r="H27" i="8"/>
  <c r="H19" i="8"/>
  <c r="H17" i="8"/>
  <c r="E38" i="2"/>
  <c r="F38" i="2"/>
  <c r="G38" i="2"/>
  <c r="I38" i="2"/>
  <c r="J38" i="2"/>
  <c r="L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BA38" i="2"/>
  <c r="BC38" i="2"/>
  <c r="K13" i="8" l="1"/>
  <c r="L13" i="8" s="1"/>
  <c r="I13" i="8"/>
  <c r="I17" i="8"/>
  <c r="K17" i="8"/>
  <c r="L17" i="8" s="1"/>
  <c r="I21" i="8"/>
  <c r="K21" i="8"/>
  <c r="L21" i="8" s="1"/>
  <c r="I25" i="8"/>
  <c r="K25" i="8"/>
  <c r="L25" i="8" s="1"/>
  <c r="I29" i="8"/>
  <c r="K29" i="8"/>
  <c r="L29" i="8" s="1"/>
  <c r="I33" i="8"/>
  <c r="K33" i="8"/>
  <c r="L33" i="8" s="1"/>
  <c r="I37" i="8"/>
  <c r="K37" i="8"/>
  <c r="L37" i="8" s="1"/>
  <c r="I41" i="8"/>
  <c r="K41" i="8"/>
  <c r="L41" i="8" s="1"/>
  <c r="I45" i="8"/>
  <c r="K45" i="8"/>
  <c r="L45" i="8" s="1"/>
  <c r="I49" i="8"/>
  <c r="K49" i="8"/>
  <c r="L49" i="8" s="1"/>
  <c r="I53" i="8"/>
  <c r="K53" i="8"/>
  <c r="L53" i="8" s="1"/>
  <c r="I57" i="8"/>
  <c r="K57" i="8"/>
  <c r="L57" i="8" s="1"/>
  <c r="I18" i="8"/>
  <c r="K18" i="8"/>
  <c r="L18" i="8" s="1"/>
  <c r="I22" i="8"/>
  <c r="K22" i="8"/>
  <c r="L22" i="8" s="1"/>
  <c r="I26" i="8"/>
  <c r="K26" i="8"/>
  <c r="L26" i="8" s="1"/>
  <c r="I30" i="8"/>
  <c r="K30" i="8"/>
  <c r="L30" i="8" s="1"/>
  <c r="I34" i="8"/>
  <c r="K34" i="8"/>
  <c r="L34" i="8" s="1"/>
  <c r="I38" i="8"/>
  <c r="K38" i="8"/>
  <c r="L38" i="8" s="1"/>
  <c r="I42" i="8"/>
  <c r="K42" i="8"/>
  <c r="L42" i="8" s="1"/>
  <c r="I46" i="8"/>
  <c r="K46" i="8"/>
  <c r="L46" i="8" s="1"/>
  <c r="I50" i="8"/>
  <c r="K50" i="8"/>
  <c r="L50" i="8" s="1"/>
  <c r="I54" i="8"/>
  <c r="K54" i="8"/>
  <c r="L54" i="8" s="1"/>
  <c r="I15" i="8"/>
  <c r="K15" i="8"/>
  <c r="L15" i="8" s="1"/>
  <c r="I19" i="8"/>
  <c r="K19" i="8"/>
  <c r="L19" i="8" s="1"/>
  <c r="I23" i="8"/>
  <c r="K23" i="8"/>
  <c r="L23" i="8" s="1"/>
  <c r="I27" i="8"/>
  <c r="K27" i="8"/>
  <c r="L27" i="8" s="1"/>
  <c r="I31" i="8"/>
  <c r="K31" i="8"/>
  <c r="L31" i="8" s="1"/>
  <c r="I35" i="8"/>
  <c r="K35" i="8"/>
  <c r="L35" i="8" s="1"/>
  <c r="I39" i="8"/>
  <c r="K39" i="8"/>
  <c r="L39" i="8" s="1"/>
  <c r="I43" i="8"/>
  <c r="K43" i="8"/>
  <c r="L43" i="8" s="1"/>
  <c r="I47" i="8"/>
  <c r="K47" i="8"/>
  <c r="L47" i="8" s="1"/>
  <c r="I51" i="8"/>
  <c r="K51" i="8"/>
  <c r="L51" i="8" s="1"/>
  <c r="I55" i="8"/>
  <c r="K55" i="8"/>
  <c r="L55" i="8" s="1"/>
  <c r="I16" i="8"/>
  <c r="K16" i="8"/>
  <c r="L16" i="8" s="1"/>
  <c r="I20" i="8"/>
  <c r="K20" i="8"/>
  <c r="L20" i="8" s="1"/>
  <c r="I24" i="8"/>
  <c r="K24" i="8"/>
  <c r="L24" i="8" s="1"/>
  <c r="I28" i="8"/>
  <c r="K28" i="8"/>
  <c r="L28" i="8" s="1"/>
  <c r="I32" i="8"/>
  <c r="K32" i="8"/>
  <c r="L32" i="8" s="1"/>
  <c r="I36" i="8"/>
  <c r="K36" i="8"/>
  <c r="L36" i="8" s="1"/>
  <c r="I40" i="8"/>
  <c r="K40" i="8"/>
  <c r="L40" i="8" s="1"/>
  <c r="I44" i="8"/>
  <c r="K44" i="8"/>
  <c r="L44" i="8" s="1"/>
  <c r="I48" i="8"/>
  <c r="K48" i="8"/>
  <c r="L48" i="8" s="1"/>
  <c r="I52" i="8"/>
  <c r="K52" i="8"/>
  <c r="L52" i="8" s="1"/>
  <c r="I56" i="8"/>
  <c r="K56" i="8"/>
  <c r="L56" i="8" s="1"/>
  <c r="F86" i="8"/>
  <c r="G86" i="8"/>
  <c r="H86" i="8"/>
  <c r="J86" i="8"/>
  <c r="K86" i="8"/>
  <c r="M86" i="8"/>
  <c r="O86" i="8"/>
  <c r="P86" i="8"/>
  <c r="Q86" i="8"/>
  <c r="R86" i="8"/>
  <c r="S86" i="8"/>
  <c r="T86" i="8"/>
  <c r="U86" i="8"/>
  <c r="V86" i="8"/>
  <c r="W86" i="8"/>
  <c r="X86" i="8"/>
  <c r="Y86" i="8"/>
  <c r="Z86" i="8"/>
  <c r="AA86" i="8"/>
  <c r="AB86" i="8"/>
  <c r="AC86" i="8"/>
  <c r="AD86" i="8"/>
  <c r="AE86" i="8"/>
  <c r="AF86" i="8"/>
  <c r="AG86" i="8"/>
  <c r="AH86" i="8"/>
  <c r="AI86" i="8"/>
  <c r="AJ86" i="8"/>
  <c r="AK86" i="8"/>
  <c r="AL86" i="8"/>
  <c r="AM86" i="8"/>
  <c r="AN86" i="8"/>
  <c r="AO86" i="8"/>
  <c r="AP86" i="8"/>
  <c r="AQ86" i="8"/>
  <c r="AR86" i="8"/>
  <c r="AS86" i="8"/>
  <c r="AT86" i="8"/>
  <c r="AU86" i="8"/>
  <c r="AV86" i="8"/>
  <c r="AW86" i="8"/>
  <c r="AX86" i="8"/>
  <c r="AY86" i="8"/>
  <c r="AZ86" i="8"/>
  <c r="F80" i="8"/>
  <c r="G80" i="8"/>
  <c r="H80" i="8"/>
  <c r="J80" i="8"/>
  <c r="K80" i="8"/>
  <c r="M80" i="8"/>
  <c r="O80" i="8"/>
  <c r="P80" i="8"/>
  <c r="Q80" i="8"/>
  <c r="R80" i="8"/>
  <c r="S80" i="8"/>
  <c r="T80" i="8"/>
  <c r="U80" i="8"/>
  <c r="V80" i="8"/>
  <c r="W80" i="8"/>
  <c r="X80" i="8"/>
  <c r="Y80" i="8"/>
  <c r="Z80" i="8"/>
  <c r="AA80" i="8"/>
  <c r="AB80" i="8"/>
  <c r="AC80" i="8"/>
  <c r="AD80" i="8"/>
  <c r="AE80" i="8"/>
  <c r="AF80" i="8"/>
  <c r="AG80" i="8"/>
  <c r="AH80" i="8"/>
  <c r="AI80" i="8"/>
  <c r="AJ80" i="8"/>
  <c r="AK80" i="8"/>
  <c r="AL80" i="8"/>
  <c r="AM80" i="8"/>
  <c r="AN80" i="8"/>
  <c r="AO80" i="8"/>
  <c r="AP80" i="8"/>
  <c r="AQ80" i="8"/>
  <c r="AR80" i="8"/>
  <c r="AS80" i="8"/>
  <c r="AT80" i="8"/>
  <c r="AU80" i="8"/>
  <c r="AV80" i="8"/>
  <c r="AW80" i="8"/>
  <c r="AX80" i="8"/>
  <c r="AY80" i="8"/>
  <c r="AZ80" i="8"/>
  <c r="F58" i="8"/>
  <c r="G58" i="8"/>
  <c r="H58" i="8"/>
  <c r="J58" i="8"/>
  <c r="M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D58" i="8"/>
  <c r="E25" i="13"/>
  <c r="E14" i="13"/>
  <c r="K58" i="8" l="1"/>
  <c r="E20" i="6"/>
  <c r="F20" i="6"/>
  <c r="G20" i="6"/>
  <c r="I20" i="6"/>
  <c r="J20" i="6"/>
  <c r="L20" i="6"/>
  <c r="M20" i="6"/>
  <c r="N20" i="6"/>
  <c r="O20" i="6"/>
  <c r="P20" i="6"/>
  <c r="Q20" i="6"/>
  <c r="R20" i="6"/>
  <c r="S20" i="6"/>
  <c r="T20" i="6"/>
  <c r="U20" i="6"/>
  <c r="V20" i="6"/>
  <c r="C7" i="12" s="1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W20" i="6"/>
  <c r="AX20" i="6"/>
  <c r="AY20" i="6"/>
  <c r="BC20" i="6"/>
  <c r="E47" i="2" l="1"/>
  <c r="F47" i="2"/>
  <c r="G47" i="2"/>
  <c r="I47" i="2"/>
  <c r="J47" i="2"/>
  <c r="L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BC47" i="2"/>
  <c r="E28" i="6" l="1"/>
  <c r="F28" i="6"/>
  <c r="G28" i="6"/>
  <c r="I28" i="6"/>
  <c r="J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AQ28" i="6"/>
  <c r="AR28" i="6"/>
  <c r="AS28" i="6"/>
  <c r="AT28" i="6"/>
  <c r="AU28" i="6"/>
  <c r="AV28" i="6"/>
  <c r="AW28" i="6"/>
  <c r="AX28" i="6"/>
  <c r="AY28" i="6"/>
  <c r="BC28" i="6"/>
  <c r="F92" i="8" l="1"/>
  <c r="G92" i="8"/>
  <c r="H92" i="8"/>
  <c r="J92" i="8"/>
  <c r="K92" i="8"/>
  <c r="M92" i="8"/>
  <c r="O92" i="8"/>
  <c r="P92" i="8"/>
  <c r="Q92" i="8"/>
  <c r="R92" i="8"/>
  <c r="S92" i="8"/>
  <c r="T92" i="8"/>
  <c r="U92" i="8"/>
  <c r="V92" i="8"/>
  <c r="W92" i="8"/>
  <c r="X92" i="8"/>
  <c r="Y92" i="8"/>
  <c r="Z92" i="8"/>
  <c r="AA92" i="8"/>
  <c r="AB92" i="8"/>
  <c r="AC92" i="8"/>
  <c r="AD92" i="8"/>
  <c r="AE92" i="8"/>
  <c r="AF92" i="8"/>
  <c r="AG92" i="8"/>
  <c r="AH92" i="8"/>
  <c r="AI92" i="8"/>
  <c r="AJ92" i="8"/>
  <c r="AK92" i="8"/>
  <c r="AL92" i="8"/>
  <c r="AM92" i="8"/>
  <c r="AN92" i="8"/>
  <c r="AO92" i="8"/>
  <c r="AP92" i="8"/>
  <c r="AQ92" i="8"/>
  <c r="AR92" i="8"/>
  <c r="AS92" i="8"/>
  <c r="AT92" i="8"/>
  <c r="AU92" i="8"/>
  <c r="AV92" i="8"/>
  <c r="AW92" i="8"/>
  <c r="AX92" i="8"/>
  <c r="AY92" i="8"/>
  <c r="AZ92" i="8"/>
  <c r="M59" i="8" l="1"/>
  <c r="C5" i="12" l="1"/>
  <c r="C6" i="12"/>
  <c r="C8" i="12"/>
  <c r="C9" i="12"/>
  <c r="C12" i="12"/>
  <c r="K21" i="6" l="1"/>
  <c r="K41" i="2"/>
  <c r="K39" i="2"/>
  <c r="BC13" i="11"/>
  <c r="C13" i="12" l="1"/>
  <c r="B26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Y26" i="11"/>
  <c r="Z26" i="11"/>
  <c r="AA26" i="11"/>
  <c r="AB26" i="11"/>
  <c r="AC26" i="11"/>
  <c r="AD26" i="11"/>
  <c r="AE26" i="11"/>
  <c r="AF26" i="11"/>
  <c r="AG26" i="11"/>
  <c r="AH26" i="11"/>
  <c r="AI26" i="11"/>
  <c r="AJ26" i="11"/>
  <c r="AK26" i="11"/>
  <c r="AL26" i="11"/>
  <c r="AM26" i="11"/>
  <c r="AN26" i="11"/>
  <c r="AO26" i="11"/>
  <c r="AP26" i="11"/>
  <c r="AQ26" i="11"/>
  <c r="AR26" i="11"/>
  <c r="AS26" i="11"/>
  <c r="AT26" i="11"/>
  <c r="AU26" i="11"/>
  <c r="AV26" i="11"/>
  <c r="AW26" i="11"/>
  <c r="AX26" i="11"/>
  <c r="AY26" i="11"/>
  <c r="AZ26" i="11"/>
  <c r="BA26" i="11"/>
  <c r="BB26" i="11"/>
  <c r="BC26" i="11"/>
  <c r="B27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Z27" i="11"/>
  <c r="AA27" i="11"/>
  <c r="AB27" i="11"/>
  <c r="AC27" i="11"/>
  <c r="AD27" i="11"/>
  <c r="AE27" i="11"/>
  <c r="AF27" i="11"/>
  <c r="AG27" i="11"/>
  <c r="AH27" i="11"/>
  <c r="AI27" i="11"/>
  <c r="AJ27" i="11"/>
  <c r="AK27" i="11"/>
  <c r="AL27" i="11"/>
  <c r="AM27" i="11"/>
  <c r="AN27" i="11"/>
  <c r="AO27" i="11"/>
  <c r="AP27" i="11"/>
  <c r="AQ27" i="11"/>
  <c r="AR27" i="11"/>
  <c r="AS27" i="11"/>
  <c r="AT27" i="11"/>
  <c r="AU27" i="11"/>
  <c r="AV27" i="11"/>
  <c r="AW27" i="11"/>
  <c r="AX27" i="11"/>
  <c r="AY27" i="11"/>
  <c r="AZ27" i="11"/>
  <c r="BA27" i="11"/>
  <c r="BB27" i="11"/>
  <c r="BC27" i="11"/>
  <c r="B28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Q28" i="11"/>
  <c r="R28" i="11"/>
  <c r="S28" i="11"/>
  <c r="T28" i="11"/>
  <c r="U28" i="11"/>
  <c r="V28" i="11"/>
  <c r="W28" i="11"/>
  <c r="X28" i="11"/>
  <c r="Y28" i="11"/>
  <c r="Z28" i="11"/>
  <c r="AA28" i="11"/>
  <c r="AB28" i="11"/>
  <c r="AC28" i="11"/>
  <c r="AD28" i="11"/>
  <c r="AE28" i="11"/>
  <c r="AF28" i="11"/>
  <c r="AG28" i="11"/>
  <c r="AH28" i="11"/>
  <c r="AI28" i="11"/>
  <c r="AJ28" i="11"/>
  <c r="AK28" i="11"/>
  <c r="AL28" i="11"/>
  <c r="AM28" i="11"/>
  <c r="AN28" i="11"/>
  <c r="AO28" i="11"/>
  <c r="AP28" i="11"/>
  <c r="AQ28" i="11"/>
  <c r="AR28" i="11"/>
  <c r="AS28" i="11"/>
  <c r="AT28" i="11"/>
  <c r="AU28" i="11"/>
  <c r="AV28" i="11"/>
  <c r="AW28" i="11"/>
  <c r="AX28" i="11"/>
  <c r="AY28" i="11"/>
  <c r="AZ28" i="11"/>
  <c r="BA28" i="11"/>
  <c r="BB28" i="11"/>
  <c r="BC28" i="11"/>
  <c r="B29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Y29" i="11"/>
  <c r="Z29" i="11"/>
  <c r="AA29" i="11"/>
  <c r="AB29" i="11"/>
  <c r="AC29" i="11"/>
  <c r="AD29" i="11"/>
  <c r="AE29" i="11"/>
  <c r="AF29" i="11"/>
  <c r="AG29" i="11"/>
  <c r="AH29" i="11"/>
  <c r="AI29" i="11"/>
  <c r="AJ29" i="11"/>
  <c r="AK29" i="11"/>
  <c r="AL29" i="11"/>
  <c r="AM29" i="11"/>
  <c r="AN29" i="11"/>
  <c r="AO29" i="11"/>
  <c r="AP29" i="11"/>
  <c r="AQ29" i="11"/>
  <c r="AR29" i="11"/>
  <c r="AS29" i="11"/>
  <c r="AT29" i="11"/>
  <c r="AU29" i="11"/>
  <c r="AV29" i="11"/>
  <c r="AW29" i="11"/>
  <c r="AX29" i="11"/>
  <c r="AY29" i="11"/>
  <c r="AZ29" i="11"/>
  <c r="BA29" i="11"/>
  <c r="BB29" i="11"/>
  <c r="BC29" i="11"/>
  <c r="A27" i="11"/>
  <c r="A28" i="11"/>
  <c r="A29" i="11"/>
  <c r="A26" i="11"/>
  <c r="A24" i="11"/>
  <c r="B24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Z24" i="11"/>
  <c r="AA24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P24" i="11"/>
  <c r="AQ24" i="11"/>
  <c r="AR24" i="11"/>
  <c r="AS24" i="11"/>
  <c r="AT24" i="11"/>
  <c r="AU24" i="11"/>
  <c r="AV24" i="11"/>
  <c r="AW24" i="11"/>
  <c r="AX24" i="11"/>
  <c r="AY24" i="11"/>
  <c r="AZ24" i="11"/>
  <c r="BB24" i="11"/>
  <c r="BC24" i="11"/>
  <c r="A19" i="11"/>
  <c r="A21" i="11"/>
  <c r="A22" i="11"/>
  <c r="A23" i="11"/>
  <c r="B104" i="11" l="1"/>
  <c r="C104" i="11"/>
  <c r="D104" i="11"/>
  <c r="E104" i="11"/>
  <c r="F104" i="11"/>
  <c r="F105" i="11" s="1"/>
  <c r="G104" i="11"/>
  <c r="G105" i="11" s="1"/>
  <c r="H104" i="11"/>
  <c r="H105" i="11" s="1"/>
  <c r="I104" i="11"/>
  <c r="J104" i="11"/>
  <c r="J105" i="11" s="1"/>
  <c r="K104" i="11"/>
  <c r="K105" i="11" s="1"/>
  <c r="L104" i="11"/>
  <c r="M104" i="11"/>
  <c r="M105" i="11" s="1"/>
  <c r="N104" i="11"/>
  <c r="O104" i="11"/>
  <c r="O105" i="11" s="1"/>
  <c r="P104" i="11"/>
  <c r="P105" i="11" s="1"/>
  <c r="Q104" i="11"/>
  <c r="Q105" i="11" s="1"/>
  <c r="R104" i="11"/>
  <c r="R105" i="11" s="1"/>
  <c r="S104" i="11"/>
  <c r="S105" i="11" s="1"/>
  <c r="T104" i="11"/>
  <c r="T105" i="11" s="1"/>
  <c r="U104" i="11"/>
  <c r="U105" i="11" s="1"/>
  <c r="V104" i="11"/>
  <c r="V105" i="11" s="1"/>
  <c r="W104" i="11"/>
  <c r="W105" i="11" s="1"/>
  <c r="X104" i="11"/>
  <c r="X105" i="11" s="1"/>
  <c r="Y104" i="11"/>
  <c r="Y105" i="11" s="1"/>
  <c r="Z104" i="11"/>
  <c r="Z105" i="11" s="1"/>
  <c r="AA104" i="11"/>
  <c r="AA105" i="11" s="1"/>
  <c r="AB104" i="11"/>
  <c r="AB105" i="11" s="1"/>
  <c r="AC104" i="11"/>
  <c r="AC105" i="11" s="1"/>
  <c r="AD104" i="11"/>
  <c r="AD105" i="11" s="1"/>
  <c r="AE104" i="11"/>
  <c r="AE105" i="11" s="1"/>
  <c r="AF104" i="11"/>
  <c r="AF105" i="11" s="1"/>
  <c r="AG104" i="11"/>
  <c r="AG105" i="11" s="1"/>
  <c r="AH104" i="11"/>
  <c r="AH105" i="11" s="1"/>
  <c r="AI104" i="11"/>
  <c r="AI105" i="11" s="1"/>
  <c r="AJ104" i="11"/>
  <c r="AJ105" i="11" s="1"/>
  <c r="AK104" i="11"/>
  <c r="AK105" i="11" s="1"/>
  <c r="AL104" i="11"/>
  <c r="AL105" i="11" s="1"/>
  <c r="AM104" i="11"/>
  <c r="AM105" i="11" s="1"/>
  <c r="AN104" i="11"/>
  <c r="AN105" i="11" s="1"/>
  <c r="AO104" i="11"/>
  <c r="AO105" i="11" s="1"/>
  <c r="AP104" i="11"/>
  <c r="AP105" i="11" s="1"/>
  <c r="AQ104" i="11"/>
  <c r="AQ105" i="11" s="1"/>
  <c r="AR104" i="11"/>
  <c r="AR105" i="11" s="1"/>
  <c r="AS104" i="11"/>
  <c r="AS105" i="11" s="1"/>
  <c r="AT104" i="11"/>
  <c r="AT105" i="11" s="1"/>
  <c r="AU104" i="11"/>
  <c r="AU105" i="11" s="1"/>
  <c r="AV104" i="11"/>
  <c r="AV105" i="11" s="1"/>
  <c r="AW104" i="11"/>
  <c r="AW105" i="11" s="1"/>
  <c r="AX104" i="11"/>
  <c r="AX105" i="11" s="1"/>
  <c r="AY104" i="11"/>
  <c r="AY105" i="11" s="1"/>
  <c r="AZ104" i="11"/>
  <c r="AZ105" i="11" s="1"/>
  <c r="BB104" i="11"/>
  <c r="BC104" i="11"/>
  <c r="BC105" i="11" s="1"/>
  <c r="A104" i="11"/>
  <c r="A36" i="11"/>
  <c r="B36" i="11"/>
  <c r="C36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V36" i="11"/>
  <c r="W36" i="11"/>
  <c r="X36" i="11"/>
  <c r="Y36" i="11"/>
  <c r="Z36" i="11"/>
  <c r="AA36" i="11"/>
  <c r="AB36" i="11"/>
  <c r="AC36" i="11"/>
  <c r="AD36" i="11"/>
  <c r="AE36" i="11"/>
  <c r="AF36" i="11"/>
  <c r="AG36" i="11"/>
  <c r="AH36" i="11"/>
  <c r="AI36" i="11"/>
  <c r="AJ36" i="11"/>
  <c r="AK36" i="11"/>
  <c r="AL36" i="11"/>
  <c r="AM36" i="11"/>
  <c r="AN36" i="11"/>
  <c r="AO36" i="11"/>
  <c r="AP36" i="11"/>
  <c r="AQ36" i="11"/>
  <c r="AR36" i="11"/>
  <c r="AS36" i="11"/>
  <c r="AT36" i="11"/>
  <c r="AU36" i="11"/>
  <c r="AV36" i="11"/>
  <c r="AW36" i="11"/>
  <c r="AX36" i="11"/>
  <c r="AY36" i="11"/>
  <c r="AZ36" i="11"/>
  <c r="BB36" i="11"/>
  <c r="BC36" i="11"/>
  <c r="A38" i="11"/>
  <c r="B38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U38" i="11"/>
  <c r="V38" i="11"/>
  <c r="W38" i="11"/>
  <c r="X38" i="11"/>
  <c r="Y38" i="11"/>
  <c r="Z38" i="11"/>
  <c r="AA38" i="11"/>
  <c r="AB38" i="11"/>
  <c r="AC38" i="11"/>
  <c r="AD38" i="11"/>
  <c r="AE38" i="11"/>
  <c r="AF38" i="11"/>
  <c r="AG38" i="11"/>
  <c r="AH38" i="11"/>
  <c r="AI38" i="11"/>
  <c r="AJ38" i="11"/>
  <c r="AK38" i="11"/>
  <c r="AL38" i="11"/>
  <c r="AM38" i="11"/>
  <c r="AN38" i="11"/>
  <c r="AO38" i="11"/>
  <c r="AP38" i="11"/>
  <c r="AQ38" i="11"/>
  <c r="AR38" i="11"/>
  <c r="AS38" i="11"/>
  <c r="AT38" i="11"/>
  <c r="AU38" i="11"/>
  <c r="AV38" i="11"/>
  <c r="AW38" i="11"/>
  <c r="AX38" i="11"/>
  <c r="AY38" i="11"/>
  <c r="AZ38" i="11"/>
  <c r="BB38" i="11"/>
  <c r="BC38" i="11"/>
  <c r="A39" i="11"/>
  <c r="B39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V39" i="11"/>
  <c r="W39" i="11"/>
  <c r="X39" i="11"/>
  <c r="Y39" i="11"/>
  <c r="Z39" i="11"/>
  <c r="AA39" i="11"/>
  <c r="AB39" i="11"/>
  <c r="AC39" i="11"/>
  <c r="AD39" i="11"/>
  <c r="AE39" i="11"/>
  <c r="AF39" i="11"/>
  <c r="AG39" i="11"/>
  <c r="AH39" i="11"/>
  <c r="AI39" i="11"/>
  <c r="AJ39" i="11"/>
  <c r="AK39" i="11"/>
  <c r="AL39" i="11"/>
  <c r="AM39" i="11"/>
  <c r="AN39" i="11"/>
  <c r="AO39" i="11"/>
  <c r="AP39" i="11"/>
  <c r="AQ39" i="11"/>
  <c r="AR39" i="11"/>
  <c r="AS39" i="11"/>
  <c r="AT39" i="11"/>
  <c r="AU39" i="11"/>
  <c r="AV39" i="11"/>
  <c r="AW39" i="11"/>
  <c r="AX39" i="11"/>
  <c r="AY39" i="11"/>
  <c r="AZ39" i="11"/>
  <c r="BB39" i="11"/>
  <c r="BC39" i="11"/>
  <c r="A40" i="11"/>
  <c r="B40" i="11"/>
  <c r="C40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S40" i="11"/>
  <c r="T40" i="11"/>
  <c r="U40" i="11"/>
  <c r="V40" i="11"/>
  <c r="W40" i="11"/>
  <c r="X40" i="11"/>
  <c r="Y40" i="11"/>
  <c r="Z40" i="11"/>
  <c r="AA40" i="11"/>
  <c r="AB40" i="11"/>
  <c r="AC40" i="11"/>
  <c r="AD40" i="11"/>
  <c r="AE40" i="11"/>
  <c r="AF40" i="11"/>
  <c r="AG40" i="11"/>
  <c r="AH40" i="11"/>
  <c r="AI40" i="11"/>
  <c r="AJ40" i="11"/>
  <c r="AK40" i="11"/>
  <c r="AL40" i="11"/>
  <c r="AM40" i="11"/>
  <c r="AN40" i="11"/>
  <c r="AO40" i="11"/>
  <c r="AP40" i="11"/>
  <c r="AQ40" i="11"/>
  <c r="AR40" i="11"/>
  <c r="AS40" i="11"/>
  <c r="AT40" i="11"/>
  <c r="AU40" i="11"/>
  <c r="AV40" i="11"/>
  <c r="AW40" i="11"/>
  <c r="AX40" i="11"/>
  <c r="AY40" i="11"/>
  <c r="AZ40" i="11"/>
  <c r="BB40" i="11"/>
  <c r="BC40" i="11"/>
  <c r="A41" i="11"/>
  <c r="B41" i="11"/>
  <c r="C41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S41" i="11"/>
  <c r="T41" i="11"/>
  <c r="U41" i="11"/>
  <c r="V41" i="11"/>
  <c r="W41" i="11"/>
  <c r="X41" i="11"/>
  <c r="Y41" i="11"/>
  <c r="Z41" i="11"/>
  <c r="AA41" i="11"/>
  <c r="AB41" i="11"/>
  <c r="AC41" i="11"/>
  <c r="AD41" i="11"/>
  <c r="AE41" i="11"/>
  <c r="AF41" i="11"/>
  <c r="AG41" i="11"/>
  <c r="AH41" i="11"/>
  <c r="AI41" i="11"/>
  <c r="AJ41" i="11"/>
  <c r="AK41" i="11"/>
  <c r="AL41" i="11"/>
  <c r="AM41" i="11"/>
  <c r="AN41" i="11"/>
  <c r="AO41" i="11"/>
  <c r="AP41" i="11"/>
  <c r="AQ41" i="11"/>
  <c r="AR41" i="11"/>
  <c r="AS41" i="11"/>
  <c r="AT41" i="11"/>
  <c r="AU41" i="11"/>
  <c r="AV41" i="11"/>
  <c r="AW41" i="11"/>
  <c r="AX41" i="11"/>
  <c r="AY41" i="11"/>
  <c r="AZ41" i="11"/>
  <c r="BB41" i="11"/>
  <c r="BC41" i="11"/>
  <c r="A42" i="11"/>
  <c r="B42" i="11"/>
  <c r="C42" i="11"/>
  <c r="D42" i="11"/>
  <c r="E42" i="11"/>
  <c r="F42" i="11"/>
  <c r="G42" i="11"/>
  <c r="H42" i="11"/>
  <c r="I42" i="11"/>
  <c r="J42" i="11"/>
  <c r="K42" i="11"/>
  <c r="L42" i="11"/>
  <c r="M42" i="11"/>
  <c r="N42" i="11"/>
  <c r="O42" i="11"/>
  <c r="P42" i="11"/>
  <c r="Q42" i="11"/>
  <c r="R42" i="11"/>
  <c r="S42" i="11"/>
  <c r="T42" i="11"/>
  <c r="U42" i="11"/>
  <c r="V42" i="11"/>
  <c r="W42" i="11"/>
  <c r="X42" i="11"/>
  <c r="Y42" i="11"/>
  <c r="Z42" i="11"/>
  <c r="AA42" i="11"/>
  <c r="AB42" i="11"/>
  <c r="AC42" i="11"/>
  <c r="AD42" i="11"/>
  <c r="AE42" i="11"/>
  <c r="AF42" i="11"/>
  <c r="AG42" i="11"/>
  <c r="AH42" i="11"/>
  <c r="AI42" i="11"/>
  <c r="AJ42" i="11"/>
  <c r="AK42" i="11"/>
  <c r="AL42" i="11"/>
  <c r="AM42" i="11"/>
  <c r="AN42" i="11"/>
  <c r="AO42" i="11"/>
  <c r="AP42" i="11"/>
  <c r="AQ42" i="11"/>
  <c r="AR42" i="11"/>
  <c r="AS42" i="11"/>
  <c r="AT42" i="11"/>
  <c r="AU42" i="11"/>
  <c r="AV42" i="11"/>
  <c r="AW42" i="11"/>
  <c r="AX42" i="11"/>
  <c r="AY42" i="11"/>
  <c r="AZ42" i="11"/>
  <c r="BB42" i="11"/>
  <c r="BC42" i="11"/>
  <c r="A43" i="11"/>
  <c r="B43" i="11"/>
  <c r="C43" i="11"/>
  <c r="D43" i="11"/>
  <c r="E43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R43" i="11"/>
  <c r="S43" i="11"/>
  <c r="T43" i="11"/>
  <c r="U43" i="11"/>
  <c r="V43" i="11"/>
  <c r="W43" i="11"/>
  <c r="X43" i="11"/>
  <c r="Y43" i="11"/>
  <c r="Z43" i="11"/>
  <c r="AA43" i="11"/>
  <c r="AB43" i="11"/>
  <c r="AC43" i="11"/>
  <c r="AD43" i="11"/>
  <c r="AE43" i="11"/>
  <c r="AF43" i="11"/>
  <c r="AG43" i="11"/>
  <c r="AH43" i="11"/>
  <c r="AI43" i="11"/>
  <c r="AJ43" i="11"/>
  <c r="AK43" i="11"/>
  <c r="AL43" i="11"/>
  <c r="AM43" i="11"/>
  <c r="AN43" i="11"/>
  <c r="AO43" i="11"/>
  <c r="AP43" i="11"/>
  <c r="AQ43" i="11"/>
  <c r="AR43" i="11"/>
  <c r="AS43" i="11"/>
  <c r="AT43" i="11"/>
  <c r="AU43" i="11"/>
  <c r="AV43" i="11"/>
  <c r="AW43" i="11"/>
  <c r="AX43" i="11"/>
  <c r="AY43" i="11"/>
  <c r="AZ43" i="11"/>
  <c r="BB43" i="11"/>
  <c r="BC43" i="11"/>
  <c r="A44" i="11"/>
  <c r="B44" i="11"/>
  <c r="C44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T44" i="11"/>
  <c r="U44" i="11"/>
  <c r="V44" i="11"/>
  <c r="W44" i="11"/>
  <c r="X44" i="11"/>
  <c r="Y44" i="11"/>
  <c r="Z44" i="11"/>
  <c r="AA44" i="11"/>
  <c r="AB44" i="11"/>
  <c r="AC44" i="11"/>
  <c r="AD44" i="11"/>
  <c r="AE44" i="11"/>
  <c r="AF44" i="11"/>
  <c r="AG44" i="11"/>
  <c r="AH44" i="11"/>
  <c r="AI44" i="11"/>
  <c r="AJ44" i="11"/>
  <c r="AK44" i="11"/>
  <c r="AL44" i="11"/>
  <c r="AM44" i="11"/>
  <c r="AN44" i="11"/>
  <c r="AO44" i="11"/>
  <c r="AP44" i="11"/>
  <c r="AQ44" i="11"/>
  <c r="AR44" i="11"/>
  <c r="AS44" i="11"/>
  <c r="AT44" i="11"/>
  <c r="AU44" i="11"/>
  <c r="AV44" i="11"/>
  <c r="AW44" i="11"/>
  <c r="AX44" i="11"/>
  <c r="AY44" i="11"/>
  <c r="AZ44" i="11"/>
  <c r="BB44" i="11"/>
  <c r="BC44" i="11"/>
  <c r="B35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X35" i="11"/>
  <c r="Y35" i="11"/>
  <c r="Z35" i="11"/>
  <c r="AA35" i="11"/>
  <c r="AB35" i="11"/>
  <c r="AC35" i="11"/>
  <c r="AD35" i="11"/>
  <c r="AE35" i="11"/>
  <c r="AF35" i="11"/>
  <c r="AG35" i="11"/>
  <c r="AH35" i="11"/>
  <c r="AI35" i="11"/>
  <c r="AJ35" i="11"/>
  <c r="AK35" i="11"/>
  <c r="AL35" i="11"/>
  <c r="AM35" i="11"/>
  <c r="AN35" i="11"/>
  <c r="AO35" i="11"/>
  <c r="AP35" i="11"/>
  <c r="AQ35" i="11"/>
  <c r="AR35" i="11"/>
  <c r="AS35" i="11"/>
  <c r="AT35" i="11"/>
  <c r="AU35" i="11"/>
  <c r="AV35" i="11"/>
  <c r="AW35" i="11"/>
  <c r="AX35" i="11"/>
  <c r="AY35" i="11"/>
  <c r="AZ35" i="11"/>
  <c r="BB35" i="11"/>
  <c r="BC35" i="11"/>
  <c r="A35" i="11"/>
  <c r="A9" i="11"/>
  <c r="B9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Y9" i="11"/>
  <c r="Z9" i="11"/>
  <c r="AA9" i="11"/>
  <c r="AB9" i="11"/>
  <c r="AC9" i="11"/>
  <c r="AD9" i="11"/>
  <c r="AE9" i="11"/>
  <c r="AF9" i="11"/>
  <c r="AG9" i="11"/>
  <c r="AH9" i="11"/>
  <c r="AI9" i="11"/>
  <c r="AJ9" i="11"/>
  <c r="AK9" i="11"/>
  <c r="AL9" i="11"/>
  <c r="AM9" i="11"/>
  <c r="AN9" i="11"/>
  <c r="AO9" i="11"/>
  <c r="AP9" i="11"/>
  <c r="AQ9" i="11"/>
  <c r="AR9" i="11"/>
  <c r="AS9" i="11"/>
  <c r="AT9" i="11"/>
  <c r="AU9" i="11"/>
  <c r="AV9" i="11"/>
  <c r="AW9" i="11"/>
  <c r="AX9" i="11"/>
  <c r="AY9" i="11"/>
  <c r="AZ9" i="11"/>
  <c r="BA9" i="11"/>
  <c r="BB9" i="11"/>
  <c r="BC9" i="11"/>
  <c r="A11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AI11" i="11"/>
  <c r="AJ11" i="11"/>
  <c r="AK11" i="11"/>
  <c r="AL11" i="11"/>
  <c r="AM11" i="11"/>
  <c r="AN11" i="11"/>
  <c r="AO11" i="11"/>
  <c r="AP11" i="11"/>
  <c r="AQ11" i="11"/>
  <c r="AR11" i="11"/>
  <c r="AS11" i="11"/>
  <c r="AT11" i="11"/>
  <c r="AU11" i="11"/>
  <c r="AV11" i="11"/>
  <c r="AW11" i="11"/>
  <c r="AX11" i="11"/>
  <c r="AY11" i="11"/>
  <c r="AZ11" i="11"/>
  <c r="BB11" i="11"/>
  <c r="BC11" i="11"/>
  <c r="A12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Z12" i="11"/>
  <c r="AA12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P12" i="11"/>
  <c r="AQ12" i="11"/>
  <c r="AR12" i="11"/>
  <c r="AS12" i="11"/>
  <c r="AT12" i="11"/>
  <c r="AU12" i="11"/>
  <c r="AV12" i="11"/>
  <c r="AW12" i="11"/>
  <c r="AX12" i="11"/>
  <c r="AY12" i="11"/>
  <c r="AZ12" i="11"/>
  <c r="BB12" i="11"/>
  <c r="BC12" i="11"/>
  <c r="B8" i="11"/>
  <c r="C8" i="11"/>
  <c r="D8" i="11"/>
  <c r="E8" i="11"/>
  <c r="F8" i="11"/>
  <c r="F7" i="11" s="1"/>
  <c r="G8" i="11"/>
  <c r="G7" i="11" s="1"/>
  <c r="H8" i="11"/>
  <c r="H7" i="11" s="1"/>
  <c r="I8" i="11"/>
  <c r="J8" i="11"/>
  <c r="J7" i="11" s="1"/>
  <c r="K8" i="11"/>
  <c r="K7" i="11" s="1"/>
  <c r="L8" i="11"/>
  <c r="M8" i="11"/>
  <c r="M7" i="11" s="1"/>
  <c r="N8" i="11"/>
  <c r="O8" i="11"/>
  <c r="O7" i="11" s="1"/>
  <c r="P8" i="11"/>
  <c r="P7" i="11" s="1"/>
  <c r="Q8" i="11"/>
  <c r="Q7" i="11" s="1"/>
  <c r="R8" i="11"/>
  <c r="R7" i="11" s="1"/>
  <c r="S8" i="11"/>
  <c r="S7" i="11" s="1"/>
  <c r="T8" i="11"/>
  <c r="T7" i="11" s="1"/>
  <c r="U8" i="11"/>
  <c r="U7" i="11" s="1"/>
  <c r="V8" i="11"/>
  <c r="V7" i="11" s="1"/>
  <c r="W8" i="11"/>
  <c r="W7" i="11" s="1"/>
  <c r="X8" i="11"/>
  <c r="X7" i="11" s="1"/>
  <c r="Y8" i="11"/>
  <c r="Y7" i="11" s="1"/>
  <c r="Z8" i="11"/>
  <c r="Z7" i="11" s="1"/>
  <c r="AA8" i="11"/>
  <c r="AA7" i="11" s="1"/>
  <c r="AB8" i="11"/>
  <c r="AB7" i="11" s="1"/>
  <c r="AC8" i="11"/>
  <c r="AC7" i="11" s="1"/>
  <c r="AD8" i="11"/>
  <c r="AD7" i="11" s="1"/>
  <c r="AE8" i="11"/>
  <c r="AE7" i="11" s="1"/>
  <c r="AF8" i="11"/>
  <c r="AF7" i="11" s="1"/>
  <c r="AG8" i="11"/>
  <c r="AG7" i="11" s="1"/>
  <c r="AH8" i="11"/>
  <c r="AH7" i="11" s="1"/>
  <c r="AI8" i="11"/>
  <c r="AI7" i="11" s="1"/>
  <c r="AJ8" i="11"/>
  <c r="AJ7" i="11" s="1"/>
  <c r="AK8" i="11"/>
  <c r="AK7" i="11" s="1"/>
  <c r="AL8" i="11"/>
  <c r="AL7" i="11" s="1"/>
  <c r="AM8" i="11"/>
  <c r="AM7" i="11" s="1"/>
  <c r="AN8" i="11"/>
  <c r="AN7" i="11" s="1"/>
  <c r="AO8" i="11"/>
  <c r="AO7" i="11" s="1"/>
  <c r="AP8" i="11"/>
  <c r="AP7" i="11" s="1"/>
  <c r="AQ8" i="11"/>
  <c r="AQ7" i="11" s="1"/>
  <c r="AR8" i="11"/>
  <c r="AR7" i="11" s="1"/>
  <c r="AS8" i="11"/>
  <c r="AS7" i="11" s="1"/>
  <c r="AT8" i="11"/>
  <c r="AT7" i="11" s="1"/>
  <c r="AU8" i="11"/>
  <c r="AU7" i="11" s="1"/>
  <c r="AV8" i="11"/>
  <c r="AV7" i="11" s="1"/>
  <c r="AW8" i="11"/>
  <c r="AW7" i="11" s="1"/>
  <c r="AX8" i="11"/>
  <c r="AX7" i="11" s="1"/>
  <c r="AY8" i="11"/>
  <c r="AY7" i="11" s="1"/>
  <c r="AZ8" i="11"/>
  <c r="AZ7" i="11" s="1"/>
  <c r="BA8" i="11"/>
  <c r="BB8" i="11"/>
  <c r="BC8" i="11"/>
  <c r="A8" i="11"/>
  <c r="B19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Z19" i="11"/>
  <c r="AA19" i="11"/>
  <c r="AB19" i="11"/>
  <c r="AC19" i="11"/>
  <c r="AD19" i="11"/>
  <c r="AE19" i="11"/>
  <c r="AF19" i="11"/>
  <c r="AG19" i="11"/>
  <c r="AH19" i="11"/>
  <c r="AI19" i="11"/>
  <c r="AJ19" i="11"/>
  <c r="AK19" i="11"/>
  <c r="AL19" i="11"/>
  <c r="AM19" i="11"/>
  <c r="AN19" i="11"/>
  <c r="AO19" i="11"/>
  <c r="AP19" i="11"/>
  <c r="AQ19" i="11"/>
  <c r="AR19" i="11"/>
  <c r="AS19" i="11"/>
  <c r="AT19" i="11"/>
  <c r="AU19" i="11"/>
  <c r="AV19" i="11"/>
  <c r="AW19" i="11"/>
  <c r="AX19" i="11"/>
  <c r="AY19" i="11"/>
  <c r="AZ19" i="11"/>
  <c r="BB19" i="11"/>
  <c r="BC19" i="11"/>
  <c r="B21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Z21" i="11"/>
  <c r="AA21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P21" i="11"/>
  <c r="AQ21" i="11"/>
  <c r="AR21" i="11"/>
  <c r="AS21" i="11"/>
  <c r="AT21" i="11"/>
  <c r="AU21" i="11"/>
  <c r="AV21" i="11"/>
  <c r="AW21" i="11"/>
  <c r="AX21" i="11"/>
  <c r="AY21" i="11"/>
  <c r="AZ21" i="11"/>
  <c r="BB21" i="11"/>
  <c r="BC21" i="11"/>
  <c r="B22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X22" i="11"/>
  <c r="Y22" i="11"/>
  <c r="Z22" i="11"/>
  <c r="AA22" i="11"/>
  <c r="AB22" i="11"/>
  <c r="AC22" i="11"/>
  <c r="AD22" i="11"/>
  <c r="AE22" i="11"/>
  <c r="AF22" i="11"/>
  <c r="AG22" i="11"/>
  <c r="AH22" i="11"/>
  <c r="AI22" i="11"/>
  <c r="AJ22" i="11"/>
  <c r="AK22" i="11"/>
  <c r="AL22" i="11"/>
  <c r="AM22" i="11"/>
  <c r="AN22" i="11"/>
  <c r="AO22" i="11"/>
  <c r="AP22" i="11"/>
  <c r="AQ22" i="11"/>
  <c r="AR22" i="11"/>
  <c r="AS22" i="11"/>
  <c r="AT22" i="11"/>
  <c r="AU22" i="11"/>
  <c r="AV22" i="11"/>
  <c r="AW22" i="11"/>
  <c r="AX22" i="11"/>
  <c r="AY22" i="11"/>
  <c r="AZ22" i="11"/>
  <c r="BB22" i="11"/>
  <c r="BC22" i="11"/>
  <c r="B2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Y23" i="11"/>
  <c r="Z23" i="11"/>
  <c r="AA23" i="11"/>
  <c r="AB23" i="11"/>
  <c r="AC23" i="11"/>
  <c r="AD23" i="11"/>
  <c r="AE23" i="11"/>
  <c r="AF23" i="11"/>
  <c r="AG23" i="11"/>
  <c r="AH23" i="11"/>
  <c r="AI23" i="11"/>
  <c r="AJ23" i="11"/>
  <c r="AK23" i="11"/>
  <c r="AL23" i="11"/>
  <c r="AM23" i="11"/>
  <c r="AN23" i="11"/>
  <c r="AO23" i="11"/>
  <c r="AP23" i="11"/>
  <c r="AQ23" i="11"/>
  <c r="AR23" i="11"/>
  <c r="AS23" i="11"/>
  <c r="AT23" i="11"/>
  <c r="AU23" i="11"/>
  <c r="AV23" i="11"/>
  <c r="AW23" i="11"/>
  <c r="AX23" i="11"/>
  <c r="AY23" i="11"/>
  <c r="AZ23" i="11"/>
  <c r="BB23" i="11"/>
  <c r="BC23" i="11"/>
  <c r="B18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AA18" i="11"/>
  <c r="AB18" i="11"/>
  <c r="AC18" i="11"/>
  <c r="AD18" i="11"/>
  <c r="AE18" i="11"/>
  <c r="AF18" i="11"/>
  <c r="AG18" i="11"/>
  <c r="AH18" i="11"/>
  <c r="AI18" i="11"/>
  <c r="AJ18" i="11"/>
  <c r="AK18" i="11"/>
  <c r="AL18" i="11"/>
  <c r="AM18" i="11"/>
  <c r="AN18" i="11"/>
  <c r="AO18" i="11"/>
  <c r="AP18" i="11"/>
  <c r="AQ18" i="11"/>
  <c r="AR18" i="11"/>
  <c r="AS18" i="11"/>
  <c r="AT18" i="11"/>
  <c r="AU18" i="11"/>
  <c r="AV18" i="11"/>
  <c r="AW18" i="11"/>
  <c r="AX18" i="11"/>
  <c r="AY18" i="11"/>
  <c r="AZ18" i="11"/>
  <c r="BB18" i="11"/>
  <c r="BC18" i="11"/>
  <c r="A18" i="11"/>
  <c r="BC45" i="11" l="1"/>
  <c r="BC30" i="11"/>
  <c r="AV20" i="11"/>
  <c r="AP20" i="11"/>
  <c r="AJ20" i="11"/>
  <c r="AD20" i="11"/>
  <c r="X20" i="11"/>
  <c r="R20" i="11"/>
  <c r="F20" i="11"/>
  <c r="AY20" i="11"/>
  <c r="AS20" i="11"/>
  <c r="AM20" i="11"/>
  <c r="AG20" i="11"/>
  <c r="AA20" i="11"/>
  <c r="U20" i="11"/>
  <c r="O20" i="11"/>
  <c r="AW20" i="11"/>
  <c r="AQ20" i="11"/>
  <c r="AK20" i="11"/>
  <c r="AE20" i="11"/>
  <c r="Y20" i="11"/>
  <c r="S20" i="11"/>
  <c r="M20" i="11"/>
  <c r="G20" i="11"/>
  <c r="AO20" i="11"/>
  <c r="AC20" i="11"/>
  <c r="Q20" i="11"/>
  <c r="K20" i="11"/>
  <c r="AU20" i="11"/>
  <c r="AI20" i="11"/>
  <c r="W20" i="11"/>
  <c r="AZ20" i="11"/>
  <c r="AT20" i="11"/>
  <c r="AN20" i="11"/>
  <c r="AH20" i="11"/>
  <c r="AB20" i="11"/>
  <c r="V20" i="11"/>
  <c r="P20" i="11"/>
  <c r="J20" i="11"/>
  <c r="AX20" i="11"/>
  <c r="AR20" i="11"/>
  <c r="AL20" i="11"/>
  <c r="AF20" i="11"/>
  <c r="Z20" i="11"/>
  <c r="T20" i="11"/>
  <c r="H20" i="11"/>
  <c r="I105" i="11"/>
  <c r="H37" i="11"/>
  <c r="H45" i="11" s="1"/>
  <c r="G37" i="11"/>
  <c r="G45" i="11" s="1"/>
  <c r="AZ37" i="11"/>
  <c r="AZ45" i="11" s="1"/>
  <c r="AT37" i="11"/>
  <c r="AT45" i="11" s="1"/>
  <c r="AN37" i="11"/>
  <c r="AN45" i="11" s="1"/>
  <c r="AH37" i="11"/>
  <c r="AH45" i="11" s="1"/>
  <c r="AB37" i="11"/>
  <c r="AB45" i="11" s="1"/>
  <c r="V37" i="11"/>
  <c r="V45" i="11" s="1"/>
  <c r="P37" i="11"/>
  <c r="P45" i="11" s="1"/>
  <c r="AY37" i="11"/>
  <c r="AY45" i="11" s="1"/>
  <c r="AS37" i="11"/>
  <c r="AS45" i="11" s="1"/>
  <c r="AM37" i="11"/>
  <c r="AM45" i="11" s="1"/>
  <c r="AG37" i="11"/>
  <c r="AG45" i="11" s="1"/>
  <c r="AA37" i="11"/>
  <c r="AA45" i="11" s="1"/>
  <c r="U37" i="11"/>
  <c r="U45" i="11" s="1"/>
  <c r="L105" i="11"/>
  <c r="N105" i="11"/>
  <c r="J37" i="11"/>
  <c r="J45" i="11" s="1"/>
  <c r="O37" i="11"/>
  <c r="O45" i="11" s="1"/>
  <c r="AX37" i="11"/>
  <c r="AX45" i="11" s="1"/>
  <c r="AR37" i="11"/>
  <c r="AR45" i="11" s="1"/>
  <c r="AL37" i="11"/>
  <c r="AL45" i="11" s="1"/>
  <c r="AF37" i="11"/>
  <c r="AF45" i="11" s="1"/>
  <c r="Z37" i="11"/>
  <c r="Z45" i="11" s="1"/>
  <c r="T37" i="11"/>
  <c r="T45" i="11" s="1"/>
  <c r="AW37" i="11"/>
  <c r="AW45" i="11" s="1"/>
  <c r="AQ37" i="11"/>
  <c r="AQ45" i="11" s="1"/>
  <c r="AK37" i="11"/>
  <c r="AK45" i="11" s="1"/>
  <c r="AE37" i="11"/>
  <c r="AE45" i="11" s="1"/>
  <c r="Y37" i="11"/>
  <c r="Y45" i="11" s="1"/>
  <c r="S37" i="11"/>
  <c r="S45" i="11" s="1"/>
  <c r="M37" i="11"/>
  <c r="M45" i="11" s="1"/>
  <c r="AV37" i="11"/>
  <c r="AV45" i="11" s="1"/>
  <c r="AP37" i="11"/>
  <c r="AP45" i="11" s="1"/>
  <c r="AJ37" i="11"/>
  <c r="AJ45" i="11" s="1"/>
  <c r="AD37" i="11"/>
  <c r="AD45" i="11" s="1"/>
  <c r="X37" i="11"/>
  <c r="X45" i="11" s="1"/>
  <c r="R37" i="11"/>
  <c r="R45" i="11" s="1"/>
  <c r="F37" i="11"/>
  <c r="F45" i="11" s="1"/>
  <c r="AU37" i="11"/>
  <c r="AU45" i="11" s="1"/>
  <c r="AO37" i="11"/>
  <c r="AO45" i="11" s="1"/>
  <c r="AI37" i="11"/>
  <c r="AI45" i="11" s="1"/>
  <c r="AC37" i="11"/>
  <c r="AC45" i="11" s="1"/>
  <c r="W37" i="11"/>
  <c r="W45" i="11" s="1"/>
  <c r="Q37" i="11"/>
  <c r="Q45" i="11" s="1"/>
  <c r="K37" i="11"/>
  <c r="AH10" i="11"/>
  <c r="AH13" i="11" s="1"/>
  <c r="AV10" i="11"/>
  <c r="AV13" i="11" s="1"/>
  <c r="AD10" i="11"/>
  <c r="AD13" i="11" s="1"/>
  <c r="R10" i="11"/>
  <c r="R13" i="11" s="1"/>
  <c r="AT10" i="11"/>
  <c r="AT13" i="11" s="1"/>
  <c r="AP10" i="11"/>
  <c r="AP13" i="11" s="1"/>
  <c r="AJ10" i="11"/>
  <c r="AJ13" i="11" s="1"/>
  <c r="X10" i="11"/>
  <c r="X13" i="11" s="1"/>
  <c r="F10" i="11"/>
  <c r="F13" i="11" s="1"/>
  <c r="AU10" i="11"/>
  <c r="AU13" i="11" s="1"/>
  <c r="AO10" i="11"/>
  <c r="AO13" i="11" s="1"/>
  <c r="AI10" i="11"/>
  <c r="AI13" i="11" s="1"/>
  <c r="AC10" i="11"/>
  <c r="AC13" i="11" s="1"/>
  <c r="W10" i="11"/>
  <c r="W13" i="11" s="1"/>
  <c r="Q10" i="11"/>
  <c r="Q13" i="11" s="1"/>
  <c r="K10" i="11"/>
  <c r="AZ10" i="11"/>
  <c r="AZ13" i="11" s="1"/>
  <c r="V10" i="11"/>
  <c r="V13" i="11" s="1"/>
  <c r="AY10" i="11"/>
  <c r="AY13" i="11" s="1"/>
  <c r="AS10" i="11"/>
  <c r="AS13" i="11" s="1"/>
  <c r="AM10" i="11"/>
  <c r="AM13" i="11" s="1"/>
  <c r="AG10" i="11"/>
  <c r="AG13" i="11" s="1"/>
  <c r="AA10" i="11"/>
  <c r="AA13" i="11" s="1"/>
  <c r="U10" i="11"/>
  <c r="U13" i="11" s="1"/>
  <c r="O10" i="11"/>
  <c r="O13" i="11" s="1"/>
  <c r="AN10" i="11"/>
  <c r="AN13" i="11" s="1"/>
  <c r="AR10" i="11"/>
  <c r="AR13" i="11" s="1"/>
  <c r="T10" i="11"/>
  <c r="T13" i="11" s="1"/>
  <c r="AB10" i="11"/>
  <c r="AB13" i="11" s="1"/>
  <c r="P10" i="11"/>
  <c r="P13" i="11" s="1"/>
  <c r="J10" i="11"/>
  <c r="J13" i="11" s="1"/>
  <c r="AX10" i="11"/>
  <c r="AX13" i="11" s="1"/>
  <c r="AL10" i="11"/>
  <c r="AL13" i="11" s="1"/>
  <c r="AF10" i="11"/>
  <c r="AF13" i="11" s="1"/>
  <c r="Z10" i="11"/>
  <c r="Z13" i="11" s="1"/>
  <c r="H10" i="11"/>
  <c r="AW10" i="11"/>
  <c r="AW13" i="11" s="1"/>
  <c r="AQ10" i="11"/>
  <c r="AQ13" i="11" s="1"/>
  <c r="AK10" i="11"/>
  <c r="AK13" i="11" s="1"/>
  <c r="AE10" i="11"/>
  <c r="AE13" i="11" s="1"/>
  <c r="Y10" i="11"/>
  <c r="Y13" i="11" s="1"/>
  <c r="S10" i="11"/>
  <c r="S13" i="11" s="1"/>
  <c r="M10" i="11"/>
  <c r="M13" i="11" s="1"/>
  <c r="G10" i="11"/>
  <c r="G13" i="11" s="1"/>
  <c r="N7" i="11"/>
  <c r="L7" i="11"/>
  <c r="I7" i="11"/>
  <c r="AN25" i="11"/>
  <c r="AB25" i="11"/>
  <c r="P25" i="11"/>
  <c r="J25" i="11"/>
  <c r="AY25" i="11"/>
  <c r="AS25" i="11"/>
  <c r="AM25" i="11"/>
  <c r="AG25" i="11"/>
  <c r="AA25" i="11"/>
  <c r="U25" i="11"/>
  <c r="O25" i="11"/>
  <c r="AZ25" i="11"/>
  <c r="AT25" i="11"/>
  <c r="AH25" i="11"/>
  <c r="V25" i="11"/>
  <c r="AX25" i="11"/>
  <c r="AR25" i="11"/>
  <c r="AL25" i="11"/>
  <c r="AF25" i="11"/>
  <c r="Z25" i="11"/>
  <c r="T25" i="11"/>
  <c r="H25" i="11"/>
  <c r="AQ25" i="11"/>
  <c r="AE25" i="11"/>
  <c r="S25" i="11"/>
  <c r="G25" i="11"/>
  <c r="AV25" i="11"/>
  <c r="AP25" i="11"/>
  <c r="AJ25" i="11"/>
  <c r="AD25" i="11"/>
  <c r="X25" i="11"/>
  <c r="R25" i="11"/>
  <c r="F25" i="11"/>
  <c r="AW25" i="11"/>
  <c r="AK25" i="11"/>
  <c r="Y25" i="11"/>
  <c r="M25" i="11"/>
  <c r="AU25" i="11"/>
  <c r="AO25" i="11"/>
  <c r="AI25" i="11"/>
  <c r="AC25" i="11"/>
  <c r="W25" i="11"/>
  <c r="Q25" i="11"/>
  <c r="K25" i="11"/>
  <c r="L96" i="11"/>
  <c r="I96" i="11"/>
  <c r="I10" i="11" l="1"/>
  <c r="L10" i="11"/>
  <c r="H13" i="11"/>
  <c r="I13" i="11" s="1"/>
  <c r="N10" i="11"/>
  <c r="I45" i="11"/>
  <c r="I37" i="11"/>
  <c r="N45" i="11"/>
  <c r="L37" i="11"/>
  <c r="K45" i="11"/>
  <c r="L45" i="11" s="1"/>
  <c r="N37" i="11"/>
  <c r="K13" i="11"/>
  <c r="L13" i="11" s="1"/>
  <c r="I25" i="11"/>
  <c r="N13" i="11"/>
  <c r="L25" i="11"/>
  <c r="N25" i="11"/>
  <c r="A60" i="11"/>
  <c r="B60" i="11"/>
  <c r="C60" i="11"/>
  <c r="D60" i="11"/>
  <c r="E60" i="11"/>
  <c r="F60" i="11"/>
  <c r="G60" i="11"/>
  <c r="H60" i="11"/>
  <c r="I60" i="11"/>
  <c r="J60" i="11"/>
  <c r="K60" i="11"/>
  <c r="L60" i="11"/>
  <c r="M60" i="11"/>
  <c r="N60" i="11"/>
  <c r="O60" i="11"/>
  <c r="P60" i="11"/>
  <c r="Q60" i="11"/>
  <c r="R60" i="11"/>
  <c r="S60" i="11"/>
  <c r="T60" i="11"/>
  <c r="U60" i="11"/>
  <c r="V60" i="11"/>
  <c r="W60" i="11"/>
  <c r="X60" i="11"/>
  <c r="Y60" i="11"/>
  <c r="Z60" i="11"/>
  <c r="AA60" i="11"/>
  <c r="AB60" i="11"/>
  <c r="AC60" i="11"/>
  <c r="AD60" i="11"/>
  <c r="AE60" i="11"/>
  <c r="AF60" i="11"/>
  <c r="AG60" i="11"/>
  <c r="AH60" i="11"/>
  <c r="AI60" i="11"/>
  <c r="AJ60" i="11"/>
  <c r="AK60" i="11"/>
  <c r="AL60" i="11"/>
  <c r="AM60" i="11"/>
  <c r="AN60" i="11"/>
  <c r="AO60" i="11"/>
  <c r="AP60" i="11"/>
  <c r="AQ60" i="11"/>
  <c r="AR60" i="11"/>
  <c r="AS60" i="11"/>
  <c r="AT60" i="11"/>
  <c r="AU60" i="11"/>
  <c r="AV60" i="11"/>
  <c r="AW60" i="11"/>
  <c r="AX60" i="11"/>
  <c r="AY60" i="11"/>
  <c r="AZ60" i="11"/>
  <c r="BA60" i="11"/>
  <c r="BB60" i="11"/>
  <c r="BC60" i="11"/>
  <c r="A61" i="11"/>
  <c r="B61" i="11"/>
  <c r="C61" i="11"/>
  <c r="D61" i="11"/>
  <c r="E61" i="11"/>
  <c r="F61" i="11"/>
  <c r="G61" i="11"/>
  <c r="H61" i="11"/>
  <c r="I61" i="11"/>
  <c r="J61" i="11"/>
  <c r="K61" i="11"/>
  <c r="L61" i="11"/>
  <c r="M61" i="11"/>
  <c r="N61" i="11"/>
  <c r="O61" i="11"/>
  <c r="P61" i="11"/>
  <c r="Q61" i="11"/>
  <c r="R61" i="11"/>
  <c r="S61" i="11"/>
  <c r="T61" i="11"/>
  <c r="U61" i="11"/>
  <c r="V61" i="11"/>
  <c r="W61" i="11"/>
  <c r="X61" i="11"/>
  <c r="Y61" i="11"/>
  <c r="Z61" i="11"/>
  <c r="AA61" i="11"/>
  <c r="AB61" i="11"/>
  <c r="AC61" i="11"/>
  <c r="AD61" i="11"/>
  <c r="AE61" i="11"/>
  <c r="AF61" i="11"/>
  <c r="AG61" i="11"/>
  <c r="AH61" i="11"/>
  <c r="AI61" i="11"/>
  <c r="AJ61" i="11"/>
  <c r="AK61" i="11"/>
  <c r="AL61" i="11"/>
  <c r="AM61" i="11"/>
  <c r="AN61" i="11"/>
  <c r="AO61" i="11"/>
  <c r="AP61" i="11"/>
  <c r="AQ61" i="11"/>
  <c r="AR61" i="11"/>
  <c r="AS61" i="11"/>
  <c r="AT61" i="11"/>
  <c r="AU61" i="11"/>
  <c r="AV61" i="11"/>
  <c r="AW61" i="11"/>
  <c r="AX61" i="11"/>
  <c r="AY61" i="11"/>
  <c r="AZ61" i="11"/>
  <c r="BA61" i="11"/>
  <c r="BB61" i="11"/>
  <c r="BC61" i="11"/>
  <c r="A62" i="11"/>
  <c r="B62" i="11"/>
  <c r="C62" i="11"/>
  <c r="D62" i="11"/>
  <c r="E62" i="11"/>
  <c r="F62" i="11"/>
  <c r="G62" i="11"/>
  <c r="H62" i="11"/>
  <c r="I62" i="11"/>
  <c r="J62" i="11"/>
  <c r="K62" i="11"/>
  <c r="L62" i="11"/>
  <c r="M62" i="11"/>
  <c r="N62" i="11"/>
  <c r="O62" i="11"/>
  <c r="P62" i="11"/>
  <c r="Q62" i="11"/>
  <c r="R62" i="11"/>
  <c r="S62" i="11"/>
  <c r="T62" i="11"/>
  <c r="U62" i="11"/>
  <c r="V62" i="11"/>
  <c r="W62" i="11"/>
  <c r="X62" i="11"/>
  <c r="Y62" i="11"/>
  <c r="Z62" i="11"/>
  <c r="AA62" i="11"/>
  <c r="AB62" i="11"/>
  <c r="AC62" i="11"/>
  <c r="AD62" i="11"/>
  <c r="AE62" i="11"/>
  <c r="AF62" i="11"/>
  <c r="AG62" i="11"/>
  <c r="AH62" i="11"/>
  <c r="AI62" i="11"/>
  <c r="AJ62" i="11"/>
  <c r="AK62" i="11"/>
  <c r="AL62" i="11"/>
  <c r="AM62" i="11"/>
  <c r="AN62" i="11"/>
  <c r="AO62" i="11"/>
  <c r="AP62" i="11"/>
  <c r="AQ62" i="11"/>
  <c r="AR62" i="11"/>
  <c r="AS62" i="11"/>
  <c r="AT62" i="11"/>
  <c r="AU62" i="11"/>
  <c r="AV62" i="11"/>
  <c r="AW62" i="11"/>
  <c r="AX62" i="11"/>
  <c r="AY62" i="11"/>
  <c r="AZ62" i="11"/>
  <c r="BA62" i="11"/>
  <c r="BB62" i="11"/>
  <c r="BC62" i="11"/>
  <c r="A63" i="11"/>
  <c r="B63" i="11"/>
  <c r="C63" i="11"/>
  <c r="D63" i="11"/>
  <c r="E63" i="11"/>
  <c r="F63" i="11"/>
  <c r="G63" i="11"/>
  <c r="H63" i="11"/>
  <c r="I63" i="11"/>
  <c r="J63" i="11"/>
  <c r="K63" i="11"/>
  <c r="L63" i="11"/>
  <c r="M63" i="11"/>
  <c r="N63" i="11"/>
  <c r="O63" i="11"/>
  <c r="P63" i="11"/>
  <c r="Q63" i="11"/>
  <c r="R63" i="11"/>
  <c r="S63" i="11"/>
  <c r="T63" i="11"/>
  <c r="U63" i="11"/>
  <c r="V63" i="11"/>
  <c r="W63" i="11"/>
  <c r="X63" i="11"/>
  <c r="Y63" i="11"/>
  <c r="Z63" i="11"/>
  <c r="AA63" i="11"/>
  <c r="AB63" i="11"/>
  <c r="AC63" i="11"/>
  <c r="AD63" i="11"/>
  <c r="AE63" i="11"/>
  <c r="AF63" i="11"/>
  <c r="AG63" i="11"/>
  <c r="AH63" i="11"/>
  <c r="AI63" i="11"/>
  <c r="AJ63" i="11"/>
  <c r="AK63" i="11"/>
  <c r="AL63" i="11"/>
  <c r="AM63" i="11"/>
  <c r="AN63" i="11"/>
  <c r="AO63" i="11"/>
  <c r="AP63" i="11"/>
  <c r="AQ63" i="11"/>
  <c r="AR63" i="11"/>
  <c r="AS63" i="11"/>
  <c r="AT63" i="11"/>
  <c r="AU63" i="11"/>
  <c r="AV63" i="11"/>
  <c r="AW63" i="11"/>
  <c r="AX63" i="11"/>
  <c r="AY63" i="11"/>
  <c r="AZ63" i="11"/>
  <c r="BA63" i="11"/>
  <c r="BB63" i="11"/>
  <c r="BC63" i="11"/>
  <c r="A64" i="11"/>
  <c r="B64" i="11"/>
  <c r="C64" i="11"/>
  <c r="D64" i="11"/>
  <c r="E64" i="11"/>
  <c r="F64" i="11"/>
  <c r="G64" i="11"/>
  <c r="H64" i="11"/>
  <c r="I64" i="11"/>
  <c r="J64" i="11"/>
  <c r="K64" i="11"/>
  <c r="L64" i="11"/>
  <c r="M64" i="11"/>
  <c r="N64" i="11"/>
  <c r="O64" i="11"/>
  <c r="P64" i="11"/>
  <c r="Q64" i="11"/>
  <c r="R64" i="11"/>
  <c r="S64" i="11"/>
  <c r="T64" i="11"/>
  <c r="U64" i="11"/>
  <c r="V64" i="11"/>
  <c r="W64" i="11"/>
  <c r="X64" i="11"/>
  <c r="Y64" i="11"/>
  <c r="Z64" i="11"/>
  <c r="AA64" i="11"/>
  <c r="AB64" i="11"/>
  <c r="AC64" i="11"/>
  <c r="AD64" i="11"/>
  <c r="AE64" i="11"/>
  <c r="AF64" i="11"/>
  <c r="AG64" i="11"/>
  <c r="AH64" i="11"/>
  <c r="AI64" i="11"/>
  <c r="AJ64" i="11"/>
  <c r="AK64" i="11"/>
  <c r="AL64" i="11"/>
  <c r="AM64" i="11"/>
  <c r="AN64" i="11"/>
  <c r="AO64" i="11"/>
  <c r="AP64" i="11"/>
  <c r="AQ64" i="11"/>
  <c r="AR64" i="11"/>
  <c r="AS64" i="11"/>
  <c r="AT64" i="11"/>
  <c r="AU64" i="11"/>
  <c r="AV64" i="11"/>
  <c r="AW64" i="11"/>
  <c r="AX64" i="11"/>
  <c r="AY64" i="11"/>
  <c r="AZ64" i="11"/>
  <c r="BA64" i="11"/>
  <c r="BB64" i="11"/>
  <c r="BC64" i="11"/>
  <c r="A65" i="11"/>
  <c r="B65" i="11"/>
  <c r="C65" i="11"/>
  <c r="D65" i="11"/>
  <c r="E65" i="11"/>
  <c r="F65" i="11"/>
  <c r="G65" i="11"/>
  <c r="H65" i="11"/>
  <c r="I65" i="11"/>
  <c r="J65" i="11"/>
  <c r="K65" i="11"/>
  <c r="L65" i="11"/>
  <c r="M65" i="11"/>
  <c r="N65" i="11"/>
  <c r="O65" i="11"/>
  <c r="P65" i="11"/>
  <c r="Q65" i="11"/>
  <c r="R65" i="11"/>
  <c r="S65" i="11"/>
  <c r="T65" i="11"/>
  <c r="U65" i="11"/>
  <c r="V65" i="11"/>
  <c r="W65" i="11"/>
  <c r="X65" i="11"/>
  <c r="Y65" i="11"/>
  <c r="Z65" i="11"/>
  <c r="AA65" i="11"/>
  <c r="AB65" i="11"/>
  <c r="AC65" i="11"/>
  <c r="AD65" i="11"/>
  <c r="AE65" i="11"/>
  <c r="AF65" i="11"/>
  <c r="AG65" i="11"/>
  <c r="AH65" i="11"/>
  <c r="AI65" i="11"/>
  <c r="AJ65" i="11"/>
  <c r="AK65" i="11"/>
  <c r="AL65" i="11"/>
  <c r="AM65" i="11"/>
  <c r="AN65" i="11"/>
  <c r="AO65" i="11"/>
  <c r="AP65" i="11"/>
  <c r="AQ65" i="11"/>
  <c r="AR65" i="11"/>
  <c r="AS65" i="11"/>
  <c r="AT65" i="11"/>
  <c r="AU65" i="11"/>
  <c r="AV65" i="11"/>
  <c r="AW65" i="11"/>
  <c r="AX65" i="11"/>
  <c r="AY65" i="11"/>
  <c r="AZ65" i="11"/>
  <c r="BA65" i="11"/>
  <c r="BB65" i="11"/>
  <c r="BC65" i="11"/>
  <c r="A66" i="11"/>
  <c r="B66" i="11"/>
  <c r="C66" i="11"/>
  <c r="D66" i="11"/>
  <c r="E66" i="11"/>
  <c r="F66" i="11"/>
  <c r="G66" i="11"/>
  <c r="H66" i="11"/>
  <c r="I66" i="11"/>
  <c r="J66" i="11"/>
  <c r="K66" i="11"/>
  <c r="L66" i="11"/>
  <c r="M66" i="11"/>
  <c r="N66" i="11"/>
  <c r="O66" i="11"/>
  <c r="P66" i="11"/>
  <c r="Q66" i="11"/>
  <c r="R66" i="11"/>
  <c r="S66" i="11"/>
  <c r="T66" i="11"/>
  <c r="U66" i="11"/>
  <c r="V66" i="11"/>
  <c r="W66" i="11"/>
  <c r="X66" i="11"/>
  <c r="Y66" i="11"/>
  <c r="Z66" i="11"/>
  <c r="AA66" i="11"/>
  <c r="AB66" i="11"/>
  <c r="AC66" i="11"/>
  <c r="AD66" i="11"/>
  <c r="AE66" i="11"/>
  <c r="AF66" i="11"/>
  <c r="AG66" i="11"/>
  <c r="AH66" i="11"/>
  <c r="AI66" i="11"/>
  <c r="AJ66" i="11"/>
  <c r="AK66" i="11"/>
  <c r="AL66" i="11"/>
  <c r="AM66" i="11"/>
  <c r="AN66" i="11"/>
  <c r="AO66" i="11"/>
  <c r="AP66" i="11"/>
  <c r="AQ66" i="11"/>
  <c r="AR66" i="11"/>
  <c r="AS66" i="11"/>
  <c r="AT66" i="11"/>
  <c r="AU66" i="11"/>
  <c r="AV66" i="11"/>
  <c r="AW66" i="11"/>
  <c r="AX66" i="11"/>
  <c r="AY66" i="11"/>
  <c r="AZ66" i="11"/>
  <c r="BA66" i="11"/>
  <c r="BB66" i="11"/>
  <c r="BC66" i="11"/>
  <c r="A67" i="11"/>
  <c r="B67" i="11"/>
  <c r="C67" i="11"/>
  <c r="D67" i="11"/>
  <c r="E67" i="11"/>
  <c r="F67" i="11"/>
  <c r="G67" i="11"/>
  <c r="H67" i="11"/>
  <c r="I67" i="11"/>
  <c r="J67" i="11"/>
  <c r="K67" i="11"/>
  <c r="L67" i="11"/>
  <c r="M67" i="11"/>
  <c r="N67" i="11"/>
  <c r="O67" i="11"/>
  <c r="P67" i="11"/>
  <c r="Q67" i="11"/>
  <c r="R67" i="11"/>
  <c r="S67" i="11"/>
  <c r="T67" i="11"/>
  <c r="U67" i="11"/>
  <c r="V67" i="11"/>
  <c r="W67" i="11"/>
  <c r="X67" i="11"/>
  <c r="Y67" i="11"/>
  <c r="Z67" i="11"/>
  <c r="AA67" i="11"/>
  <c r="AB67" i="11"/>
  <c r="AC67" i="11"/>
  <c r="AD67" i="11"/>
  <c r="AE67" i="11"/>
  <c r="AF67" i="11"/>
  <c r="AG67" i="11"/>
  <c r="AH67" i="11"/>
  <c r="AI67" i="11"/>
  <c r="AJ67" i="11"/>
  <c r="AK67" i="11"/>
  <c r="AL67" i="11"/>
  <c r="AM67" i="11"/>
  <c r="AN67" i="11"/>
  <c r="AO67" i="11"/>
  <c r="AP67" i="11"/>
  <c r="AQ67" i="11"/>
  <c r="AR67" i="11"/>
  <c r="AS67" i="11"/>
  <c r="AT67" i="11"/>
  <c r="AU67" i="11"/>
  <c r="AV67" i="11"/>
  <c r="AW67" i="11"/>
  <c r="AX67" i="11"/>
  <c r="AY67" i="11"/>
  <c r="AZ67" i="11"/>
  <c r="BA67" i="11"/>
  <c r="BB67" i="11"/>
  <c r="BC67" i="11"/>
  <c r="A68" i="11"/>
  <c r="B68" i="11"/>
  <c r="C68" i="11"/>
  <c r="D68" i="11"/>
  <c r="E68" i="11"/>
  <c r="F68" i="11"/>
  <c r="G68" i="11"/>
  <c r="H68" i="11"/>
  <c r="I68" i="11"/>
  <c r="J68" i="11"/>
  <c r="K68" i="11"/>
  <c r="L68" i="11"/>
  <c r="M68" i="11"/>
  <c r="N68" i="11"/>
  <c r="O68" i="11"/>
  <c r="P68" i="11"/>
  <c r="Q68" i="11"/>
  <c r="R68" i="11"/>
  <c r="S68" i="11"/>
  <c r="T68" i="11"/>
  <c r="U68" i="11"/>
  <c r="V68" i="11"/>
  <c r="W68" i="11"/>
  <c r="X68" i="11"/>
  <c r="Y68" i="11"/>
  <c r="Z68" i="11"/>
  <c r="AA68" i="11"/>
  <c r="AB68" i="11"/>
  <c r="AC68" i="11"/>
  <c r="AD68" i="11"/>
  <c r="AE68" i="11"/>
  <c r="AF68" i="11"/>
  <c r="AG68" i="11"/>
  <c r="AH68" i="11"/>
  <c r="AI68" i="11"/>
  <c r="AJ68" i="11"/>
  <c r="AK68" i="11"/>
  <c r="AL68" i="11"/>
  <c r="AM68" i="11"/>
  <c r="AN68" i="11"/>
  <c r="AO68" i="11"/>
  <c r="AP68" i="11"/>
  <c r="AQ68" i="11"/>
  <c r="AR68" i="11"/>
  <c r="AS68" i="11"/>
  <c r="AT68" i="11"/>
  <c r="AU68" i="11"/>
  <c r="AV68" i="11"/>
  <c r="AW68" i="11"/>
  <c r="AX68" i="11"/>
  <c r="AY68" i="11"/>
  <c r="AZ68" i="11"/>
  <c r="BA68" i="11"/>
  <c r="BB68" i="11"/>
  <c r="BC68" i="11"/>
  <c r="A69" i="11"/>
  <c r="B69" i="11"/>
  <c r="C69" i="11"/>
  <c r="D69" i="11"/>
  <c r="E69" i="11"/>
  <c r="F69" i="11"/>
  <c r="G69" i="11"/>
  <c r="H69" i="11"/>
  <c r="I69" i="11"/>
  <c r="J69" i="11"/>
  <c r="K69" i="11"/>
  <c r="L69" i="11"/>
  <c r="M69" i="11"/>
  <c r="N69" i="11"/>
  <c r="O69" i="11"/>
  <c r="P69" i="11"/>
  <c r="Q69" i="11"/>
  <c r="R69" i="11"/>
  <c r="S69" i="11"/>
  <c r="T69" i="11"/>
  <c r="U69" i="11"/>
  <c r="V69" i="11"/>
  <c r="W69" i="11"/>
  <c r="X69" i="11"/>
  <c r="Y69" i="11"/>
  <c r="Z69" i="11"/>
  <c r="AA69" i="11"/>
  <c r="AB69" i="11"/>
  <c r="AC69" i="11"/>
  <c r="AD69" i="11"/>
  <c r="AE69" i="11"/>
  <c r="AF69" i="11"/>
  <c r="AG69" i="11"/>
  <c r="AH69" i="11"/>
  <c r="AI69" i="11"/>
  <c r="AJ69" i="11"/>
  <c r="AK69" i="11"/>
  <c r="AL69" i="11"/>
  <c r="AM69" i="11"/>
  <c r="AN69" i="11"/>
  <c r="AO69" i="11"/>
  <c r="AP69" i="11"/>
  <c r="AQ69" i="11"/>
  <c r="AR69" i="11"/>
  <c r="AS69" i="11"/>
  <c r="AT69" i="11"/>
  <c r="AU69" i="11"/>
  <c r="AV69" i="11"/>
  <c r="AW69" i="11"/>
  <c r="AX69" i="11"/>
  <c r="AY69" i="11"/>
  <c r="AZ69" i="11"/>
  <c r="BA69" i="11"/>
  <c r="BB69" i="11"/>
  <c r="BC69" i="11"/>
  <c r="A70" i="11"/>
  <c r="B70" i="11"/>
  <c r="C70" i="11"/>
  <c r="D70" i="11"/>
  <c r="E70" i="11"/>
  <c r="F70" i="11"/>
  <c r="G70" i="11"/>
  <c r="H70" i="11"/>
  <c r="I70" i="11"/>
  <c r="J70" i="11"/>
  <c r="K70" i="11"/>
  <c r="L70" i="11"/>
  <c r="M70" i="11"/>
  <c r="N70" i="11"/>
  <c r="O70" i="11"/>
  <c r="P70" i="11"/>
  <c r="Q70" i="11"/>
  <c r="R70" i="11"/>
  <c r="S70" i="11"/>
  <c r="T70" i="11"/>
  <c r="U70" i="11"/>
  <c r="V70" i="11"/>
  <c r="W70" i="11"/>
  <c r="X70" i="11"/>
  <c r="Y70" i="11"/>
  <c r="Z70" i="11"/>
  <c r="AA70" i="11"/>
  <c r="AB70" i="11"/>
  <c r="AC70" i="11"/>
  <c r="AD70" i="11"/>
  <c r="AE70" i="11"/>
  <c r="AF70" i="11"/>
  <c r="AG70" i="11"/>
  <c r="AH70" i="11"/>
  <c r="AI70" i="11"/>
  <c r="AJ70" i="11"/>
  <c r="AK70" i="11"/>
  <c r="AL70" i="11"/>
  <c r="AM70" i="11"/>
  <c r="AN70" i="11"/>
  <c r="AO70" i="11"/>
  <c r="AP70" i="11"/>
  <c r="AQ70" i="11"/>
  <c r="AR70" i="11"/>
  <c r="AS70" i="11"/>
  <c r="AT70" i="11"/>
  <c r="AU70" i="11"/>
  <c r="AV70" i="11"/>
  <c r="AW70" i="11"/>
  <c r="AX70" i="11"/>
  <c r="AY70" i="11"/>
  <c r="AZ70" i="11"/>
  <c r="BA70" i="11"/>
  <c r="BB70" i="11"/>
  <c r="BC70" i="11"/>
  <c r="A71" i="11"/>
  <c r="B71" i="11"/>
  <c r="C71" i="11"/>
  <c r="D71" i="11"/>
  <c r="E71" i="11"/>
  <c r="F71" i="11"/>
  <c r="G71" i="11"/>
  <c r="H71" i="11"/>
  <c r="I71" i="11"/>
  <c r="J71" i="11"/>
  <c r="K71" i="11"/>
  <c r="L71" i="11"/>
  <c r="M71" i="11"/>
  <c r="N71" i="11"/>
  <c r="O71" i="11"/>
  <c r="P71" i="11"/>
  <c r="Q71" i="11"/>
  <c r="R71" i="11"/>
  <c r="S71" i="11"/>
  <c r="T71" i="11"/>
  <c r="U71" i="11"/>
  <c r="V71" i="11"/>
  <c r="W71" i="11"/>
  <c r="X71" i="11"/>
  <c r="Y71" i="11"/>
  <c r="Z71" i="11"/>
  <c r="AA71" i="11"/>
  <c r="AB71" i="11"/>
  <c r="AC71" i="11"/>
  <c r="AD71" i="11"/>
  <c r="AE71" i="11"/>
  <c r="AF71" i="11"/>
  <c r="AG71" i="11"/>
  <c r="AH71" i="11"/>
  <c r="AI71" i="11"/>
  <c r="AJ71" i="11"/>
  <c r="AK71" i="11"/>
  <c r="AL71" i="11"/>
  <c r="AM71" i="11"/>
  <c r="AN71" i="11"/>
  <c r="AO71" i="11"/>
  <c r="AP71" i="11"/>
  <c r="AQ71" i="11"/>
  <c r="AR71" i="11"/>
  <c r="AS71" i="11"/>
  <c r="AT71" i="11"/>
  <c r="AU71" i="11"/>
  <c r="AV71" i="11"/>
  <c r="AW71" i="11"/>
  <c r="AX71" i="11"/>
  <c r="AY71" i="11"/>
  <c r="AZ71" i="11"/>
  <c r="BA71" i="11"/>
  <c r="BB71" i="11"/>
  <c r="BC71" i="11"/>
  <c r="A72" i="11"/>
  <c r="B72" i="11"/>
  <c r="C72" i="11"/>
  <c r="D72" i="11"/>
  <c r="E72" i="11"/>
  <c r="F72" i="11"/>
  <c r="G72" i="11"/>
  <c r="H72" i="11"/>
  <c r="I72" i="11"/>
  <c r="J72" i="11"/>
  <c r="K72" i="11"/>
  <c r="L72" i="11"/>
  <c r="M72" i="11"/>
  <c r="N72" i="11"/>
  <c r="O72" i="11"/>
  <c r="P72" i="11"/>
  <c r="Q72" i="11"/>
  <c r="R72" i="11"/>
  <c r="S72" i="11"/>
  <c r="T72" i="11"/>
  <c r="U72" i="11"/>
  <c r="V72" i="11"/>
  <c r="W72" i="11"/>
  <c r="X72" i="11"/>
  <c r="Y72" i="11"/>
  <c r="Z72" i="11"/>
  <c r="AA72" i="11"/>
  <c r="AB72" i="11"/>
  <c r="AC72" i="11"/>
  <c r="AD72" i="11"/>
  <c r="AE72" i="11"/>
  <c r="AF72" i="11"/>
  <c r="AG72" i="11"/>
  <c r="AH72" i="11"/>
  <c r="AI72" i="11"/>
  <c r="AJ72" i="11"/>
  <c r="AK72" i="11"/>
  <c r="AL72" i="11"/>
  <c r="AM72" i="11"/>
  <c r="AN72" i="11"/>
  <c r="AO72" i="11"/>
  <c r="AP72" i="11"/>
  <c r="AQ72" i="11"/>
  <c r="AR72" i="11"/>
  <c r="AS72" i="11"/>
  <c r="AT72" i="11"/>
  <c r="AU72" i="11"/>
  <c r="AV72" i="11"/>
  <c r="AW72" i="11"/>
  <c r="AX72" i="11"/>
  <c r="AY72" i="11"/>
  <c r="AZ72" i="11"/>
  <c r="BA72" i="11"/>
  <c r="BB72" i="11"/>
  <c r="BC72" i="11"/>
  <c r="A73" i="11"/>
  <c r="B73" i="11"/>
  <c r="C73" i="11"/>
  <c r="D73" i="11"/>
  <c r="E73" i="11"/>
  <c r="F73" i="11"/>
  <c r="G73" i="11"/>
  <c r="H73" i="11"/>
  <c r="I73" i="11"/>
  <c r="J73" i="11"/>
  <c r="K73" i="11"/>
  <c r="L73" i="11"/>
  <c r="M73" i="11"/>
  <c r="N73" i="11"/>
  <c r="O73" i="11"/>
  <c r="P73" i="11"/>
  <c r="Q73" i="11"/>
  <c r="R73" i="11"/>
  <c r="S73" i="11"/>
  <c r="T73" i="11"/>
  <c r="U73" i="11"/>
  <c r="V73" i="11"/>
  <c r="W73" i="11"/>
  <c r="X73" i="11"/>
  <c r="Y73" i="11"/>
  <c r="Z73" i="11"/>
  <c r="AA73" i="11"/>
  <c r="AB73" i="11"/>
  <c r="AC73" i="11"/>
  <c r="AD73" i="11"/>
  <c r="AE73" i="11"/>
  <c r="AF73" i="11"/>
  <c r="AG73" i="11"/>
  <c r="AH73" i="11"/>
  <c r="AI73" i="11"/>
  <c r="AJ73" i="11"/>
  <c r="AK73" i="11"/>
  <c r="AL73" i="11"/>
  <c r="AM73" i="11"/>
  <c r="AN73" i="11"/>
  <c r="AO73" i="11"/>
  <c r="AP73" i="11"/>
  <c r="AQ73" i="11"/>
  <c r="AR73" i="11"/>
  <c r="AS73" i="11"/>
  <c r="AT73" i="11"/>
  <c r="AU73" i="11"/>
  <c r="AV73" i="11"/>
  <c r="AW73" i="11"/>
  <c r="AX73" i="11"/>
  <c r="AY73" i="11"/>
  <c r="AZ73" i="11"/>
  <c r="BA73" i="11"/>
  <c r="BB73" i="11"/>
  <c r="BC73" i="11"/>
  <c r="A74" i="11"/>
  <c r="B74" i="11"/>
  <c r="C74" i="11"/>
  <c r="D74" i="11"/>
  <c r="E74" i="11"/>
  <c r="F74" i="11"/>
  <c r="G74" i="11"/>
  <c r="H74" i="11"/>
  <c r="I74" i="11"/>
  <c r="J74" i="11"/>
  <c r="K74" i="11"/>
  <c r="L74" i="11"/>
  <c r="M74" i="11"/>
  <c r="N74" i="11"/>
  <c r="O74" i="11"/>
  <c r="P74" i="11"/>
  <c r="Q74" i="11"/>
  <c r="R74" i="11"/>
  <c r="S74" i="11"/>
  <c r="T74" i="11"/>
  <c r="U74" i="11"/>
  <c r="V74" i="11"/>
  <c r="W74" i="11"/>
  <c r="X74" i="11"/>
  <c r="Y74" i="11"/>
  <c r="Z74" i="11"/>
  <c r="AA74" i="11"/>
  <c r="AB74" i="11"/>
  <c r="AC74" i="11"/>
  <c r="AD74" i="11"/>
  <c r="AE74" i="11"/>
  <c r="AF74" i="11"/>
  <c r="AG74" i="11"/>
  <c r="AH74" i="11"/>
  <c r="AI74" i="11"/>
  <c r="AJ74" i="11"/>
  <c r="AK74" i="11"/>
  <c r="AL74" i="11"/>
  <c r="AM74" i="11"/>
  <c r="AN74" i="11"/>
  <c r="AO74" i="11"/>
  <c r="AP74" i="11"/>
  <c r="AQ74" i="11"/>
  <c r="AR74" i="11"/>
  <c r="AS74" i="11"/>
  <c r="AT74" i="11"/>
  <c r="AU74" i="11"/>
  <c r="AV74" i="11"/>
  <c r="AW74" i="11"/>
  <c r="AX74" i="11"/>
  <c r="AY74" i="11"/>
  <c r="AZ74" i="11"/>
  <c r="BA74" i="11"/>
  <c r="BB74" i="11"/>
  <c r="BC74" i="11"/>
  <c r="A75" i="11"/>
  <c r="B75" i="11"/>
  <c r="C75" i="11"/>
  <c r="D75" i="11"/>
  <c r="E75" i="11"/>
  <c r="F75" i="11"/>
  <c r="G75" i="11"/>
  <c r="H75" i="11"/>
  <c r="I75" i="11"/>
  <c r="J75" i="11"/>
  <c r="K75" i="11"/>
  <c r="L75" i="11"/>
  <c r="M75" i="11"/>
  <c r="N75" i="11"/>
  <c r="O75" i="11"/>
  <c r="P75" i="11"/>
  <c r="Q75" i="11"/>
  <c r="R75" i="11"/>
  <c r="S75" i="11"/>
  <c r="T75" i="11"/>
  <c r="U75" i="11"/>
  <c r="V75" i="11"/>
  <c r="W75" i="11"/>
  <c r="X75" i="11"/>
  <c r="Y75" i="11"/>
  <c r="Z75" i="11"/>
  <c r="AA75" i="11"/>
  <c r="AB75" i="11"/>
  <c r="AC75" i="11"/>
  <c r="AD75" i="11"/>
  <c r="AE75" i="11"/>
  <c r="AF75" i="11"/>
  <c r="AG75" i="11"/>
  <c r="AH75" i="11"/>
  <c r="AI75" i="11"/>
  <c r="AJ75" i="11"/>
  <c r="AK75" i="11"/>
  <c r="AL75" i="11"/>
  <c r="AM75" i="11"/>
  <c r="AN75" i="11"/>
  <c r="AO75" i="11"/>
  <c r="AP75" i="11"/>
  <c r="AQ75" i="11"/>
  <c r="AR75" i="11"/>
  <c r="AS75" i="11"/>
  <c r="AT75" i="11"/>
  <c r="AU75" i="11"/>
  <c r="AV75" i="11"/>
  <c r="AW75" i="11"/>
  <c r="AX75" i="11"/>
  <c r="AY75" i="11"/>
  <c r="AZ75" i="11"/>
  <c r="BA75" i="11"/>
  <c r="BB75" i="11"/>
  <c r="BC75" i="11"/>
  <c r="A76" i="11"/>
  <c r="B76" i="11"/>
  <c r="C76" i="11"/>
  <c r="D76" i="11"/>
  <c r="E76" i="11"/>
  <c r="F76" i="11"/>
  <c r="G76" i="11"/>
  <c r="H76" i="11"/>
  <c r="I76" i="11"/>
  <c r="J76" i="11"/>
  <c r="K76" i="11"/>
  <c r="L76" i="11"/>
  <c r="M76" i="11"/>
  <c r="N76" i="11"/>
  <c r="O76" i="11"/>
  <c r="P76" i="11"/>
  <c r="Q76" i="11"/>
  <c r="R76" i="11"/>
  <c r="S76" i="11"/>
  <c r="T76" i="11"/>
  <c r="U76" i="11"/>
  <c r="V76" i="11"/>
  <c r="W76" i="11"/>
  <c r="X76" i="11"/>
  <c r="Y76" i="11"/>
  <c r="Z76" i="11"/>
  <c r="AA76" i="11"/>
  <c r="AB76" i="11"/>
  <c r="AC76" i="11"/>
  <c r="AD76" i="11"/>
  <c r="AE76" i="11"/>
  <c r="AF76" i="11"/>
  <c r="AG76" i="11"/>
  <c r="AH76" i="11"/>
  <c r="AI76" i="11"/>
  <c r="AJ76" i="11"/>
  <c r="AK76" i="11"/>
  <c r="AL76" i="11"/>
  <c r="AM76" i="11"/>
  <c r="AN76" i="11"/>
  <c r="AO76" i="11"/>
  <c r="AP76" i="11"/>
  <c r="AQ76" i="11"/>
  <c r="AR76" i="11"/>
  <c r="AS76" i="11"/>
  <c r="AT76" i="11"/>
  <c r="AU76" i="11"/>
  <c r="AV76" i="11"/>
  <c r="AW76" i="11"/>
  <c r="AX76" i="11"/>
  <c r="AY76" i="11"/>
  <c r="AZ76" i="11"/>
  <c r="BA76" i="11"/>
  <c r="BB76" i="11"/>
  <c r="BC76" i="11"/>
  <c r="A77" i="11"/>
  <c r="B77" i="11"/>
  <c r="C77" i="11"/>
  <c r="D77" i="11"/>
  <c r="E77" i="11"/>
  <c r="F77" i="11"/>
  <c r="G77" i="11"/>
  <c r="H77" i="11"/>
  <c r="I77" i="11"/>
  <c r="J77" i="11"/>
  <c r="K77" i="11"/>
  <c r="L77" i="11"/>
  <c r="M77" i="11"/>
  <c r="N77" i="11"/>
  <c r="O77" i="11"/>
  <c r="P77" i="11"/>
  <c r="Q77" i="11"/>
  <c r="R77" i="11"/>
  <c r="S77" i="11"/>
  <c r="T77" i="11"/>
  <c r="U77" i="11"/>
  <c r="V77" i="11"/>
  <c r="W77" i="11"/>
  <c r="X77" i="11"/>
  <c r="Y77" i="11"/>
  <c r="Z77" i="11"/>
  <c r="AA77" i="11"/>
  <c r="AB77" i="11"/>
  <c r="AC77" i="11"/>
  <c r="AD77" i="11"/>
  <c r="AE77" i="11"/>
  <c r="AF77" i="11"/>
  <c r="AG77" i="11"/>
  <c r="AH77" i="11"/>
  <c r="AI77" i="11"/>
  <c r="AJ77" i="11"/>
  <c r="AK77" i="11"/>
  <c r="AL77" i="11"/>
  <c r="AM77" i="11"/>
  <c r="AN77" i="11"/>
  <c r="AO77" i="11"/>
  <c r="AP77" i="11"/>
  <c r="AQ77" i="11"/>
  <c r="AR77" i="11"/>
  <c r="AS77" i="11"/>
  <c r="AT77" i="11"/>
  <c r="AU77" i="11"/>
  <c r="AV77" i="11"/>
  <c r="AW77" i="11"/>
  <c r="AX77" i="11"/>
  <c r="AY77" i="11"/>
  <c r="AZ77" i="11"/>
  <c r="BA77" i="11"/>
  <c r="BB77" i="11"/>
  <c r="BC77" i="11"/>
  <c r="A78" i="11"/>
  <c r="B78" i="11"/>
  <c r="C78" i="11"/>
  <c r="D78" i="11"/>
  <c r="E78" i="11"/>
  <c r="F78" i="11"/>
  <c r="G78" i="11"/>
  <c r="H78" i="11"/>
  <c r="I78" i="11"/>
  <c r="J78" i="11"/>
  <c r="K78" i="11"/>
  <c r="L78" i="11"/>
  <c r="M78" i="11"/>
  <c r="N78" i="11"/>
  <c r="O78" i="11"/>
  <c r="P78" i="11"/>
  <c r="Q78" i="11"/>
  <c r="R78" i="11"/>
  <c r="S78" i="11"/>
  <c r="T78" i="11"/>
  <c r="U78" i="11"/>
  <c r="V78" i="11"/>
  <c r="W78" i="11"/>
  <c r="X78" i="11"/>
  <c r="Y78" i="11"/>
  <c r="Z78" i="11"/>
  <c r="AA78" i="11"/>
  <c r="AB78" i="11"/>
  <c r="AC78" i="11"/>
  <c r="AD78" i="11"/>
  <c r="AE78" i="11"/>
  <c r="AF78" i="11"/>
  <c r="AG78" i="11"/>
  <c r="AH78" i="11"/>
  <c r="AI78" i="11"/>
  <c r="AJ78" i="11"/>
  <c r="AK78" i="11"/>
  <c r="AL78" i="11"/>
  <c r="AM78" i="11"/>
  <c r="AN78" i="11"/>
  <c r="AO78" i="11"/>
  <c r="AP78" i="11"/>
  <c r="AQ78" i="11"/>
  <c r="AR78" i="11"/>
  <c r="AS78" i="11"/>
  <c r="AT78" i="11"/>
  <c r="AU78" i="11"/>
  <c r="AV78" i="11"/>
  <c r="AW78" i="11"/>
  <c r="AX78" i="11"/>
  <c r="AY78" i="11"/>
  <c r="AZ78" i="11"/>
  <c r="BA78" i="11"/>
  <c r="BB78" i="11"/>
  <c r="BC78" i="11"/>
  <c r="A79" i="11"/>
  <c r="B79" i="11"/>
  <c r="C79" i="11"/>
  <c r="D79" i="11"/>
  <c r="E79" i="11"/>
  <c r="F79" i="11"/>
  <c r="G79" i="11"/>
  <c r="H79" i="11"/>
  <c r="I79" i="11"/>
  <c r="J79" i="11"/>
  <c r="K79" i="11"/>
  <c r="L79" i="11"/>
  <c r="M79" i="11"/>
  <c r="N79" i="11"/>
  <c r="O79" i="11"/>
  <c r="P79" i="11"/>
  <c r="Q79" i="11"/>
  <c r="R79" i="11"/>
  <c r="S79" i="11"/>
  <c r="T79" i="11"/>
  <c r="U79" i="11"/>
  <c r="V79" i="11"/>
  <c r="W79" i="11"/>
  <c r="X79" i="11"/>
  <c r="Y79" i="11"/>
  <c r="Z79" i="11"/>
  <c r="AA79" i="11"/>
  <c r="AB79" i="11"/>
  <c r="AC79" i="11"/>
  <c r="AD79" i="11"/>
  <c r="AE79" i="11"/>
  <c r="AF79" i="11"/>
  <c r="AG79" i="11"/>
  <c r="AH79" i="11"/>
  <c r="AI79" i="11"/>
  <c r="AJ79" i="11"/>
  <c r="AK79" i="11"/>
  <c r="AL79" i="11"/>
  <c r="AM79" i="11"/>
  <c r="AN79" i="11"/>
  <c r="AO79" i="11"/>
  <c r="AP79" i="11"/>
  <c r="AQ79" i="11"/>
  <c r="AR79" i="11"/>
  <c r="AS79" i="11"/>
  <c r="AT79" i="11"/>
  <c r="AU79" i="11"/>
  <c r="AV79" i="11"/>
  <c r="AW79" i="11"/>
  <c r="AX79" i="11"/>
  <c r="AY79" i="11"/>
  <c r="AZ79" i="11"/>
  <c r="BA79" i="11"/>
  <c r="BB79" i="11"/>
  <c r="BC79" i="11"/>
  <c r="A80" i="11"/>
  <c r="B80" i="11"/>
  <c r="C80" i="11"/>
  <c r="D80" i="11"/>
  <c r="E80" i="11"/>
  <c r="F80" i="11"/>
  <c r="G80" i="11"/>
  <c r="H80" i="11"/>
  <c r="I80" i="11"/>
  <c r="J80" i="11"/>
  <c r="K80" i="11"/>
  <c r="L80" i="11"/>
  <c r="M80" i="11"/>
  <c r="N80" i="11"/>
  <c r="O80" i="11"/>
  <c r="P80" i="11"/>
  <c r="Q80" i="11"/>
  <c r="R80" i="11"/>
  <c r="S80" i="11"/>
  <c r="T80" i="11"/>
  <c r="U80" i="11"/>
  <c r="V80" i="11"/>
  <c r="W80" i="11"/>
  <c r="X80" i="11"/>
  <c r="Y80" i="11"/>
  <c r="Z80" i="11"/>
  <c r="AA80" i="11"/>
  <c r="AB80" i="11"/>
  <c r="AC80" i="11"/>
  <c r="AD80" i="11"/>
  <c r="AE80" i="11"/>
  <c r="AF80" i="11"/>
  <c r="AG80" i="11"/>
  <c r="AH80" i="11"/>
  <c r="AI80" i="11"/>
  <c r="AJ80" i="11"/>
  <c r="AK80" i="11"/>
  <c r="AL80" i="11"/>
  <c r="AM80" i="11"/>
  <c r="AN80" i="11"/>
  <c r="AO80" i="11"/>
  <c r="AP80" i="11"/>
  <c r="AQ80" i="11"/>
  <c r="AR80" i="11"/>
  <c r="AS80" i="11"/>
  <c r="AT80" i="11"/>
  <c r="AU80" i="11"/>
  <c r="AV80" i="11"/>
  <c r="AW80" i="11"/>
  <c r="AX80" i="11"/>
  <c r="AY80" i="11"/>
  <c r="AZ80" i="11"/>
  <c r="BA80" i="11"/>
  <c r="BB80" i="11"/>
  <c r="BC80" i="11"/>
  <c r="A82" i="11"/>
  <c r="B82" i="11"/>
  <c r="C82" i="11"/>
  <c r="D82" i="11"/>
  <c r="E82" i="11"/>
  <c r="F82" i="11"/>
  <c r="G82" i="11"/>
  <c r="H82" i="11"/>
  <c r="I82" i="11"/>
  <c r="J82" i="11"/>
  <c r="K82" i="11"/>
  <c r="L82" i="11"/>
  <c r="M82" i="11"/>
  <c r="N82" i="11"/>
  <c r="O82" i="11"/>
  <c r="P82" i="11"/>
  <c r="Q82" i="11"/>
  <c r="R82" i="11"/>
  <c r="S82" i="11"/>
  <c r="T82" i="11"/>
  <c r="U82" i="11"/>
  <c r="V82" i="11"/>
  <c r="W82" i="11"/>
  <c r="X82" i="11"/>
  <c r="Y82" i="11"/>
  <c r="Z82" i="11"/>
  <c r="AA82" i="11"/>
  <c r="AB82" i="11"/>
  <c r="AC82" i="11"/>
  <c r="AD82" i="11"/>
  <c r="AE82" i="11"/>
  <c r="AF82" i="11"/>
  <c r="AG82" i="11"/>
  <c r="AH82" i="11"/>
  <c r="AI82" i="11"/>
  <c r="AJ82" i="11"/>
  <c r="AK82" i="11"/>
  <c r="AL82" i="11"/>
  <c r="AM82" i="11"/>
  <c r="AN82" i="11"/>
  <c r="AO82" i="11"/>
  <c r="AP82" i="11"/>
  <c r="AQ82" i="11"/>
  <c r="AR82" i="11"/>
  <c r="AS82" i="11"/>
  <c r="AT82" i="11"/>
  <c r="AU82" i="11"/>
  <c r="AV82" i="11"/>
  <c r="AW82" i="11"/>
  <c r="AX82" i="11"/>
  <c r="AY82" i="11"/>
  <c r="AZ82" i="11"/>
  <c r="BA82" i="11"/>
  <c r="BB82" i="11"/>
  <c r="BC82" i="11"/>
  <c r="A83" i="11"/>
  <c r="B83" i="11"/>
  <c r="C83" i="11"/>
  <c r="D83" i="11"/>
  <c r="E83" i="11"/>
  <c r="F83" i="11"/>
  <c r="G83" i="11"/>
  <c r="H83" i="11"/>
  <c r="I83" i="11"/>
  <c r="J83" i="11"/>
  <c r="K83" i="11"/>
  <c r="L83" i="11"/>
  <c r="M83" i="11"/>
  <c r="N83" i="11"/>
  <c r="O83" i="11"/>
  <c r="P83" i="11"/>
  <c r="Q83" i="11"/>
  <c r="R83" i="11"/>
  <c r="S83" i="11"/>
  <c r="T83" i="11"/>
  <c r="U83" i="11"/>
  <c r="V83" i="11"/>
  <c r="W83" i="11"/>
  <c r="X83" i="11"/>
  <c r="Y83" i="11"/>
  <c r="Z83" i="11"/>
  <c r="AA83" i="11"/>
  <c r="AB83" i="11"/>
  <c r="AC83" i="11"/>
  <c r="AD83" i="11"/>
  <c r="AE83" i="11"/>
  <c r="AF83" i="11"/>
  <c r="AG83" i="11"/>
  <c r="AH83" i="11"/>
  <c r="AI83" i="11"/>
  <c r="AJ83" i="11"/>
  <c r="AK83" i="11"/>
  <c r="AL83" i="11"/>
  <c r="AM83" i="11"/>
  <c r="AN83" i="11"/>
  <c r="AO83" i="11"/>
  <c r="AP83" i="11"/>
  <c r="AQ83" i="11"/>
  <c r="AR83" i="11"/>
  <c r="AS83" i="11"/>
  <c r="AT83" i="11"/>
  <c r="AU83" i="11"/>
  <c r="AV83" i="11"/>
  <c r="AW83" i="11"/>
  <c r="AX83" i="11"/>
  <c r="AY83" i="11"/>
  <c r="AZ83" i="11"/>
  <c r="BA83" i="11"/>
  <c r="BB83" i="11"/>
  <c r="BC83" i="11"/>
  <c r="A84" i="11"/>
  <c r="B84" i="11"/>
  <c r="C84" i="11"/>
  <c r="D84" i="11"/>
  <c r="E84" i="11"/>
  <c r="F84" i="11"/>
  <c r="G84" i="11"/>
  <c r="H84" i="11"/>
  <c r="I84" i="11"/>
  <c r="J84" i="11"/>
  <c r="K84" i="11"/>
  <c r="L84" i="11"/>
  <c r="M84" i="11"/>
  <c r="N84" i="11"/>
  <c r="O84" i="11"/>
  <c r="P84" i="11"/>
  <c r="Q84" i="11"/>
  <c r="R84" i="11"/>
  <c r="S84" i="11"/>
  <c r="T84" i="11"/>
  <c r="U84" i="11"/>
  <c r="V84" i="11"/>
  <c r="W84" i="11"/>
  <c r="X84" i="11"/>
  <c r="Y84" i="11"/>
  <c r="Z84" i="11"/>
  <c r="AA84" i="11"/>
  <c r="AB84" i="11"/>
  <c r="AC84" i="11"/>
  <c r="AD84" i="11"/>
  <c r="AE84" i="11"/>
  <c r="AF84" i="11"/>
  <c r="AG84" i="11"/>
  <c r="AH84" i="11"/>
  <c r="AI84" i="11"/>
  <c r="AJ84" i="11"/>
  <c r="AK84" i="11"/>
  <c r="AL84" i="11"/>
  <c r="AM84" i="11"/>
  <c r="AN84" i="11"/>
  <c r="AO84" i="11"/>
  <c r="AP84" i="11"/>
  <c r="AQ84" i="11"/>
  <c r="AR84" i="11"/>
  <c r="AS84" i="11"/>
  <c r="AT84" i="11"/>
  <c r="AU84" i="11"/>
  <c r="AV84" i="11"/>
  <c r="AW84" i="11"/>
  <c r="AX84" i="11"/>
  <c r="AY84" i="11"/>
  <c r="AZ84" i="11"/>
  <c r="BA84" i="11"/>
  <c r="BB84" i="11"/>
  <c r="BC84" i="11"/>
  <c r="A85" i="11"/>
  <c r="B85" i="11"/>
  <c r="C85" i="11"/>
  <c r="D85" i="11"/>
  <c r="E85" i="11"/>
  <c r="F85" i="11"/>
  <c r="G85" i="11"/>
  <c r="H85" i="11"/>
  <c r="I85" i="11"/>
  <c r="J85" i="11"/>
  <c r="K85" i="11"/>
  <c r="L85" i="11"/>
  <c r="M85" i="11"/>
  <c r="N85" i="11"/>
  <c r="O85" i="11"/>
  <c r="P85" i="11"/>
  <c r="Q85" i="11"/>
  <c r="R85" i="11"/>
  <c r="S85" i="11"/>
  <c r="T85" i="11"/>
  <c r="U85" i="11"/>
  <c r="V85" i="11"/>
  <c r="W85" i="11"/>
  <c r="X85" i="11"/>
  <c r="Y85" i="11"/>
  <c r="Z85" i="11"/>
  <c r="AA85" i="11"/>
  <c r="AB85" i="11"/>
  <c r="AC85" i="11"/>
  <c r="AD85" i="11"/>
  <c r="AE85" i="11"/>
  <c r="AF85" i="11"/>
  <c r="AG85" i="11"/>
  <c r="AH85" i="11"/>
  <c r="AI85" i="11"/>
  <c r="AJ85" i="11"/>
  <c r="AK85" i="11"/>
  <c r="AL85" i="11"/>
  <c r="AM85" i="11"/>
  <c r="AN85" i="11"/>
  <c r="AO85" i="11"/>
  <c r="AP85" i="11"/>
  <c r="AQ85" i="11"/>
  <c r="AR85" i="11"/>
  <c r="AS85" i="11"/>
  <c r="AT85" i="11"/>
  <c r="AU85" i="11"/>
  <c r="AV85" i="11"/>
  <c r="AW85" i="11"/>
  <c r="AX85" i="11"/>
  <c r="AY85" i="11"/>
  <c r="AZ85" i="11"/>
  <c r="BA85" i="11"/>
  <c r="BB85" i="11"/>
  <c r="BC85" i="11"/>
  <c r="A86" i="11"/>
  <c r="B86" i="11"/>
  <c r="C86" i="11"/>
  <c r="D86" i="11"/>
  <c r="E86" i="11"/>
  <c r="F86" i="11"/>
  <c r="G86" i="11"/>
  <c r="H86" i="11"/>
  <c r="I86" i="11"/>
  <c r="J86" i="11"/>
  <c r="K86" i="11"/>
  <c r="L86" i="11"/>
  <c r="M86" i="11"/>
  <c r="N86" i="11"/>
  <c r="O86" i="11"/>
  <c r="P86" i="11"/>
  <c r="Q86" i="11"/>
  <c r="R86" i="11"/>
  <c r="S86" i="11"/>
  <c r="T86" i="11"/>
  <c r="U86" i="11"/>
  <c r="V86" i="11"/>
  <c r="W86" i="11"/>
  <c r="X86" i="11"/>
  <c r="Y86" i="11"/>
  <c r="Z86" i="11"/>
  <c r="AA86" i="11"/>
  <c r="AB86" i="11"/>
  <c r="AC86" i="11"/>
  <c r="AD86" i="11"/>
  <c r="AE86" i="11"/>
  <c r="AF86" i="11"/>
  <c r="AG86" i="11"/>
  <c r="AH86" i="11"/>
  <c r="AI86" i="11"/>
  <c r="AJ86" i="11"/>
  <c r="AK86" i="11"/>
  <c r="AL86" i="11"/>
  <c r="AM86" i="11"/>
  <c r="AN86" i="11"/>
  <c r="AO86" i="11"/>
  <c r="AP86" i="11"/>
  <c r="AQ86" i="11"/>
  <c r="AR86" i="11"/>
  <c r="AS86" i="11"/>
  <c r="AT86" i="11"/>
  <c r="AU86" i="11"/>
  <c r="AV86" i="11"/>
  <c r="AW86" i="11"/>
  <c r="AX86" i="11"/>
  <c r="AY86" i="11"/>
  <c r="AZ86" i="11"/>
  <c r="BA86" i="11"/>
  <c r="BB86" i="11"/>
  <c r="BC86" i="11"/>
  <c r="A87" i="11"/>
  <c r="B87" i="11"/>
  <c r="C87" i="11"/>
  <c r="D87" i="11"/>
  <c r="E87" i="11"/>
  <c r="F87" i="11"/>
  <c r="G87" i="11"/>
  <c r="H87" i="11"/>
  <c r="I87" i="11"/>
  <c r="J87" i="11"/>
  <c r="K87" i="11"/>
  <c r="L87" i="11"/>
  <c r="M87" i="11"/>
  <c r="N87" i="11"/>
  <c r="O87" i="11"/>
  <c r="P87" i="11"/>
  <c r="Q87" i="11"/>
  <c r="R87" i="11"/>
  <c r="S87" i="11"/>
  <c r="T87" i="11"/>
  <c r="U87" i="11"/>
  <c r="V87" i="11"/>
  <c r="W87" i="11"/>
  <c r="X87" i="11"/>
  <c r="Y87" i="11"/>
  <c r="Z87" i="11"/>
  <c r="AA87" i="11"/>
  <c r="AB87" i="11"/>
  <c r="AC87" i="11"/>
  <c r="AD87" i="11"/>
  <c r="AE87" i="11"/>
  <c r="AF87" i="11"/>
  <c r="AG87" i="11"/>
  <c r="AH87" i="11"/>
  <c r="AI87" i="11"/>
  <c r="AJ87" i="11"/>
  <c r="AK87" i="11"/>
  <c r="AL87" i="11"/>
  <c r="AM87" i="11"/>
  <c r="AN87" i="11"/>
  <c r="AO87" i="11"/>
  <c r="AP87" i="11"/>
  <c r="AQ87" i="11"/>
  <c r="AR87" i="11"/>
  <c r="AS87" i="11"/>
  <c r="AT87" i="11"/>
  <c r="AU87" i="11"/>
  <c r="AV87" i="11"/>
  <c r="AW87" i="11"/>
  <c r="AX87" i="11"/>
  <c r="AY87" i="11"/>
  <c r="AZ87" i="11"/>
  <c r="BA87" i="11"/>
  <c r="BB87" i="11"/>
  <c r="BC87" i="11"/>
  <c r="A88" i="11"/>
  <c r="B88" i="11"/>
  <c r="C88" i="11"/>
  <c r="D88" i="11"/>
  <c r="E88" i="11"/>
  <c r="F88" i="11"/>
  <c r="G88" i="11"/>
  <c r="H88" i="11"/>
  <c r="I88" i="11"/>
  <c r="J88" i="11"/>
  <c r="K88" i="11"/>
  <c r="L88" i="11"/>
  <c r="M88" i="11"/>
  <c r="N88" i="11"/>
  <c r="O88" i="11"/>
  <c r="P88" i="11"/>
  <c r="Q88" i="11"/>
  <c r="R88" i="11"/>
  <c r="S88" i="11"/>
  <c r="T88" i="11"/>
  <c r="U88" i="11"/>
  <c r="V88" i="11"/>
  <c r="W88" i="11"/>
  <c r="X88" i="11"/>
  <c r="Y88" i="11"/>
  <c r="Z88" i="11"/>
  <c r="AA88" i="11"/>
  <c r="AB88" i="11"/>
  <c r="AC88" i="11"/>
  <c r="AD88" i="11"/>
  <c r="AE88" i="11"/>
  <c r="AF88" i="11"/>
  <c r="AG88" i="11"/>
  <c r="AH88" i="11"/>
  <c r="AI88" i="11"/>
  <c r="AJ88" i="11"/>
  <c r="AK88" i="11"/>
  <c r="AL88" i="11"/>
  <c r="AM88" i="11"/>
  <c r="AN88" i="11"/>
  <c r="AO88" i="11"/>
  <c r="AP88" i="11"/>
  <c r="AQ88" i="11"/>
  <c r="AR88" i="11"/>
  <c r="AS88" i="11"/>
  <c r="AT88" i="11"/>
  <c r="AU88" i="11"/>
  <c r="AV88" i="11"/>
  <c r="AW88" i="11"/>
  <c r="AX88" i="11"/>
  <c r="AY88" i="11"/>
  <c r="AZ88" i="11"/>
  <c r="BA88" i="11"/>
  <c r="BB88" i="11"/>
  <c r="BC88" i="11"/>
  <c r="A89" i="11"/>
  <c r="B89" i="11"/>
  <c r="C89" i="11"/>
  <c r="D89" i="11"/>
  <c r="E89" i="11"/>
  <c r="F89" i="11"/>
  <c r="G89" i="11"/>
  <c r="H89" i="11"/>
  <c r="I89" i="11"/>
  <c r="J89" i="11"/>
  <c r="K89" i="11"/>
  <c r="L89" i="11"/>
  <c r="M89" i="11"/>
  <c r="N89" i="11"/>
  <c r="O89" i="11"/>
  <c r="P89" i="11"/>
  <c r="Q89" i="11"/>
  <c r="R89" i="11"/>
  <c r="S89" i="11"/>
  <c r="T89" i="11"/>
  <c r="U89" i="11"/>
  <c r="V89" i="11"/>
  <c r="W89" i="11"/>
  <c r="X89" i="11"/>
  <c r="Y89" i="11"/>
  <c r="Z89" i="11"/>
  <c r="AA89" i="11"/>
  <c r="AB89" i="11"/>
  <c r="AC89" i="11"/>
  <c r="AD89" i="11"/>
  <c r="AE89" i="11"/>
  <c r="AF89" i="11"/>
  <c r="AG89" i="11"/>
  <c r="AH89" i="11"/>
  <c r="AI89" i="11"/>
  <c r="AJ89" i="11"/>
  <c r="AK89" i="11"/>
  <c r="AL89" i="11"/>
  <c r="AM89" i="11"/>
  <c r="AN89" i="11"/>
  <c r="AO89" i="11"/>
  <c r="AP89" i="11"/>
  <c r="AQ89" i="11"/>
  <c r="AR89" i="11"/>
  <c r="AS89" i="11"/>
  <c r="AT89" i="11"/>
  <c r="AU89" i="11"/>
  <c r="AV89" i="11"/>
  <c r="AW89" i="11"/>
  <c r="AX89" i="11"/>
  <c r="AY89" i="11"/>
  <c r="AZ89" i="11"/>
  <c r="BA89" i="11"/>
  <c r="BB89" i="11"/>
  <c r="BC89" i="11"/>
  <c r="A90" i="11"/>
  <c r="B90" i="11"/>
  <c r="C90" i="11"/>
  <c r="D90" i="11"/>
  <c r="E90" i="11"/>
  <c r="F90" i="11"/>
  <c r="G90" i="11"/>
  <c r="H90" i="11"/>
  <c r="I90" i="11"/>
  <c r="J90" i="11"/>
  <c r="K90" i="11"/>
  <c r="L90" i="11"/>
  <c r="M90" i="11"/>
  <c r="N90" i="11"/>
  <c r="O90" i="11"/>
  <c r="P90" i="11"/>
  <c r="Q90" i="11"/>
  <c r="R90" i="11"/>
  <c r="S90" i="11"/>
  <c r="T90" i="11"/>
  <c r="U90" i="11"/>
  <c r="V90" i="11"/>
  <c r="W90" i="11"/>
  <c r="X90" i="11"/>
  <c r="Y90" i="11"/>
  <c r="Z90" i="11"/>
  <c r="AA90" i="11"/>
  <c r="AB90" i="11"/>
  <c r="AC90" i="11"/>
  <c r="AD90" i="11"/>
  <c r="AE90" i="11"/>
  <c r="AF90" i="11"/>
  <c r="AG90" i="11"/>
  <c r="AH90" i="11"/>
  <c r="AI90" i="11"/>
  <c r="AJ90" i="11"/>
  <c r="AK90" i="11"/>
  <c r="AL90" i="11"/>
  <c r="AM90" i="11"/>
  <c r="AN90" i="11"/>
  <c r="AO90" i="11"/>
  <c r="AP90" i="11"/>
  <c r="AQ90" i="11"/>
  <c r="AR90" i="11"/>
  <c r="AS90" i="11"/>
  <c r="AT90" i="11"/>
  <c r="AU90" i="11"/>
  <c r="AV90" i="11"/>
  <c r="AW90" i="11"/>
  <c r="AX90" i="11"/>
  <c r="AY90" i="11"/>
  <c r="AZ90" i="11"/>
  <c r="BA90" i="11"/>
  <c r="BB90" i="11"/>
  <c r="BC90" i="11"/>
  <c r="A91" i="11"/>
  <c r="B91" i="11"/>
  <c r="C91" i="11"/>
  <c r="D91" i="11"/>
  <c r="E91" i="11"/>
  <c r="F91" i="11"/>
  <c r="G91" i="11"/>
  <c r="H91" i="11"/>
  <c r="I91" i="11"/>
  <c r="J91" i="11"/>
  <c r="K91" i="11"/>
  <c r="L91" i="11"/>
  <c r="M91" i="11"/>
  <c r="N91" i="11"/>
  <c r="O91" i="11"/>
  <c r="P91" i="11"/>
  <c r="Q91" i="11"/>
  <c r="R91" i="11"/>
  <c r="S91" i="11"/>
  <c r="T91" i="11"/>
  <c r="U91" i="11"/>
  <c r="V91" i="11"/>
  <c r="W91" i="11"/>
  <c r="X91" i="11"/>
  <c r="Y91" i="11"/>
  <c r="Z91" i="11"/>
  <c r="AA91" i="11"/>
  <c r="AB91" i="11"/>
  <c r="AC91" i="11"/>
  <c r="AD91" i="11"/>
  <c r="AE91" i="11"/>
  <c r="AF91" i="11"/>
  <c r="AG91" i="11"/>
  <c r="AH91" i="11"/>
  <c r="AI91" i="11"/>
  <c r="AJ91" i="11"/>
  <c r="AK91" i="11"/>
  <c r="AL91" i="11"/>
  <c r="AM91" i="11"/>
  <c r="AN91" i="11"/>
  <c r="AO91" i="11"/>
  <c r="AP91" i="11"/>
  <c r="AQ91" i="11"/>
  <c r="AR91" i="11"/>
  <c r="AS91" i="11"/>
  <c r="AT91" i="11"/>
  <c r="AU91" i="11"/>
  <c r="AV91" i="11"/>
  <c r="AW91" i="11"/>
  <c r="AX91" i="11"/>
  <c r="AY91" i="11"/>
  <c r="AZ91" i="11"/>
  <c r="BA91" i="11"/>
  <c r="BB91" i="11"/>
  <c r="BC91" i="11"/>
  <c r="A92" i="11"/>
  <c r="B92" i="11"/>
  <c r="C92" i="11"/>
  <c r="D92" i="11"/>
  <c r="E92" i="11"/>
  <c r="F92" i="11"/>
  <c r="G92" i="11"/>
  <c r="H92" i="11"/>
  <c r="I92" i="11"/>
  <c r="J92" i="11"/>
  <c r="K92" i="11"/>
  <c r="L92" i="11"/>
  <c r="M92" i="11"/>
  <c r="N92" i="11"/>
  <c r="O92" i="11"/>
  <c r="P92" i="11"/>
  <c r="Q92" i="11"/>
  <c r="R92" i="11"/>
  <c r="S92" i="11"/>
  <c r="T92" i="11"/>
  <c r="U92" i="11"/>
  <c r="V92" i="11"/>
  <c r="W92" i="11"/>
  <c r="X92" i="11"/>
  <c r="Y92" i="11"/>
  <c r="Z92" i="11"/>
  <c r="AA92" i="11"/>
  <c r="AB92" i="11"/>
  <c r="AC92" i="11"/>
  <c r="AD92" i="11"/>
  <c r="AE92" i="11"/>
  <c r="AF92" i="11"/>
  <c r="AG92" i="11"/>
  <c r="AH92" i="11"/>
  <c r="AI92" i="11"/>
  <c r="AJ92" i="11"/>
  <c r="AK92" i="11"/>
  <c r="AL92" i="11"/>
  <c r="AM92" i="11"/>
  <c r="AN92" i="11"/>
  <c r="AO92" i="11"/>
  <c r="AP92" i="11"/>
  <c r="AQ92" i="11"/>
  <c r="AR92" i="11"/>
  <c r="AS92" i="11"/>
  <c r="AT92" i="11"/>
  <c r="AU92" i="11"/>
  <c r="AV92" i="11"/>
  <c r="AW92" i="11"/>
  <c r="AX92" i="11"/>
  <c r="AY92" i="11"/>
  <c r="AZ92" i="11"/>
  <c r="BA92" i="11"/>
  <c r="BB92" i="11"/>
  <c r="BC92" i="11"/>
  <c r="A93" i="11"/>
  <c r="B93" i="11"/>
  <c r="C93" i="11"/>
  <c r="D93" i="11"/>
  <c r="E93" i="11"/>
  <c r="F93" i="11"/>
  <c r="G93" i="11"/>
  <c r="H93" i="11"/>
  <c r="I93" i="11"/>
  <c r="J93" i="11"/>
  <c r="K93" i="11"/>
  <c r="L93" i="11"/>
  <c r="M93" i="11"/>
  <c r="N93" i="11"/>
  <c r="O93" i="11"/>
  <c r="P93" i="11"/>
  <c r="Q93" i="11"/>
  <c r="R93" i="11"/>
  <c r="S93" i="11"/>
  <c r="T93" i="11"/>
  <c r="U93" i="11"/>
  <c r="V93" i="11"/>
  <c r="W93" i="11"/>
  <c r="X93" i="11"/>
  <c r="Y93" i="11"/>
  <c r="Z93" i="11"/>
  <c r="AA93" i="11"/>
  <c r="AB93" i="11"/>
  <c r="AC93" i="11"/>
  <c r="AD93" i="11"/>
  <c r="AE93" i="11"/>
  <c r="AF93" i="11"/>
  <c r="AG93" i="11"/>
  <c r="AH93" i="11"/>
  <c r="AI93" i="11"/>
  <c r="AJ93" i="11"/>
  <c r="AK93" i="11"/>
  <c r="AL93" i="11"/>
  <c r="AM93" i="11"/>
  <c r="AN93" i="11"/>
  <c r="AO93" i="11"/>
  <c r="AP93" i="11"/>
  <c r="AQ93" i="11"/>
  <c r="AR93" i="11"/>
  <c r="AS93" i="11"/>
  <c r="AT93" i="11"/>
  <c r="AU93" i="11"/>
  <c r="AV93" i="11"/>
  <c r="AW93" i="11"/>
  <c r="AX93" i="11"/>
  <c r="AY93" i="11"/>
  <c r="AZ93" i="11"/>
  <c r="BA93" i="11"/>
  <c r="BB93" i="11"/>
  <c r="BC93" i="11"/>
  <c r="A94" i="11"/>
  <c r="B94" i="11"/>
  <c r="C94" i="11"/>
  <c r="D94" i="11"/>
  <c r="E94" i="11"/>
  <c r="F94" i="11"/>
  <c r="G94" i="11"/>
  <c r="H94" i="11"/>
  <c r="I94" i="11"/>
  <c r="J94" i="11"/>
  <c r="K94" i="11"/>
  <c r="L94" i="11"/>
  <c r="M94" i="11"/>
  <c r="N94" i="11"/>
  <c r="O94" i="11"/>
  <c r="P94" i="11"/>
  <c r="Q94" i="11"/>
  <c r="R94" i="11"/>
  <c r="S94" i="11"/>
  <c r="T94" i="11"/>
  <c r="U94" i="11"/>
  <c r="V94" i="11"/>
  <c r="W94" i="11"/>
  <c r="X94" i="11"/>
  <c r="Y94" i="11"/>
  <c r="Z94" i="11"/>
  <c r="AA94" i="11"/>
  <c r="AB94" i="11"/>
  <c r="AC94" i="11"/>
  <c r="AD94" i="11"/>
  <c r="AE94" i="11"/>
  <c r="AF94" i="11"/>
  <c r="AG94" i="11"/>
  <c r="AH94" i="11"/>
  <c r="AI94" i="11"/>
  <c r="AJ94" i="11"/>
  <c r="AK94" i="11"/>
  <c r="AL94" i="11"/>
  <c r="AM94" i="11"/>
  <c r="AN94" i="11"/>
  <c r="AO94" i="11"/>
  <c r="AP94" i="11"/>
  <c r="AQ94" i="11"/>
  <c r="AR94" i="11"/>
  <c r="AS94" i="11"/>
  <c r="AT94" i="11"/>
  <c r="AU94" i="11"/>
  <c r="AV94" i="11"/>
  <c r="AW94" i="11"/>
  <c r="AX94" i="11"/>
  <c r="AY94" i="11"/>
  <c r="AZ94" i="11"/>
  <c r="BA94" i="11"/>
  <c r="BB94" i="11"/>
  <c r="BC94" i="11"/>
  <c r="A95" i="11"/>
  <c r="B95" i="11"/>
  <c r="C95" i="11"/>
  <c r="D95" i="11"/>
  <c r="E95" i="11"/>
  <c r="F95" i="11"/>
  <c r="G95" i="11"/>
  <c r="H95" i="11"/>
  <c r="I95" i="11"/>
  <c r="J95" i="11"/>
  <c r="K95" i="11"/>
  <c r="L95" i="11"/>
  <c r="M95" i="11"/>
  <c r="P95" i="11"/>
  <c r="Q95" i="11"/>
  <c r="R95" i="11"/>
  <c r="S95" i="11"/>
  <c r="T95" i="11"/>
  <c r="U95" i="11"/>
  <c r="V95" i="11"/>
  <c r="X95" i="11"/>
  <c r="Y95" i="11"/>
  <c r="Z95" i="11"/>
  <c r="AA95" i="11"/>
  <c r="AB95" i="11"/>
  <c r="AC95" i="11"/>
  <c r="AD95" i="11"/>
  <c r="AE95" i="11"/>
  <c r="AF95" i="11"/>
  <c r="AG95" i="11"/>
  <c r="AH95" i="11"/>
  <c r="AI95" i="11"/>
  <c r="AJ95" i="11"/>
  <c r="AK95" i="11"/>
  <c r="AL95" i="11"/>
  <c r="AM95" i="11"/>
  <c r="AN95" i="11"/>
  <c r="AO95" i="11"/>
  <c r="AP95" i="11"/>
  <c r="AQ95" i="11"/>
  <c r="AR95" i="11"/>
  <c r="AS95" i="11"/>
  <c r="AT95" i="11"/>
  <c r="AU95" i="11"/>
  <c r="AV95" i="11"/>
  <c r="AW95" i="11"/>
  <c r="AX95" i="11"/>
  <c r="AY95" i="11"/>
  <c r="AZ95" i="11"/>
  <c r="BB95" i="11"/>
  <c r="BC95" i="11"/>
  <c r="BC99" i="11" s="1"/>
  <c r="A97" i="11"/>
  <c r="B97" i="11"/>
  <c r="C97" i="11"/>
  <c r="D97" i="11"/>
  <c r="E97" i="11"/>
  <c r="F97" i="11"/>
  <c r="G97" i="11"/>
  <c r="H97" i="11"/>
  <c r="I97" i="11"/>
  <c r="J97" i="11"/>
  <c r="K97" i="11"/>
  <c r="L97" i="11"/>
  <c r="M97" i="11"/>
  <c r="N97" i="11"/>
  <c r="O97" i="11"/>
  <c r="P97" i="11"/>
  <c r="Q97" i="11"/>
  <c r="R97" i="11"/>
  <c r="S97" i="11"/>
  <c r="T97" i="11"/>
  <c r="U97" i="11"/>
  <c r="V97" i="11"/>
  <c r="W97" i="11"/>
  <c r="X97" i="11"/>
  <c r="Y97" i="11"/>
  <c r="Z97" i="11"/>
  <c r="AA97" i="11"/>
  <c r="AB97" i="11"/>
  <c r="AC97" i="11"/>
  <c r="AD97" i="11"/>
  <c r="AE97" i="11"/>
  <c r="AF97" i="11"/>
  <c r="AG97" i="11"/>
  <c r="AH97" i="11"/>
  <c r="AI97" i="11"/>
  <c r="AJ97" i="11"/>
  <c r="AK97" i="11"/>
  <c r="AL97" i="11"/>
  <c r="AM97" i="11"/>
  <c r="AN97" i="11"/>
  <c r="AO97" i="11"/>
  <c r="AP97" i="11"/>
  <c r="AQ97" i="11"/>
  <c r="AR97" i="11"/>
  <c r="AS97" i="11"/>
  <c r="AT97" i="11"/>
  <c r="AU97" i="11"/>
  <c r="AV97" i="11"/>
  <c r="AW97" i="11"/>
  <c r="AX97" i="11"/>
  <c r="AY97" i="11"/>
  <c r="AZ97" i="11"/>
  <c r="BA97" i="11"/>
  <c r="BB97" i="11"/>
  <c r="BC97" i="11"/>
  <c r="A98" i="11"/>
  <c r="B98" i="11"/>
  <c r="C98" i="11"/>
  <c r="D98" i="11"/>
  <c r="E98" i="11"/>
  <c r="F98" i="11"/>
  <c r="G98" i="11"/>
  <c r="H98" i="11"/>
  <c r="I98" i="11"/>
  <c r="J98" i="11"/>
  <c r="K98" i="11"/>
  <c r="L98" i="11"/>
  <c r="M98" i="11"/>
  <c r="N98" i="11"/>
  <c r="O98" i="11"/>
  <c r="P98" i="11"/>
  <c r="Q98" i="11"/>
  <c r="R98" i="11"/>
  <c r="S98" i="11"/>
  <c r="T98" i="11"/>
  <c r="U98" i="11"/>
  <c r="V98" i="11"/>
  <c r="W98" i="11"/>
  <c r="X98" i="11"/>
  <c r="Y98" i="11"/>
  <c r="Z98" i="11"/>
  <c r="AA98" i="11"/>
  <c r="AB98" i="11"/>
  <c r="AC98" i="11"/>
  <c r="AD98" i="11"/>
  <c r="AE98" i="11"/>
  <c r="AF98" i="11"/>
  <c r="AG98" i="11"/>
  <c r="AH98" i="11"/>
  <c r="AI98" i="11"/>
  <c r="AJ98" i="11"/>
  <c r="AK98" i="11"/>
  <c r="AL98" i="11"/>
  <c r="AM98" i="11"/>
  <c r="AN98" i="11"/>
  <c r="AO98" i="11"/>
  <c r="AP98" i="11"/>
  <c r="AQ98" i="11"/>
  <c r="AR98" i="11"/>
  <c r="AS98" i="11"/>
  <c r="AT98" i="11"/>
  <c r="AU98" i="11"/>
  <c r="AV98" i="11"/>
  <c r="AW98" i="11"/>
  <c r="AX98" i="11"/>
  <c r="AY98" i="11"/>
  <c r="AZ98" i="11"/>
  <c r="BA98" i="11"/>
  <c r="BB98" i="11"/>
  <c r="BC98" i="11"/>
  <c r="B51" i="11"/>
  <c r="C51" i="11"/>
  <c r="D51" i="11"/>
  <c r="E51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R51" i="11"/>
  <c r="S51" i="11"/>
  <c r="T51" i="11"/>
  <c r="U51" i="11"/>
  <c r="V51" i="11"/>
  <c r="W51" i="11"/>
  <c r="X51" i="11"/>
  <c r="Y51" i="11"/>
  <c r="Z51" i="11"/>
  <c r="AA51" i="11"/>
  <c r="AB51" i="11"/>
  <c r="AC51" i="11"/>
  <c r="AD51" i="11"/>
  <c r="AE51" i="11"/>
  <c r="AF51" i="11"/>
  <c r="AG51" i="11"/>
  <c r="AH51" i="11"/>
  <c r="AI51" i="11"/>
  <c r="AJ51" i="11"/>
  <c r="AK51" i="11"/>
  <c r="AL51" i="11"/>
  <c r="AM51" i="11"/>
  <c r="AN51" i="11"/>
  <c r="AO51" i="11"/>
  <c r="AP51" i="11"/>
  <c r="AQ51" i="11"/>
  <c r="AR51" i="11"/>
  <c r="AS51" i="11"/>
  <c r="AT51" i="11"/>
  <c r="AU51" i="11"/>
  <c r="AV51" i="11"/>
  <c r="AW51" i="11"/>
  <c r="AX51" i="11"/>
  <c r="AY51" i="11"/>
  <c r="AZ51" i="11"/>
  <c r="BA51" i="11"/>
  <c r="BB51" i="11"/>
  <c r="BC51" i="11"/>
  <c r="B52" i="11"/>
  <c r="C52" i="11"/>
  <c r="D52" i="11"/>
  <c r="E52" i="11"/>
  <c r="F52" i="11"/>
  <c r="G52" i="11"/>
  <c r="H52" i="11"/>
  <c r="I52" i="11"/>
  <c r="J52" i="11"/>
  <c r="K52" i="11"/>
  <c r="L52" i="11"/>
  <c r="M52" i="11"/>
  <c r="N52" i="11"/>
  <c r="O52" i="11"/>
  <c r="P52" i="11"/>
  <c r="Q52" i="11"/>
  <c r="R52" i="11"/>
  <c r="S52" i="11"/>
  <c r="T52" i="11"/>
  <c r="U52" i="11"/>
  <c r="V52" i="11"/>
  <c r="W52" i="11"/>
  <c r="X52" i="11"/>
  <c r="Y52" i="11"/>
  <c r="Z52" i="11"/>
  <c r="AA52" i="11"/>
  <c r="AB52" i="11"/>
  <c r="AC52" i="11"/>
  <c r="AD52" i="11"/>
  <c r="AE52" i="11"/>
  <c r="AF52" i="11"/>
  <c r="AG52" i="11"/>
  <c r="AH52" i="11"/>
  <c r="AI52" i="11"/>
  <c r="AJ52" i="11"/>
  <c r="AK52" i="11"/>
  <c r="AL52" i="11"/>
  <c r="AM52" i="11"/>
  <c r="AN52" i="11"/>
  <c r="AO52" i="11"/>
  <c r="AP52" i="11"/>
  <c r="AQ52" i="11"/>
  <c r="AR52" i="11"/>
  <c r="AS52" i="11"/>
  <c r="AT52" i="11"/>
  <c r="AU52" i="11"/>
  <c r="AV52" i="11"/>
  <c r="AW52" i="11"/>
  <c r="AX52" i="11"/>
  <c r="AY52" i="11"/>
  <c r="AZ52" i="11"/>
  <c r="BA52" i="11"/>
  <c r="BB52" i="11"/>
  <c r="BC52" i="11"/>
  <c r="B53" i="11"/>
  <c r="C53" i="11"/>
  <c r="D53" i="11"/>
  <c r="E53" i="11"/>
  <c r="F53" i="11"/>
  <c r="G53" i="11"/>
  <c r="H53" i="11"/>
  <c r="I53" i="11"/>
  <c r="J53" i="11"/>
  <c r="K53" i="11"/>
  <c r="L53" i="11"/>
  <c r="M53" i="11"/>
  <c r="N53" i="11"/>
  <c r="O53" i="11"/>
  <c r="P53" i="11"/>
  <c r="Q53" i="11"/>
  <c r="R53" i="11"/>
  <c r="S53" i="11"/>
  <c r="T53" i="11"/>
  <c r="U53" i="11"/>
  <c r="V53" i="11"/>
  <c r="W53" i="11"/>
  <c r="X53" i="11"/>
  <c r="Y53" i="11"/>
  <c r="Z53" i="11"/>
  <c r="AA53" i="11"/>
  <c r="AB53" i="11"/>
  <c r="AC53" i="11"/>
  <c r="AD53" i="11"/>
  <c r="AE53" i="11"/>
  <c r="AF53" i="11"/>
  <c r="AG53" i="11"/>
  <c r="AH53" i="11"/>
  <c r="AI53" i="11"/>
  <c r="AJ53" i="11"/>
  <c r="AK53" i="11"/>
  <c r="AL53" i="11"/>
  <c r="AM53" i="11"/>
  <c r="AN53" i="11"/>
  <c r="AO53" i="11"/>
  <c r="AP53" i="11"/>
  <c r="AQ53" i="11"/>
  <c r="AR53" i="11"/>
  <c r="AS53" i="11"/>
  <c r="AT53" i="11"/>
  <c r="AU53" i="11"/>
  <c r="AV53" i="11"/>
  <c r="AW53" i="11"/>
  <c r="AX53" i="11"/>
  <c r="AY53" i="11"/>
  <c r="AZ53" i="11"/>
  <c r="BA53" i="11"/>
  <c r="BB53" i="11"/>
  <c r="BC53" i="11"/>
  <c r="B54" i="11"/>
  <c r="C54" i="11"/>
  <c r="D54" i="11"/>
  <c r="E54" i="11"/>
  <c r="F54" i="11"/>
  <c r="G54" i="11"/>
  <c r="H54" i="11"/>
  <c r="I54" i="11"/>
  <c r="J54" i="11"/>
  <c r="K54" i="11"/>
  <c r="L54" i="11"/>
  <c r="M54" i="11"/>
  <c r="N54" i="11"/>
  <c r="O54" i="11"/>
  <c r="P54" i="11"/>
  <c r="Q54" i="11"/>
  <c r="R54" i="11"/>
  <c r="S54" i="11"/>
  <c r="T54" i="11"/>
  <c r="U54" i="11"/>
  <c r="V54" i="11"/>
  <c r="W54" i="11"/>
  <c r="X54" i="11"/>
  <c r="Y54" i="11"/>
  <c r="Z54" i="11"/>
  <c r="AA54" i="11"/>
  <c r="AB54" i="11"/>
  <c r="AC54" i="11"/>
  <c r="AD54" i="11"/>
  <c r="AE54" i="11"/>
  <c r="AF54" i="11"/>
  <c r="AG54" i="11"/>
  <c r="AH54" i="11"/>
  <c r="AI54" i="11"/>
  <c r="AJ54" i="11"/>
  <c r="AK54" i="11"/>
  <c r="AL54" i="11"/>
  <c r="AM54" i="11"/>
  <c r="AN54" i="11"/>
  <c r="AO54" i="11"/>
  <c r="AP54" i="11"/>
  <c r="AQ54" i="11"/>
  <c r="AR54" i="11"/>
  <c r="AS54" i="11"/>
  <c r="AT54" i="11"/>
  <c r="AU54" i="11"/>
  <c r="AV54" i="11"/>
  <c r="AW54" i="11"/>
  <c r="AX54" i="11"/>
  <c r="AY54" i="11"/>
  <c r="AZ54" i="11"/>
  <c r="BA54" i="11"/>
  <c r="BB54" i="11"/>
  <c r="BC54" i="11"/>
  <c r="B55" i="11"/>
  <c r="C55" i="11"/>
  <c r="D55" i="11"/>
  <c r="E55" i="11"/>
  <c r="F55" i="11"/>
  <c r="G55" i="11"/>
  <c r="H55" i="11"/>
  <c r="I55" i="11"/>
  <c r="J55" i="11"/>
  <c r="K55" i="11"/>
  <c r="L55" i="11"/>
  <c r="M55" i="11"/>
  <c r="N55" i="11"/>
  <c r="O55" i="11"/>
  <c r="P55" i="11"/>
  <c r="Q55" i="11"/>
  <c r="R55" i="11"/>
  <c r="S55" i="11"/>
  <c r="T55" i="11"/>
  <c r="U55" i="11"/>
  <c r="V55" i="11"/>
  <c r="W55" i="11"/>
  <c r="X55" i="11"/>
  <c r="Y55" i="11"/>
  <c r="Z55" i="11"/>
  <c r="AA55" i="11"/>
  <c r="AB55" i="11"/>
  <c r="AC55" i="11"/>
  <c r="AD55" i="11"/>
  <c r="AE55" i="11"/>
  <c r="AF55" i="11"/>
  <c r="AG55" i="11"/>
  <c r="AH55" i="11"/>
  <c r="AI55" i="11"/>
  <c r="AJ55" i="11"/>
  <c r="AK55" i="11"/>
  <c r="AL55" i="11"/>
  <c r="AM55" i="11"/>
  <c r="AN55" i="11"/>
  <c r="AO55" i="11"/>
  <c r="AP55" i="11"/>
  <c r="AQ55" i="11"/>
  <c r="AR55" i="11"/>
  <c r="AS55" i="11"/>
  <c r="AT55" i="11"/>
  <c r="AU55" i="11"/>
  <c r="AV55" i="11"/>
  <c r="AW55" i="11"/>
  <c r="AX55" i="11"/>
  <c r="AY55" i="11"/>
  <c r="AZ55" i="11"/>
  <c r="BA55" i="11"/>
  <c r="BB55" i="11"/>
  <c r="BC55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S56" i="11"/>
  <c r="T56" i="11"/>
  <c r="U56" i="11"/>
  <c r="V56" i="11"/>
  <c r="W56" i="11"/>
  <c r="X56" i="11"/>
  <c r="Y56" i="11"/>
  <c r="Z56" i="11"/>
  <c r="AA56" i="11"/>
  <c r="AB56" i="11"/>
  <c r="AC56" i="11"/>
  <c r="AD56" i="11"/>
  <c r="AE56" i="11"/>
  <c r="AF56" i="11"/>
  <c r="AG56" i="11"/>
  <c r="AH56" i="11"/>
  <c r="AI56" i="11"/>
  <c r="AJ56" i="11"/>
  <c r="AK56" i="11"/>
  <c r="AL56" i="11"/>
  <c r="AM56" i="11"/>
  <c r="AN56" i="11"/>
  <c r="AO56" i="11"/>
  <c r="AP56" i="11"/>
  <c r="AQ56" i="11"/>
  <c r="AR56" i="11"/>
  <c r="AS56" i="11"/>
  <c r="AT56" i="11"/>
  <c r="AU56" i="11"/>
  <c r="AV56" i="11"/>
  <c r="AW56" i="11"/>
  <c r="AX56" i="11"/>
  <c r="AY56" i="11"/>
  <c r="AZ56" i="11"/>
  <c r="BA56" i="11"/>
  <c r="BB56" i="11"/>
  <c r="BC56" i="11"/>
  <c r="B57" i="11"/>
  <c r="C57" i="11"/>
  <c r="D57" i="11"/>
  <c r="E57" i="11"/>
  <c r="F57" i="11"/>
  <c r="G57" i="11"/>
  <c r="H57" i="11"/>
  <c r="I57" i="11"/>
  <c r="J57" i="11"/>
  <c r="K57" i="11"/>
  <c r="L57" i="11"/>
  <c r="M57" i="11"/>
  <c r="N57" i="11"/>
  <c r="O57" i="11"/>
  <c r="P57" i="11"/>
  <c r="Q57" i="11"/>
  <c r="R57" i="11"/>
  <c r="S57" i="11"/>
  <c r="T57" i="11"/>
  <c r="U57" i="11"/>
  <c r="V57" i="11"/>
  <c r="W57" i="11"/>
  <c r="X57" i="11"/>
  <c r="Y57" i="11"/>
  <c r="Z57" i="11"/>
  <c r="AA57" i="11"/>
  <c r="AB57" i="11"/>
  <c r="AC57" i="11"/>
  <c r="AD57" i="11"/>
  <c r="AE57" i="11"/>
  <c r="AF57" i="11"/>
  <c r="AG57" i="11"/>
  <c r="AH57" i="11"/>
  <c r="AI57" i="11"/>
  <c r="AJ57" i="11"/>
  <c r="AK57" i="11"/>
  <c r="AL57" i="11"/>
  <c r="AM57" i="11"/>
  <c r="AN57" i="11"/>
  <c r="AO57" i="11"/>
  <c r="AP57" i="11"/>
  <c r="AQ57" i="11"/>
  <c r="AR57" i="11"/>
  <c r="AS57" i="11"/>
  <c r="AT57" i="11"/>
  <c r="AU57" i="11"/>
  <c r="AV57" i="11"/>
  <c r="AW57" i="11"/>
  <c r="AX57" i="11"/>
  <c r="AY57" i="11"/>
  <c r="AZ57" i="11"/>
  <c r="BA57" i="11"/>
  <c r="BB57" i="11"/>
  <c r="BC57" i="11"/>
  <c r="B58" i="11"/>
  <c r="C58" i="11"/>
  <c r="D58" i="11"/>
  <c r="E58" i="11"/>
  <c r="F58" i="11"/>
  <c r="G58" i="11"/>
  <c r="H58" i="11"/>
  <c r="I58" i="11"/>
  <c r="J58" i="11"/>
  <c r="K58" i="11"/>
  <c r="L58" i="11"/>
  <c r="M58" i="11"/>
  <c r="N58" i="11"/>
  <c r="O58" i="11"/>
  <c r="P58" i="11"/>
  <c r="Q58" i="11"/>
  <c r="R58" i="11"/>
  <c r="S58" i="11"/>
  <c r="T58" i="11"/>
  <c r="U58" i="11"/>
  <c r="V58" i="11"/>
  <c r="W58" i="11"/>
  <c r="X58" i="11"/>
  <c r="Y58" i="11"/>
  <c r="Z58" i="11"/>
  <c r="AA58" i="11"/>
  <c r="AB58" i="11"/>
  <c r="AC58" i="11"/>
  <c r="AD58" i="11"/>
  <c r="AE58" i="11"/>
  <c r="AF58" i="11"/>
  <c r="AG58" i="11"/>
  <c r="AH58" i="11"/>
  <c r="AI58" i="11"/>
  <c r="AJ58" i="11"/>
  <c r="AK58" i="11"/>
  <c r="AL58" i="11"/>
  <c r="AM58" i="11"/>
  <c r="AN58" i="11"/>
  <c r="AO58" i="11"/>
  <c r="AP58" i="11"/>
  <c r="AQ58" i="11"/>
  <c r="AR58" i="11"/>
  <c r="AS58" i="11"/>
  <c r="AT58" i="11"/>
  <c r="AU58" i="11"/>
  <c r="AV58" i="11"/>
  <c r="AW58" i="11"/>
  <c r="AX58" i="11"/>
  <c r="AY58" i="11"/>
  <c r="AZ58" i="11"/>
  <c r="BA58" i="11"/>
  <c r="BB58" i="11"/>
  <c r="BC58" i="11"/>
  <c r="A52" i="11"/>
  <c r="A53" i="11"/>
  <c r="A54" i="11"/>
  <c r="A55" i="11"/>
  <c r="A56" i="11"/>
  <c r="A57" i="11"/>
  <c r="A58" i="11"/>
  <c r="A51" i="11"/>
  <c r="AY96" i="11" l="1"/>
  <c r="AS96" i="11"/>
  <c r="AM96" i="11"/>
  <c r="AG96" i="11"/>
  <c r="AA96" i="11"/>
  <c r="U96" i="11"/>
  <c r="O96" i="11"/>
  <c r="AW96" i="11"/>
  <c r="AQ96" i="11"/>
  <c r="AK96" i="11"/>
  <c r="AE96" i="11"/>
  <c r="Y96" i="11"/>
  <c r="S96" i="11"/>
  <c r="M96" i="11"/>
  <c r="G96" i="11"/>
  <c r="AW81" i="11"/>
  <c r="AE81" i="11"/>
  <c r="M81" i="11"/>
  <c r="AY81" i="11"/>
  <c r="AS81" i="11"/>
  <c r="AM81" i="11"/>
  <c r="AG81" i="11"/>
  <c r="AA81" i="11"/>
  <c r="U81" i="11"/>
  <c r="O81" i="11"/>
  <c r="AV59" i="11"/>
  <c r="AP59" i="11"/>
  <c r="AJ59" i="11"/>
  <c r="AD59" i="11"/>
  <c r="X59" i="11"/>
  <c r="R59" i="11"/>
  <c r="F59" i="11"/>
  <c r="AX96" i="11"/>
  <c r="AR96" i="11"/>
  <c r="AL96" i="11"/>
  <c r="AF96" i="11"/>
  <c r="Z96" i="11"/>
  <c r="T96" i="11"/>
  <c r="H96" i="11"/>
  <c r="N95" i="11"/>
  <c r="AX81" i="11"/>
  <c r="AR81" i="11"/>
  <c r="AL81" i="11"/>
  <c r="AF81" i="11"/>
  <c r="Z81" i="11"/>
  <c r="T81" i="11"/>
  <c r="H81" i="11"/>
  <c r="AU59" i="11"/>
  <c r="AO59" i="11"/>
  <c r="AI59" i="11"/>
  <c r="AC59" i="11"/>
  <c r="W59" i="11"/>
  <c r="Q59" i="11"/>
  <c r="K59" i="11"/>
  <c r="AQ81" i="11"/>
  <c r="Y81" i="11"/>
  <c r="G81" i="11"/>
  <c r="AT59" i="11"/>
  <c r="AH59" i="11"/>
  <c r="V59" i="11"/>
  <c r="AV96" i="11"/>
  <c r="AJ96" i="11"/>
  <c r="X96" i="11"/>
  <c r="F96" i="11"/>
  <c r="AP81" i="11"/>
  <c r="AD81" i="11"/>
  <c r="R81" i="11"/>
  <c r="F81" i="11"/>
  <c r="AY59" i="11"/>
  <c r="AS59" i="11"/>
  <c r="AM59" i="11"/>
  <c r="AG59" i="11"/>
  <c r="AA59" i="11"/>
  <c r="U59" i="11"/>
  <c r="O59" i="11"/>
  <c r="AU96" i="11"/>
  <c r="AO96" i="11"/>
  <c r="AI96" i="11"/>
  <c r="AC96" i="11"/>
  <c r="W96" i="11"/>
  <c r="Q96" i="11"/>
  <c r="K96" i="11"/>
  <c r="AU81" i="11"/>
  <c r="AO81" i="11"/>
  <c r="AI81" i="11"/>
  <c r="AC81" i="11"/>
  <c r="W81" i="11"/>
  <c r="Q81" i="11"/>
  <c r="K81" i="11"/>
  <c r="AX59" i="11"/>
  <c r="AR59" i="11"/>
  <c r="AL59" i="11"/>
  <c r="AF59" i="11"/>
  <c r="Z59" i="11"/>
  <c r="T59" i="11"/>
  <c r="H59" i="11"/>
  <c r="AK81" i="11"/>
  <c r="S81" i="11"/>
  <c r="AZ59" i="11"/>
  <c r="AN59" i="11"/>
  <c r="AB59" i="11"/>
  <c r="P59" i="11"/>
  <c r="J59" i="11"/>
  <c r="AP96" i="11"/>
  <c r="AD96" i="11"/>
  <c r="R96" i="11"/>
  <c r="AV81" i="11"/>
  <c r="AJ81" i="11"/>
  <c r="X81" i="11"/>
  <c r="AZ96" i="11"/>
  <c r="AT96" i="11"/>
  <c r="AN96" i="11"/>
  <c r="AH96" i="11"/>
  <c r="AB96" i="11"/>
  <c r="V96" i="11"/>
  <c r="P96" i="11"/>
  <c r="J96" i="11"/>
  <c r="AZ81" i="11"/>
  <c r="AT81" i="11"/>
  <c r="AN81" i="11"/>
  <c r="AH81" i="11"/>
  <c r="AB81" i="11"/>
  <c r="V81" i="11"/>
  <c r="P81" i="11"/>
  <c r="J81" i="11"/>
  <c r="AW59" i="11"/>
  <c r="AQ59" i="11"/>
  <c r="AK59" i="11"/>
  <c r="AE59" i="11"/>
  <c r="Y59" i="11"/>
  <c r="S59" i="11"/>
  <c r="M59" i="11"/>
  <c r="G59" i="11"/>
  <c r="AH50" i="11"/>
  <c r="AN50" i="11"/>
  <c r="V50" i="11"/>
  <c r="AG50" i="11"/>
  <c r="AZ50" i="11"/>
  <c r="AB50" i="11"/>
  <c r="AS50" i="11"/>
  <c r="AM50" i="11"/>
  <c r="U50" i="11"/>
  <c r="H50" i="11"/>
  <c r="AT50" i="11"/>
  <c r="P50" i="11"/>
  <c r="AY50" i="11"/>
  <c r="AA50" i="11"/>
  <c r="O50" i="11"/>
  <c r="J50" i="11"/>
  <c r="AX50" i="11"/>
  <c r="AR50" i="11"/>
  <c r="AL50" i="11"/>
  <c r="AF50" i="11"/>
  <c r="Z50" i="11"/>
  <c r="T50" i="11"/>
  <c r="AW50" i="11"/>
  <c r="AQ50" i="11"/>
  <c r="AK50" i="11"/>
  <c r="AE50" i="11"/>
  <c r="Y50" i="11"/>
  <c r="S50" i="11"/>
  <c r="M50" i="11"/>
  <c r="G50" i="11"/>
  <c r="AV50" i="11"/>
  <c r="AP50" i="11"/>
  <c r="AJ50" i="11"/>
  <c r="AD50" i="11"/>
  <c r="X50" i="11"/>
  <c r="R50" i="11"/>
  <c r="AU50" i="11"/>
  <c r="AO50" i="11"/>
  <c r="AI50" i="11"/>
  <c r="AC50" i="11"/>
  <c r="W50" i="11"/>
  <c r="Q50" i="11"/>
  <c r="K50" i="11"/>
  <c r="F50" i="11"/>
  <c r="K99" i="11" l="1"/>
  <c r="AU99" i="11"/>
  <c r="Q99" i="11"/>
  <c r="G99" i="11"/>
  <c r="AQ99" i="11"/>
  <c r="W99" i="11"/>
  <c r="M99" i="11"/>
  <c r="AW99" i="11"/>
  <c r="AX99" i="11"/>
  <c r="AT99" i="11"/>
  <c r="N96" i="11"/>
  <c r="S99" i="11"/>
  <c r="AE99" i="11"/>
  <c r="AV99" i="11"/>
  <c r="AK99" i="11"/>
  <c r="AS99" i="11"/>
  <c r="AH99" i="11"/>
  <c r="L81" i="11"/>
  <c r="X99" i="11"/>
  <c r="AZ99" i="11"/>
  <c r="N59" i="11"/>
  <c r="I59" i="11"/>
  <c r="AC99" i="11"/>
  <c r="T99" i="11"/>
  <c r="J99" i="11"/>
  <c r="L59" i="11"/>
  <c r="AA99" i="11"/>
  <c r="AL99" i="11"/>
  <c r="AY99" i="11"/>
  <c r="R99" i="11"/>
  <c r="AR99" i="11"/>
  <c r="P99" i="11"/>
  <c r="AB99" i="11"/>
  <c r="AG99" i="11"/>
  <c r="AI99" i="11"/>
  <c r="AJ99" i="11"/>
  <c r="Y99" i="11"/>
  <c r="Z99" i="11"/>
  <c r="O99" i="11"/>
  <c r="U99" i="11"/>
  <c r="V99" i="11"/>
  <c r="I81" i="11"/>
  <c r="AD99" i="11"/>
  <c r="H99" i="11"/>
  <c r="N81" i="11"/>
  <c r="F99" i="11"/>
  <c r="AO99" i="11"/>
  <c r="AP99" i="11"/>
  <c r="AF99" i="11"/>
  <c r="AM99" i="11"/>
  <c r="AN99" i="11"/>
  <c r="I50" i="11"/>
  <c r="L50" i="11"/>
  <c r="N50" i="11"/>
  <c r="C10" i="12" l="1"/>
  <c r="D7" i="12" l="1"/>
  <c r="D6" i="12"/>
  <c r="D9" i="12"/>
  <c r="D8" i="12"/>
  <c r="F30" i="11"/>
  <c r="AE30" i="11"/>
  <c r="AK30" i="11"/>
  <c r="AV30" i="11"/>
  <c r="AY30" i="11"/>
  <c r="AC30" i="11"/>
  <c r="AI30" i="11"/>
  <c r="AA30" i="11"/>
  <c r="S30" i="11"/>
  <c r="G30" i="11"/>
  <c r="X30" i="11"/>
  <c r="AH30" i="11"/>
  <c r="AR30" i="11"/>
  <c r="AD30" i="11"/>
  <c r="N20" i="11"/>
  <c r="R30" i="11"/>
  <c r="AS30" i="11"/>
  <c r="AP30" i="11"/>
  <c r="AO30" i="11"/>
  <c r="T30" i="11"/>
  <c r="AJ30" i="11"/>
  <c r="Y30" i="11"/>
  <c r="AM30" i="11"/>
  <c r="Z30" i="11"/>
  <c r="J30" i="11"/>
  <c r="AX30" i="11"/>
  <c r="O30" i="11"/>
  <c r="AL30" i="11"/>
  <c r="AQ30" i="11"/>
  <c r="V30" i="11"/>
  <c r="I20" i="11"/>
  <c r="H30" i="11"/>
  <c r="M30" i="11"/>
  <c r="AG30" i="11"/>
  <c r="L20" i="11"/>
  <c r="K30" i="11"/>
  <c r="AB30" i="11"/>
  <c r="AT30" i="11"/>
  <c r="AF30" i="11"/>
  <c r="W30" i="11"/>
  <c r="U30" i="11"/>
  <c r="AZ30" i="11"/>
  <c r="Q30" i="11"/>
  <c r="AU30" i="11"/>
  <c r="AW30" i="11"/>
  <c r="P30" i="11"/>
  <c r="AN30" i="11"/>
  <c r="L30" i="11" l="1"/>
  <c r="N30" i="11"/>
  <c r="I30" i="11"/>
</calcChain>
</file>

<file path=xl/connections.xml><?xml version="1.0" encoding="utf-8"?>
<connections xmlns="http://schemas.openxmlformats.org/spreadsheetml/2006/main">
  <connection id="1" name="Requete Accueil Défav" type="1" refreshedVersion="4" background="1" saveData="1">
    <dbPr connection="DBQ=P:\GIP Massif\AUTORITE DE GESTION\Suivi - Pilotage\Tableaux bord\Base dossiers déposés.xlsm;DefaultDir=P:\GIP Massif\AUTORITE DE GESTION\Suivi - Pilotage\Tableaux bord;Driver={Microsoft Excel Driver (*.xls, *.xlsx, *.xlsm, *.xlsb)};DriverId=1046;FIL=excel 12.0;MaxBufferSize=2048;MaxScanRows=8;PageTimeout=5;ReadOnly=1;SafeTransactions=0;Threads=3;UserCommitSync=Yes;" command="SELECT `'Depot projet$'`.ID_Synergie, `'Depot projet$'`.Nom_MO, `'Depot projet$'`.Intitule_Operation, `'Depot projet$'`.`Coût total Opération`, `'Depot projet$'`.`Coût total Eligible FEDER`, `'Depot projet$'`.`Part Publique`, `'Depot projet$'`.`Tx Aide Publique`, `'Depot projet$'`.`Part privée`, `'Depot projet$'`.Autofinancement, `'Depot projet$'`.`Tx Autofin`, `'Depot projet$'`.UE, `'Depot projet$'`.`Tx Aide FEDER`, `'Depot projet$'`.DPN, `'Depot projet$'`.`Total CR`, `'Depot projet$'`.Auvergne, `'Depot projet$'`.Bourgogne, `'Depot projet$'`.`Languedoc-Roussillon`, `'Depot projet$'`.Limousin, `'Depot projet$'`.`Midi-Pyrénées`, `'Depot projet$'`.`Rhône-Alpes`, `'Depot projet$'`.`Total Etat`, `'Depot projet$'`.FNADT, `'Depot projet$'`.Environnement, `'Depot projet$'`.Agriculture, `'Depot projet$'`.`Autre Etat 3`, `'Depot projet$'`.`Autre Etat Divers`, `'Depot projet$'`.`Total CG`, `'Depot projet$'`.`03`, `'Depot projet$'`.`07`, `'Depot projet$'`.`11`, `'Depot projet$'`.`12`, `'Depot projet$'`.`15`, `'Depot projet$'`.`19`, `'Depot projet$'`.`21`, `'Depot projet$'`.`23`, `'Depot projet$'`.`30`, `'Depot projet$'`.`34`, `'Depot projet$'`.`42`, `'Depot projet$'`.`43`, `'Depot projet$'`.`46`, `'Depot projet$'`.`48`, `'Depot projet$'`.`58`, `'Depot projet$'`.`63`, `'Depot projet$'`.`69`, `'Depot projet$'`.`71`, `'Depot projet$'`.`81`, `'Depot projet$'`.`82`, `'Depot projet$'`.`87`, `'Depot projet$'`.`89`, `'Depot projet$'`.`Autre Public`, `'Depot projet$'`.`Avis Cprog`, `Beneficiaire$`.NumDpt, `Beneficiaire$`.NomReg, `'Depot projet$'`.Programme, `'Depot projet$'`.`Motivation Cprog`_x000d__x000a_FROM `Beneficiaire$` `Beneficiaire$`, `'Depot projet$'` `'Depot projet$'`_x000d__x000a_WHERE `Beneficiaire$`.ID_Beneficiaire = `'Depot projet$'`.ID_Beneficiaire AND ((`'Depot projet$'`.`Date Cprog`={ts '2015-07-06 00:00:00'}) AND (`'Depot projet$'`.AAP='Oui') AND (`'Depot projet$'`.ThématiqueAction='Ingéniérie Accueil') AND (`'Depot projet$'`.`Avis Cprog`='5-Défavorable'))"/>
  </connection>
  <connection id="2" name="Requete Accueil Favorable" type="1" refreshedVersion="4" background="1" saveData="1">
    <dbPr connection="DBQ=P:\GIP Massif\AUTORITE DE GESTION\Suivi - Pilotage\Tableaux bord\Base dossiers déposés.xlsm;DefaultDir=P:\GIP Massif\AUTORITE DE GESTION\Suivi - Pilotage\Tableaux bord;Driver={Microsoft Excel Driver (*.xls, *.xlsx, *.xlsm, *.xlsb)};DriverId=1046;FIL=excel 12.0;MaxBufferSize=2048;MaxScanRows=8;PageTimeout=5;ReadOnly=1;SafeTransactions=0;Threads=3;UserCommitSync=Yes;" command="SELECT `'Depot projet$'`.ID_Synergie, `'Depot projet$'`.Nom_MO, `'Depot projet$'`.Intitule_Operation, `'Depot projet$'`.`Coût total Opération`, `'Depot projet$'`.`Coût total Eligible FEDER`, `'Depot projet$'`.`Part Publique`, `'Depot projet$'`.`Tx Aide Publique`, `'Depot projet$'`.`Part privée`, `'Depot projet$'`.Autofinancement, `'Depot projet$'`.`Tx Autofin`, `'Depot projet$'`.UE, `'Depot projet$'`.`Tx Aide FEDER`, `'Depot projet$'`.DPN, `'Depot projet$'`.`Total CR`, `'Depot projet$'`.Auvergne, `'Depot projet$'`.Bourgogne, `'Depot projet$'`.`Languedoc-Roussillon`, `'Depot projet$'`.Limousin, `'Depot projet$'`.`Midi-Pyrénées`, `'Depot projet$'`.`Rhône-Alpes`, `'Depot projet$'`.`Total Etat`, `'Depot projet$'`.FNADT, `'Depot projet$'`.Environnement, `'Depot projet$'`.Agriculture, `'Depot projet$'`.`Autre Etat 3`, `'Depot projet$'`.`Autre Etat Divers`, `'Depot projet$'`.`Total CG`, `'Depot projet$'`.`03`, `'Depot projet$'`.`07`, `'Depot projet$'`.`11`, `'Depot projet$'`.`12`, `'Depot projet$'`.`15`, `'Depot projet$'`.`19`, `'Depot projet$'`.`21`, `'Depot projet$'`.`23`, `'Depot projet$'`.`30`, `'Depot projet$'`.`34`, `'Depot projet$'`.`42`, `'Depot projet$'`.`43`, `'Depot projet$'`.`46`, `'Depot projet$'`.`48`, `'Depot projet$'`.`58`, `'Depot projet$'`.`63`, `'Depot projet$'`.`69`, `'Depot projet$'`.`71`, `'Depot projet$'`.`81`, `'Depot projet$'`.`82`, `'Depot projet$'`.`87`, `'Depot projet$'`.`89`, `'Depot projet$'`.`Autre Public`, `'Depot projet$'`.`Avis Cprog`, `Beneficiaire$`.NumDpt, `Beneficiaire$`.NomReg, `'Depot projet$'`.`Avis Cofimac`, `'Depot projet$'`.`Motivation Cprog`, `'Depot projet$'`.Programme_x000d__x000a_FROM `Beneficiaire$` `Beneficiaire$`, `'Depot projet$'` `'Depot projet$'`_x000d__x000a_WHERE `Beneficiaire$`.ID_Beneficiaire = `'Depot projet$'`.ID_Beneficiaire AND ((`'Depot projet$'`.`Date Cprog`={ts '2015-07-06 00:00:00'}) AND (`'Depot projet$'`.AAP='Oui') AND (`'Depot projet$'`.Thematique='Accueil') AND (`'Depot projet$'`.`Avis Cprog`='1-Favorable'))"/>
  </connection>
  <connection id="3" name="Requete Fil eau Agro" type="1" refreshedVersion="4" background="1" saveData="1">
    <dbPr connection="DBQ=P:\GIP Massif\AUTORITE DE GESTION\Suivi - Pilotage\Tableaux bord\Base dossiers déposés.xlsm;DefaultDir=P:\GIP Massif\AUTORITE DE GESTION\Suivi - Pilotage\Tableaux bord;Driver={Microsoft Excel Driver (*.xls, *.xlsx, *.xlsm, *.xlsb)};DriverId=1046;FIL=excel 12.0;MaxBufferSize=2048;MaxScanRows=8;PageTimeout=5;ReadOnly=1;SafeTransactions=0;Threads=3;UserCommitSync=Yes;" command="SELECT DISTINCT `'Depot projet$'`.ID_Synergie, `'Depot projet$'`.Nom_MO, `'Depot projet$'`.Intitule_Operation, `'Depot projet$'`.`Coût total déposé`, `'Depot projet$'`.`FEDER Demandé`, `'Depot projet$'`.`Taux FEDER`, `'Depot projet$'`.`Aide Publique demandée`, `'Depot projet$'`.`Taux Aide publique`, `'Depot projet$'`.`Coût total Opération`, `'Depot projet$'`.`Coût total Eligible FEDER`, `'Depot projet$'`.`Part Publique`, `'Depot projet$'`.`Tx Aide Publique`, `'Depot projet$'`.`Part privée`, `'Depot projet$'`.Autofinancement, `'Depot projet$'`.`Tx Autofin`, `'Depot projet$'`.UE, `'Depot projet$'`.`Tx Aide FEDER`, `'Depot projet$'`.DPN, `'Depot projet$'`.`Total CR`, `'Depot projet$'`.Auvergne, `'Depot projet$'`.Bourgogne, `'Depot projet$'`.`Languedoc-Roussillon`, `'Depot projet$'`.Limousin, `'Depot projet$'`.`Midi-Pyrénées`, `'Depot projet$'`.`Rhône-Alpes`, `'Depot projet$'`.`Total Etat`, `'Depot projet$'`.FNADT, `'Depot projet$'`.Environnement, `'Depot projet$'`.Agriculture, `'Depot projet$'`.`Autre Etat 3`, `'Depot projet$'`.`Autre Etat Divers`, `'Depot projet$'`.`Total CG`, `'Depot projet$'`.`03`, `'Depot projet$'`.`07`, `'Depot projet$'`.`11`, `'Depot projet$'`.`12`, `'Depot projet$'`.`15`, `'Depot projet$'`.`19`, `'Depot projet$'`.`21`, `'Depot projet$'`.`23`, `'Depot projet$'`.`30`, `'Depot projet$'`.`34`, `'Depot projet$'`.`42`, `'Depot projet$'`.`43`, `'Depot projet$'`.`46`, `'Depot projet$'`.`48`, `'Depot projet$'`.`58`, `'Depot projet$'`.`63`, `'Depot projet$'`.`69`, `'Depot projet$'`.`71`, `'Depot projet$'`.`81`, `'Depot projet$'`.`82`, `'Depot projet$'`.`87`, `'Depot projet$'`.`89`, `'Depot projet$'`.`Autre Public`, `'Depot projet$'`.`Avis Cprog`, `Beneficiaire$`.NumDpt, `Beneficiaire$`.NomReg, `'Depot projet$'`.Programme, `'Depot projet$'`.Thematique, `'Depot projet$'`.`Motivation Cprog`_x000d__x000a_FROM `Beneficiaire$` `Beneficiaire$`, `'Depot projet$'` `'Depot projet$'`_x000d__x000a_WHERE `Beneficiaire$`.ID_Beneficiaire = `'Depot projet$'`.ID_Beneficiaire_x000d__x000a_GROUP BY `'Depot projet$'`.ID_Synergie, `'Depot projet$'`.Nom_MO, `'Depot projet$'`.Intitule_Operation, `'Depot projet$'`.`Coût total déposé`, `'Depot projet$'`.`FEDER Demandé`, `'Depot projet$'`.`Taux FEDER`, `'Depot projet$'`.`Aide Publique demandée`, `'Depot projet$'`.`Taux Aide publique`, `'Depot projet$'`.`Coût total Opération`, `'Depot projet$'`.`Coût total Eligible FEDER`, `'Depot projet$'`.`Part Publique`, `'Depot projet$'`.`Tx Aide Publique`, `'Depot projet$'`.`Part privée`, `'Depot projet$'`.Autofinancement, `'Depot projet$'`.`Tx Autofin`, `'Depot projet$'`.UE, `'Depot projet$'`.`Tx Aide FEDER`, `'Depot projet$'`.DPN, `'Depot projet$'`.`Total CR`, `'Depot projet$'`.Auvergne, `'Depot projet$'`.Bourgogne, `'Depot projet$'`.`Languedoc-Roussillon`, `'Depot projet$'`.Limousin, `'Depot projet$'`.`Midi-Pyrénées`, `'Depot projet$'`.`Rhône-Alpes`, `'Depot projet$'`.`Total Etat`, `'Depot projet$'`.FNADT, `'Depot projet$'`.Environnement, `'Depot projet$'`.Agriculture, `'Depot projet$'`.`Autre Etat 3`, `'Depot projet$'`.`Autre Etat Divers`, `'Depot projet$'`.`Total CG`, `'Depot projet$'`.`03`, `'Depot projet$'`.`07`, `'Depot projet$'`.`11`, `'Depot projet$'`.`12`, `'Depot projet$'`.`15`, `'Depot projet$'`.`19`, `'Depot projet$'`.`21`, `'Depot projet$'`.`23`, `'Depot projet$'`.`30`, `'Depot projet$'`.`34`, `'Depot projet$'`.`42`, `'Depot projet$'`.`43`, `'Depot projet$'`.`46`, `'Depot projet$'`.`48`, `'Depot projet$'`.`58`, `'Depot projet$'`.`63`, `'Depot projet$'`.`69`, `'Depot projet$'`.`71`, `'Depot projet$'`.`81`, `'Depot projet$'`.`82`, `'Depot projet$'`.`87`, `'Depot projet$'`.`89`, `'Depot projet$'`.`Autre Public`, `'Depot projet$'`.`Avis Cprog`, `Beneficiaire$`.NumDpt, `Beneficiaire$`.NomReg, `'Depot projet$'`.Programme, `'Depot projet$'`.Thematique, `'Depot projet$'`.`Motivation Cprog`, `'Depot projet$'`.`Date Cprog`, `'Depot projet$'`.Partic_x000d__x000a_HAVING (`'Depot projet$'`.`Date Cprog`={ts '2015-07-06 00:00:00'}) AND (`'Depot projet$'`.`Avis Cprog` Is Null) AND (`'Depot projet$'`.Partic Is Null)"/>
  </connection>
  <connection id="4" name="Requete Fil eau Ajournement" type="1" refreshedVersion="4" background="1" saveData="1">
    <dbPr connection="DBQ=P:\GIP Massif\AUTORITE DE GESTION\Suivi - Pilotage\Tableaux bord\Base dossiers déposés.xlsm;DefaultDir=P:\GIP Massif\AUTORITE DE GESTION\Suivi - Pilotage\Tableaux bord;Driver={Microsoft Excel Driver (*.xls, *.xlsx, *.xlsm, *.xlsb)};DriverId=1046;FIL=excel 12.0;MaxBufferSize=2048;MaxScanRows=8;PageTimeout=5;ReadOnly=1;SafeTransactions=0;Threads=3;UserCommitSync=Yes;" command="SELECT `'Depot projet$'`.ID_Synergie, `'Depot projet$'`.Nom_MO, `'Depot projet$'`.Intitule_Operation, `'Depot projet$'`.`Coût total déposé`, `'Depot projet$'`.`FEDER Demandé`, `'Depot projet$'`.`Taux FEDER`, `'Depot projet$'`.`Aide Publique demandée`, `'Depot projet$'`.`Taux Aide publique`, `'Depot projet$'`.`Coût total Opération`, `'Depot projet$'`.`Coût total Eligible FEDER`, `'Depot projet$'`.`Part Publique`, `'Depot projet$'`.`Tx Aide Publique`, `'Depot projet$'`.`Part privée`, `'Depot projet$'`.Autofinancement, `'Depot projet$'`.`Tx Autofin`, `'Depot projet$'`.UE, `'Depot projet$'`.`Tx Aide FEDER`, `'Depot projet$'`.DPN, `'Depot projet$'`.`Total CR`, `'Depot projet$'`.Auvergne, `'Depot projet$'`.Bourgogne, `'Depot projet$'`.`Languedoc-Roussillon`, `'Depot projet$'`.Limousin, `'Depot projet$'`.`Midi-Pyrénées`, `'Depot projet$'`.`Rhône-Alpes`, `'Depot projet$'`.`Total Etat`, `'Depot projet$'`.FNADT, `'Depot projet$'`.Environnement, `'Depot projet$'`.Agriculture, `'Depot projet$'`.`Autre Etat 3`, `'Depot projet$'`.`Autre Etat Divers`, `'Depot projet$'`.`Total CG`, `'Depot projet$'`.`03`, `'Depot projet$'`.`07`, `'Depot projet$'`.`11`, `'Depot projet$'`.`12`, `'Depot projet$'`.`15`, `'Depot projet$'`.`19`, `'Depot projet$'`.`21`, `'Depot projet$'`.`23`, `'Depot projet$'`.`30`, `'Depot projet$'`.`34`, `'Depot projet$'`.`42`, `'Depot projet$'`.`43`, `'Depot projet$'`.`46`, `'Depot projet$'`.`48`, `'Depot projet$'`.`58`, `'Depot projet$'`.`63`, `'Depot projet$'`.`69`, `'Depot projet$'`.`71`, `'Depot projet$'`.`81`, `'Depot projet$'`.`82`, `'Depot projet$'`.`87`, `'Depot projet$'`.`89`, `'Depot projet$'`.`Autre Public`, `'Depot projet$'`.`Avis Cprog`, `Beneficiaire$`.NumDpt, `Beneficiaire$`.NomReg, `'Depot projet$'`.Programme, `'Depot projet$'`.Thematique, `'Depot projet$'`.`Motivation Cprog`, `'Depot projet$'`.`Motivation Cprog`_x000d__x000a_FROM `Beneficiaire$` `Beneficiaire$`, `'Depot projet$'` `'Depot projet$'`_x000d__x000a_WHERE `Beneficiaire$`.ID_Beneficiaire = `'Depot projet$'`.ID_Beneficiaire AND ((`'Depot projet$'`.`Date Cprog`={ts '2015-07-06 00:00:00'}) AND (`'Depot projet$'`.`Avis Cprog`='4-Ajournement') AND (`'Depot projet$'`.Partic Is Null))"/>
  </connection>
  <connection id="5" name="Requete Fil eau Defav" type="1" refreshedVersion="4" background="1" saveData="1">
    <dbPr connection="DBQ=P:\GIP Massif\AUTORITE DE GESTION\Suivi - Pilotage\Tableaux bord\Base dossiers déposés.xlsm;DefaultDir=P:\GIP Massif\AUTORITE DE GESTION\Suivi - Pilotage\Tableaux bord;Driver={Microsoft Excel Driver (*.xls, *.xlsx, *.xlsm, *.xlsb)};DriverId=1046;FIL=excel 12.0;MaxBufferSize=2048;MaxScanRows=8;PageTimeout=5;ReadOnly=1;SafeTransactions=0;Threads=3;UserCommitSync=Yes;" command="SELECT `'Depot projet$'`.ID_Synergie, `'Depot projet$'`.Nom_MO, `'Depot projet$'`.Intitule_Operation, `'Depot projet$'`.`Coût total déposé`, `'Depot projet$'`.`FEDER Demandé`, `'Depot projet$'`.`Taux FEDER`, `'Depot projet$'`.`Aide Publique demandée`, `'Depot projet$'`.`Taux Aide publique`, `'Depot projet$'`.`Coût total Opération`, `'Depot projet$'`.`Coût total Eligible FEDER`, `'Depot projet$'`.`Part Publique`, `'Depot projet$'`.`Tx Aide Publique`, `'Depot projet$'`.`Part privée`, `'Depot projet$'`.Autofinancement, `'Depot projet$'`.`Tx Autofin`, `'Depot projet$'`.UE, `'Depot projet$'`.`Tx Aide FEDER`, `'Depot projet$'`.DPN, `'Depot projet$'`.`Total CR`, `'Depot projet$'`.Auvergne, `'Depot projet$'`.Bourgogne, `'Depot projet$'`.`Languedoc-Roussillon`, `'Depot projet$'`.Limousin, `'Depot projet$'`.`Midi-Pyrénées`, `'Depot projet$'`.`Rhône-Alpes`, `'Depot projet$'`.`Total Etat`, `'Depot projet$'`.FNADT, `'Depot projet$'`.Environnement, `'Depot projet$'`.Agriculture, `'Depot projet$'`.`Autre Etat 3`, `'Depot projet$'`.`Autre Etat Divers`, `'Depot projet$'`.`Total CG`, `'Depot projet$'`.`03`, `'Depot projet$'`.`07`, `'Depot projet$'`.`11`, `'Depot projet$'`.`12`, `'Depot projet$'`.`15`, `'Depot projet$'`.`19`, `'Depot projet$'`.`21`, `'Depot projet$'`.`23`, `'Depot projet$'`.`30`, `'Depot projet$'`.`34`, `'Depot projet$'`.`42`, `'Depot projet$'`.`43`, `'Depot projet$'`.`46`, `'Depot projet$'`.`48`, `'Depot projet$'`.`58`, `'Depot projet$'`.`63`, `'Depot projet$'`.`69`, `'Depot projet$'`.`71`, `'Depot projet$'`.`81`, `'Depot projet$'`.`82`, `'Depot projet$'`.`87`, `'Depot projet$'`.`89`, `'Depot projet$'`.`Autre Public`, `'Depot projet$'`.`Avis Cprog`, `Beneficiaire$`.NumDpt, `Beneficiaire$`.NomReg, `'Depot projet$'`.Programme, `'Depot projet$'`.Thematique, `'Depot projet$'`.`Motivation Cprog`_x000d__x000a_FROM `Beneficiaire$` `Beneficiaire$`, `'Depot projet$'` `'Depot projet$'`_x000d__x000a_WHERE `Beneficiaire$`.ID_Beneficiaire = `'Depot projet$'`.ID_Beneficiaire AND ((`'Depot projet$'`.`Date Cprog`={ts '2015-07-06 00:00:00'}) AND (`'Depot projet$'`.`Avis Cprog`='5-défavorable') AND (`'Depot projet$'`.Partic Is Null))"/>
  </connection>
  <connection id="6" name="Requete Fil eau Favorables" type="1" refreshedVersion="4" background="1" saveData="1">
    <dbPr connection="DBQ=P:\GIP Massif\AUTORITE DE GESTION\Suivi - Pilotage\Tableaux bord\Base dossiers déposés.xlsm;DefaultDir=P:\GIP Massif\AUTORITE DE GESTION\Suivi - Pilotage\Tableaux bord;Driver={Microsoft Excel Driver (*.xls, *.xlsx, *.xlsm, *.xlsb)};DriverId=1046;FIL=excel 12.0;MaxBufferSize=2048;MaxScanRows=8;PageTimeout=5;ReadOnly=1;SafeTransactions=0;Threads=3;UserCommitSync=Yes;" command="SELECT `'Depot projet$'`.ID_Synergie, `'Depot projet$'`.Nom_MO, `'Depot projet$'`.Intitule_Operation, `'Depot projet$'`.`Coût total déposé`, `'Depot projet$'`.`FEDER Demandé`, `'Depot projet$'`.`Taux FEDER`, `'Depot projet$'`.`Aide Publique demandée`, `'Depot projet$'`.`Taux Aide publique`, `'Depot projet$'`.`Coût total Opération`, `'Depot projet$'`.`Coût total Eligible FEDER`, `'Depot projet$'`.`Part Publique`, `'Depot projet$'`.`Tx Aide Publique`, `'Depot projet$'`.`Part privée`, `'Depot projet$'`.Autofinancement, `'Depot projet$'`.`Tx Autofin`, `'Depot projet$'`.UE, `'Depot projet$'`.`Tx Aide FEDER`, `'Depot projet$'`.DPN, `'Depot projet$'`.`Total CR`, `'Depot projet$'`.Auvergne, `'Depot projet$'`.Bourgogne, `'Depot projet$'`.`Languedoc-Roussillon`, `'Depot projet$'`.Limousin, `'Depot projet$'`.`Midi-Pyrénées`, `'Depot projet$'`.`Rhône-Alpes`, `'Depot projet$'`.`Total Etat`, `'Depot projet$'`.FNADT, `'Depot projet$'`.Environnement, `'Depot projet$'`.Agriculture, `'Depot projet$'`.`Autre Etat 3`, `'Depot projet$'`.`Autre Etat Divers`, `'Depot projet$'`.`Total CG`, `'Depot projet$'`.`03`, `'Depot projet$'`.`07`, `'Depot projet$'`.`11`, `'Depot projet$'`.`12`, `'Depot projet$'`.`15`, `'Depot projet$'`.`19`, `'Depot projet$'`.`21`, `'Depot projet$'`.`23`, `'Depot projet$'`.`30`, `'Depot projet$'`.`34`, `'Depot projet$'`.`42`, `'Depot projet$'`.`43`, `'Depot projet$'`.`46`, `'Depot projet$'`.`48`, `'Depot projet$'`.`58`, `'Depot projet$'`.`63`, `'Depot projet$'`.`69`, `'Depot projet$'`.`71`, `'Depot projet$'`.`81`, `'Depot projet$'`.`82`, `'Depot projet$'`.`87`, `'Depot projet$'`.`89`, `'Depot projet$'`.`Autre Public`, `'Depot projet$'`.`Avis Cprog`, `Beneficiaire$`.NumDpt, `Beneficiaire$`.NomReg, `'Depot projet$'`.Programme, `'Depot projet$'`.`Motivation Cprog`, `'Depot projet$'`.Thematique_x000d__x000a_FROM `Beneficiaire$` `Beneficiaire$`, `'Depot projet$'` `'Depot projet$'`_x000d__x000a_WHERE `Beneficiaire$`.ID_Beneficiaire = `'Depot projet$'`.ID_Beneficiaire AND ((`'Depot projet$'`.`Date Cprog`={ts '2015-07-06 00:00:00'}) AND (`'Depot projet$'`.`Avis Cprog`='1-Favorable') AND (`'Depot projet$'`.Partic Is Null))"/>
  </connection>
  <connection id="7" name="Requete PPN Emerg Défavorable" type="1" refreshedVersion="4" background="1" saveData="1">
    <dbPr connection="DBQ=P:\GIP Massif\AUTORITE DE GESTION\Suivi - Pilotage\Tableaux bord\Base dossiers déposés.xlsm;DefaultDir=P:\GIP Massif\AUTORITE DE GESTION\Suivi - Pilotage\Tableaux bord;Driver={Microsoft Excel Driver (*.xls, *.xlsx, *.xlsm, *.xlsb)};DriverId=1046;FIL=excel 12.0;MaxBufferSize=2048;MaxScanRows=8;PageTimeout=5;ReadOnly=1;SafeTransactions=0;Threads=3;UserCommitSync=Yes;" command="SELECT `'Depot projet$'`.ID_Synergie, `'Depot projet$'`.Nom_MO, `'Depot projet$'`.Intitule_Operation, `'Depot projet$'`.`Coût total déposé`, `'Depot projet$'`.`FEDER Demandé`, `'Depot projet$'`.`Taux FEDER`, `'Depot projet$'`.`Aide Publique demandée`, `'Depot projet$'`.`Taux Aide publique`, `'Depot projet$'`.`Coût total Opération`, `'Depot projet$'`.`Coût total Eligible FEDER`, `'Depot projet$'`.`Part Publique`, `'Depot projet$'`.`Tx Aide Publique`, `'Depot projet$'`.`Part privée`, `'Depot projet$'`.Autofinancement, `'Depot projet$'`.`Tx Autofin`, `'Depot projet$'`.UE, `'Depot projet$'`.`Tx Aide FEDER`, `'Depot projet$'`.DPN, `'Depot projet$'`.`Total CR`, `'Depot projet$'`.Auvergne, `'Depot projet$'`.Bourgogne, `'Depot projet$'`.`Languedoc-Roussillon`, `'Depot projet$'`.Limousin, `'Depot projet$'`.`Midi-Pyrénées`, `'Depot projet$'`.`Rhône-Alpes`, `'Depot projet$'`.`Total Etat`, `'Depot projet$'`.FNADT, `'Depot projet$'`.Environnement, `'Depot projet$'`.Agriculture, `'Depot projet$'`.`Autre Etat 3`, `'Depot projet$'`.`Autre Etat Divers`, `'Depot projet$'`.`Total CG`, `'Depot projet$'`.`03`, `'Depot projet$'`.`07`, `'Depot projet$'`.`11`, `'Depot projet$'`.`12`, `'Depot projet$'`.`15`, `'Depot projet$'`.`19`, `'Depot projet$'`.`21`, `'Depot projet$'`.`23`, `'Depot projet$'`.`30`, `'Depot projet$'`.`34`, `'Depot projet$'`.`42`, `'Depot projet$'`.`43`, `'Depot projet$'`.`46`, `'Depot projet$'`.`48`, `'Depot projet$'`.`58`, `'Depot projet$'`.`63`, `'Depot projet$'`.`69`, `'Depot projet$'`.`71`, `'Depot projet$'`.`81`, `'Depot projet$'`.`82`, `'Depot projet$'`.`87`, `'Depot projet$'`.`89`, `'Depot projet$'`.`Autre Public`, `'Depot projet$'`.`Avis Cprog`, `Beneficiaire$`.NumDpt, `Beneficiaire$`.NomReg, `'Depot projet$'`.Class, `'Depot projet$'`.`Motivation Cprog`, `'Depot projet$'`.Programme_x000d__x000a_FROM `Beneficiaire$` `Beneficiaire$`, `'Depot projet$'` `'Depot projet$'`_x000d__x000a_WHERE `Beneficiaire$`.ID_Beneficiaire = `'Depot projet$'`.ID_Beneficiaire AND ((`'Depot projet$'`.`Date Cprog`={ts '2015-07-06 00:00:00'}) AND (`'Depot projet$'`.AAP='Oui') AND (`'Depot projet$'`.ThématiqueAction='Pleine nature') AND (`'Depot projet$'`.Partic='Emergent') AND (`'Depot projet$'`.`Avis Cprog`='5-Défavorable'))"/>
  </connection>
  <connection id="8" name="Requete PPN Emerg Favorable" type="1" refreshedVersion="4" background="1" saveData="1">
    <dbPr connection="DBQ=P:\GIP Massif\AUTORITE DE GESTION\Suivi - Pilotage\Tableaux bord\Base dossiers déposés.xlsm;DefaultDir=P:\GIP Massif\AUTORITE DE GESTION\Suivi - Pilotage\Tableaux bord;Driver={Microsoft Excel Driver (*.xls, *.xlsx, *.xlsm, *.xlsb)};DriverId=1046;FIL=excel 12.0;MaxBufferSize=2048;MaxScanRows=8;PageTimeout=5;ReadOnly=1;SafeTransactions=0;Threads=3;UserCommitSync=Yes;" command="SELECT `'Depot projet$'`.ID_Synergie, `'Depot projet$'`.Nom_MO, `'Depot projet$'`.Intitule_Operation, `'Depot projet$'`.`Coût total déposé`, `'Depot projet$'`.`FEDER Demandé`, `'Depot projet$'`.`Taux FEDER`, `'Depot projet$'`.`Aide Publique demandée`, `'Depot projet$'`.`Taux Aide publique`, `'Depot projet$'`.`Coût total Opération`, `'Depot projet$'`.`Coût total Eligible FEDER`, `'Depot projet$'`.`Part Publique`, `'Depot projet$'`.`Tx Aide Publique`, `'Depot projet$'`.`Part privée`, `'Depot projet$'`.Autofinancement, `'Depot projet$'`.`Tx Autofin`, `'Depot projet$'`.UE, `'Depot projet$'`.`Tx Aide FEDER`, `'Depot projet$'`.DPN, `'Depot projet$'`.`Total CR`, `'Depot projet$'`.Auvergne, `'Depot projet$'`.Bourgogne, `'Depot projet$'`.`Languedoc-Roussillon`, `'Depot projet$'`.Limousin, `'Depot projet$'`.`Midi-Pyrénées`, `'Depot projet$'`.`Rhône-Alpes`, `'Depot projet$'`.`Total Etat`, `'Depot projet$'`.FNADT, `'Depot projet$'`.Environnement, `'Depot projet$'`.Agriculture, `'Depot projet$'`.`Autre Etat 3`, `'Depot projet$'`.`Autre Etat Divers`, `'Depot projet$'`.`Total CG`, `'Depot projet$'`.`03`, `'Depot projet$'`.`07`, `'Depot projet$'`.`11`, `'Depot projet$'`.`12`, `'Depot projet$'`.`15`, `'Depot projet$'`.`19`, `'Depot projet$'`.`21`, `'Depot projet$'`.`23`, `'Depot projet$'`.`30`, `'Depot projet$'`.`34`, `'Depot projet$'`.`42`, `'Depot projet$'`.`43`, `'Depot projet$'`.`46`, `'Depot projet$'`.`48`, `'Depot projet$'`.`58`, `'Depot projet$'`.`63`, `'Depot projet$'`.`69`, `'Depot projet$'`.`71`, `'Depot projet$'`.`81`, `'Depot projet$'`.`82`, `'Depot projet$'`.`87`, `'Depot projet$'`.`89`, `'Depot projet$'`.`Autre Public`, `'Depot projet$'`.`Avis Cprog`, `Beneficiaire$`.NumDpt, `Beneficiaire$`.NomReg, `'Depot projet$'`.Class, `'Depot projet$'`.`Motivation Cprog`, `'Depot projet$'`.Programme_x000d__x000a_FROM `Beneficiaire$` `Beneficiaire$`, `'Depot projet$'` `'Depot projet$'`_x000d__x000a_WHERE `Beneficiaire$`.ID_Beneficiaire = `'Depot projet$'`.ID_Beneficiaire AND ((`'Depot projet$'`.`Date Cprog`={ts '2015-07-06 00:00:00'}) AND (`'Depot projet$'`.AAP='Oui') AND (`'Depot projet$'`.ThématiqueAction='Pleine nature') AND (`'Depot projet$'`.Partic='Emergent') AND (`'Depot projet$'`.`Avis Cprog`='1-Favorable') OR (`'Depot projet$'`.ThématiqueAction='Pôles pleine nature'))"/>
  </connection>
  <connection id="9" name="Requete PPN Struct Defav1" type="1" refreshedVersion="4" background="1" saveData="1">
    <dbPr connection="DBQ=P:\GIP Massif\AUTORITE DE GESTION\Suivi - Pilotage\Tableaux bord\Base dossiers déposés.xlsm;DefaultDir=P:\GIP Massif\AUTORITE DE GESTION\Suivi - Pilotage\Tableaux bord;Driver={Microsoft Excel Driver (*.xls, *.xlsx, *.xlsm, *.xlsb)};DriverId=1046;FIL=excel 12.0;MaxBufferSize=2048;MaxScanRows=8;PageTimeout=5;ReadOnly=1;SafeTransactions=0;Threads=3;UserCommitSync=Yes;" command="SELECT `'Depot projet$'`.ID_Synergie, `'Depot projet$'`.Nom_MO, `'Depot projet$'`.Intitule_Operation, `'Depot projet$'`.`Coût total déposé`, `'Depot projet$'`.`FEDER Demandé`, `'Depot projet$'`.`Taux FEDER`, `'Depot projet$'`.`Aide Publique demandée`, `'Depot projet$'`.`Taux Aide publique`, `'Depot projet$'`.`Coût total Opération`, `'Depot projet$'`.`Coût total Eligible FEDER`, `'Depot projet$'`.`Part Publique`, `'Depot projet$'`.`Tx Aide Publique`, `'Depot projet$'`.`Part privée`, `'Depot projet$'`.Autofinancement, `'Depot projet$'`.`Tx Autofin`, `'Depot projet$'`.UE, `'Depot projet$'`.`Tx Aide FEDER`, `'Depot projet$'`.DPN, `'Depot projet$'`.`Total CR`, `'Depot projet$'`.Auvergne, `'Depot projet$'`.Bourgogne, `'Depot projet$'`.`Languedoc-Roussillon`, `'Depot projet$'`.Limousin, `'Depot projet$'`.`Midi-Pyrénées`, `'Depot projet$'`.`Rhône-Alpes`, `'Depot projet$'`.`Total Etat`, `'Depot projet$'`.FNADT, `'Depot projet$'`.Environnement, `'Depot projet$'`.Agriculture, `'Depot projet$'`.`Autre Etat 3`, `'Depot projet$'`.`Autre Etat Divers`, `'Depot projet$'`.`Total CG`, `'Depot projet$'`.`03`, `'Depot projet$'`.`07`, `'Depot projet$'`.`11`, `'Depot projet$'`.`12`, `'Depot projet$'`.`15`, `'Depot projet$'`.`19`, `'Depot projet$'`.`21`, `'Depot projet$'`.`23`, `'Depot projet$'`.`30`, `'Depot projet$'`.`34`, `'Depot projet$'`.`42`, `'Depot projet$'`.`43`, `'Depot projet$'`.`46`, `'Depot projet$'`.`48`, `'Depot projet$'`.`58`, `'Depot projet$'`.`63`, `'Depot projet$'`.`69`, `'Depot projet$'`.`71`, `'Depot projet$'`.`81`, `'Depot projet$'`.`82`, `'Depot projet$'`.`87`, `'Depot projet$'`.`89`, `'Depot projet$'`.`Autre Public`, `'Depot projet$'`.`Avis Cprog`, `Beneficiaire$`.NumDpt, `Beneficiaire$`.NomReg, `'Depot projet$'`.Partic, `'Depot projet$'`.Class_x000d__x000a_FROM `Beneficiaire$` `Beneficiaire$`, `'Depot projet$'` `'Depot projet$'`_x000d__x000a_WHERE `Beneficiaire$`.ID_Beneficiaire = `'Depot projet$'`.ID_Beneficiaire AND ((`'Depot projet$'`.`Date Cprog`={ts '2015-07-06 00:00:00'}) AND (`'Depot projet$'`.AAP='Oui') AND (`'Depot projet$'`.ThématiqueAction='Pleine nature') AND (`'Depot projet$'`.`Avis Cprog`='5-Défavorable') AND (`'Depot projet$'`.Partic='Structure'))_x000d__x000a_ORDER BY `'Depot projet$'`.Class"/>
  </connection>
  <connection id="10" name="Requete PPN Struct Favorable1" type="1" refreshedVersion="4" background="1" saveData="1">
    <dbPr connection="DBQ=P:\GIP Massif\AUTORITE DE GESTION\Suivi - Pilotage\Tableaux bord\Base dossiers déposés.xlsm;DefaultDir=P:\GIP Massif\AUTORITE DE GESTION\Suivi - Pilotage\Tableaux bord;Driver={Microsoft Excel Driver (*.xls, *.xlsx, *.xlsm, *.xlsb)};DriverId=1046;FIL=excel 12.0;MaxBufferSize=2048;MaxScanRows=8;PageTimeout=5;ReadOnly=1;SafeTransactions=0;Threads=3;UserCommitSync=Yes;" command="SELECT `'Depot projet$'`.ID_Synergie, `'Depot projet$'`.Nom_MO, `'Depot projet$'`.Intitule_Operation, `'Depot projet$'`.`Coût total déposé`, `'Depot projet$'`.`FEDER Demandé`, `'Depot projet$'`.`Taux FEDER`, `'Depot projet$'`.`Aide Publique demandée`, `'Depot projet$'`.`Taux Aide publique`, `'Depot projet$'`.`Coût total Opération`, `'Depot projet$'`.`Coût total Eligible FEDER`, `'Depot projet$'`.`Part Publique`, `'Depot projet$'`.`Tx Aide Publique`, `'Depot projet$'`.`Part privée`, `'Depot projet$'`.Autofinancement, `'Depot projet$'`.`Tx Autofin`, `'Depot projet$'`.UE, `'Depot projet$'`.`Tx Aide FEDER`, `'Depot projet$'`.DPN, `'Depot projet$'`.`Total CR`, `'Depot projet$'`.Auvergne, `'Depot projet$'`.Bourgogne, `'Depot projet$'`.`Languedoc-Roussillon`, `'Depot projet$'`.Limousin, `'Depot projet$'`.`Midi-Pyrénées`, `'Depot projet$'`.`Rhône-Alpes`, `'Depot projet$'`.`Total Etat`, `'Depot projet$'`.FNADT, `'Depot projet$'`.Environnement, `'Depot projet$'`.Partic, `'Depot projet$'`.Agriculture, `'Depot projet$'`.`Autre Etat 3`, `'Depot projet$'`.`Autre Etat Divers`, `'Depot projet$'`.`Total CG`, `'Depot projet$'`.`03`, `'Depot projet$'`.`07`, `'Depot projet$'`.`11`, `'Depot projet$'`.`12`, `'Depot projet$'`.`15`, `'Depot projet$'`.`19`, `'Depot projet$'`.`21`, `'Depot projet$'`.`23`, `'Depot projet$'`.`30`, `'Depot projet$'`.`34`, `'Depot projet$'`.`42`, `'Depot projet$'`.`43`, `'Depot projet$'`.`46`, `'Depot projet$'`.`48`, `'Depot projet$'`.`58`, `'Depot projet$'`.`63`, `'Depot projet$'`.`69`, `'Depot projet$'`.`71`, `'Depot projet$'`.`81`, `'Depot projet$'`.`82`, `'Depot projet$'`.`87`, `'Depot projet$'`.`89`, `'Depot projet$'`.`Autre Public`, `'Depot projet$'`.`Avis Cprog`, `Beneficiaire$`.NumDpt, `Beneficiaire$`.NomReg, `'Depot projet$'`.`Avis Cofimac`, `'Depot projet$'`.Partic, `'Depot projet$'`.Class_x000d__x000a_FROM `Beneficiaire$` `Beneficiaire$`, `'Depot projet$'` `'Depot projet$'`_x000d__x000a_WHERE `Beneficiaire$`.ID_Beneficiaire = `'Depot projet$'`.ID_Beneficiaire AND ((`'Depot projet$'`.`Date Cprog`={ts '2015-07-06 00:00:00'}) AND (`'Depot projet$'`.AAP='Oui') AND (`'Depot projet$'`.ThématiqueAction='Pleine nature') AND (`'Depot projet$'`.`Avis Cprog`='1-Favorable') AND (`'Depot projet$'`.Partic='Structure'))_x000d__x000a_ORDER BY `'Depot projet$'`.Class"/>
  </connection>
</connections>
</file>

<file path=xl/sharedStrings.xml><?xml version="1.0" encoding="utf-8"?>
<sst xmlns="http://schemas.openxmlformats.org/spreadsheetml/2006/main" count="1991" uniqueCount="500">
  <si>
    <t>ID_Synergie</t>
  </si>
  <si>
    <t>Nom_MO</t>
  </si>
  <si>
    <t>Intitule_Operation</t>
  </si>
  <si>
    <t>UE</t>
  </si>
  <si>
    <t>Total CR</t>
  </si>
  <si>
    <t>Total Etat</t>
  </si>
  <si>
    <t>Total CG</t>
  </si>
  <si>
    <t>Autre Public</t>
  </si>
  <si>
    <t>Part privée</t>
  </si>
  <si>
    <t>NomReg</t>
  </si>
  <si>
    <t>Rhône-Alpes</t>
  </si>
  <si>
    <t>Auvergne</t>
  </si>
  <si>
    <t>Languedoc-Roussillon</t>
  </si>
  <si>
    <t>Coût total Opération</t>
  </si>
  <si>
    <t>Coût total Eligible FEDER</t>
  </si>
  <si>
    <t>Part Publique</t>
  </si>
  <si>
    <t>Tx Aide Publique</t>
  </si>
  <si>
    <t>Autofinancement</t>
  </si>
  <si>
    <t>Tx Autofin</t>
  </si>
  <si>
    <t>Tx Aide FEDER</t>
  </si>
  <si>
    <t>DPN</t>
  </si>
  <si>
    <t>Bourgogne</t>
  </si>
  <si>
    <t>Limousin</t>
  </si>
  <si>
    <t>Midi-Pyrénées</t>
  </si>
  <si>
    <t>FNADT</t>
  </si>
  <si>
    <t>Environnement</t>
  </si>
  <si>
    <t>Agriculture</t>
  </si>
  <si>
    <t>Autre Etat 3</t>
  </si>
  <si>
    <t>Autre Etat Divers</t>
  </si>
  <si>
    <t>03</t>
  </si>
  <si>
    <t>07</t>
  </si>
  <si>
    <t>11</t>
  </si>
  <si>
    <t>12</t>
  </si>
  <si>
    <t>15</t>
  </si>
  <si>
    <t>19</t>
  </si>
  <si>
    <t>21</t>
  </si>
  <si>
    <t>23</t>
  </si>
  <si>
    <t>30</t>
  </si>
  <si>
    <t>34</t>
  </si>
  <si>
    <t>42</t>
  </si>
  <si>
    <t>43</t>
  </si>
  <si>
    <t>46</t>
  </si>
  <si>
    <t>48</t>
  </si>
  <si>
    <t>58</t>
  </si>
  <si>
    <t>63</t>
  </si>
  <si>
    <t>69</t>
  </si>
  <si>
    <t>71</t>
  </si>
  <si>
    <t>81</t>
  </si>
  <si>
    <t>82</t>
  </si>
  <si>
    <t>87</t>
  </si>
  <si>
    <t>89</t>
  </si>
  <si>
    <t>Avis Cprog</t>
  </si>
  <si>
    <t>NumDpt</t>
  </si>
  <si>
    <t>PETR du Pays de la Jeune Loire</t>
  </si>
  <si>
    <t>Accueil de nouvelles populations en Pays de la Jeune Loire</t>
  </si>
  <si>
    <t>Association pour le Développement du Pays d’Aurillac</t>
  </si>
  <si>
    <t>Ingénierie de l’accueil n°1</t>
  </si>
  <si>
    <t>Communauté de communes du Sud Morvan</t>
  </si>
  <si>
    <t>Appel à Projet pour l’ingénierie de l’accueil n°1-2015</t>
  </si>
  <si>
    <t/>
  </si>
  <si>
    <t xml:space="preserve">Association Pays de Lafayette </t>
  </si>
  <si>
    <t xml:space="preserve">Amplification de la Politique d’Accueil d’Actifs du Pays de Lafayette </t>
  </si>
  <si>
    <t>Association Pays de Saint Yrieix-Sud Haute-Vienne</t>
  </si>
  <si>
    <t>Ingénierie de l’accueil et du développement économique</t>
  </si>
  <si>
    <t>Parc naturel régional du Livradois-Forez</t>
  </si>
  <si>
    <t>Faire du Livradois-Forez "une terre d'accueil durable"</t>
  </si>
  <si>
    <t>Syndicat Mixte pour l'Aménagement et le Développement des Combrailles</t>
  </si>
  <si>
    <t>Politique d'accueil de nouvelles populations du Pays des Combrailles</t>
  </si>
  <si>
    <t>Syndicat Mixte du Beaujolais</t>
  </si>
  <si>
    <t>Politique d’accueil du Pays Beaujolais</t>
  </si>
  <si>
    <t>Association du Pays du Haut Limousin</t>
  </si>
  <si>
    <t>Mise en oeuvre d’une politique d’accueil à l’échelle du Pays du Haut Limousin</t>
  </si>
  <si>
    <t>Communauté d'agglomération du Grand Guéret</t>
  </si>
  <si>
    <t>Animation de la politique Accueil – économie de proximité sur le territoire de projet (Pays de Guéret)</t>
  </si>
  <si>
    <t>Pays de Saint-Flour Haute-Auvergne</t>
  </si>
  <si>
    <t>Amplification de la politique d’accueil de nouvelles populations sur le Pays de Saint Flour Haute Auvergne</t>
  </si>
  <si>
    <t>Communauté de communes du pays de Murat</t>
  </si>
  <si>
    <t xml:space="preserve">Déploiement et extension du pack accueil télétravail </t>
  </si>
  <si>
    <t>Communauté de communes Quercy Rouergue Gorges de l'Aveyron</t>
  </si>
  <si>
    <t>Amplification et diversification de la politique d’accueil pour la consolider</t>
  </si>
  <si>
    <t>Communauté de communes du Grand Autunois Morvan</t>
  </si>
  <si>
    <t>Appel à projet Massif central - Amplification et diversification d'une politique locale d'accueil</t>
  </si>
  <si>
    <t>Syndicat Mixte du Pays du Velay</t>
  </si>
  <si>
    <t>Appel à projets pour l’ingénierie de l’Accueil n°1 – 2015  Politiques d’Accueil de nouvelles populations dans le Massif Central</t>
  </si>
  <si>
    <t>Pays des Sources en Lozère</t>
  </si>
  <si>
    <t>Appel à projets pour l’ingénierie de l’accueil n°1 –2015 Pays des Sources en Lozère</t>
  </si>
  <si>
    <t>Communauté de communes en Bocage Bourbonnais</t>
  </si>
  <si>
    <t>Politiques d'accueil de nouvelles populations dans le Massif central</t>
  </si>
  <si>
    <t>PETR Hautes Terres d'Oc</t>
  </si>
  <si>
    <t>Amplification de la politique d'accueil de Hautes Terres d'Oc</t>
  </si>
  <si>
    <t>Communauté de Communes entre Somme et Loire</t>
  </si>
  <si>
    <t>Diversifier la politique d’accueil et d’attractivité de la Communauté de Communes entre Somme et Loire</t>
  </si>
  <si>
    <t>PETR Grand Clermont</t>
  </si>
  <si>
    <t>Accueil de nouvelles populations et détection de potentiels d'activités sur le Grand Clermont</t>
  </si>
  <si>
    <t>Association Territoriale Causses Cévennes</t>
  </si>
  <si>
    <t>Poursuite de la politique d’accueil en Gorges Causses Cévennes</t>
  </si>
  <si>
    <t>Association du Pays du Gévaudan-Lozère</t>
  </si>
  <si>
    <t>Amplification de la politique de maintien et d’accueil de populations</t>
  </si>
  <si>
    <t>PETR Roannais Pays de Rhône-Alpes</t>
  </si>
  <si>
    <t>Accueil de nouvelles populations dans le Pays Roannais</t>
  </si>
  <si>
    <t>Communauté de communes du Pays d'Urfé</t>
  </si>
  <si>
    <t>Communauté de communes Donjon Val Libre</t>
  </si>
  <si>
    <t>Politiques d'accueil de nouvelles populations dans le Massif central. Appel à projets pour l'ingénierie de l'accueil n°1-2015</t>
  </si>
  <si>
    <t>Communauté de communes Sioule Colettes et Bouble</t>
  </si>
  <si>
    <t>Communauté de communes des Grands Lacs du Morvan</t>
  </si>
  <si>
    <t>Accueil de nouvelles populations sur le territoire des Grands Lacs du Morvan : une attractivité fondée sur des filières innovantes</t>
  </si>
  <si>
    <t>0,00%</t>
  </si>
  <si>
    <t>1-Favorable</t>
  </si>
  <si>
    <t>Communauté de communes des Sources de la Loire</t>
  </si>
  <si>
    <t>Construction d’une politique d’accueil en Montagne ardéchoise</t>
  </si>
  <si>
    <t>Communauté de communes du Haut Morvan</t>
  </si>
  <si>
    <t>Politique d’Accueil de Nouvelles Populations</t>
  </si>
  <si>
    <t>Communauté de Communes du Pays de Saint-Félicien</t>
  </si>
  <si>
    <t>Amplification de la politique d’accueil du Pays de Saint-Félicien</t>
  </si>
  <si>
    <t>5-Défavorable</t>
  </si>
  <si>
    <t>Communauté de communes du Bazois</t>
  </si>
  <si>
    <t>Mise en place d’une politique d’accueil de nouvelles populations sur le territoire de la Communauté de Communes du Bazois</t>
  </si>
  <si>
    <t>Communauté de communes des Portes du Morvan</t>
  </si>
  <si>
    <t>Politique d’accueil de nouvelles populations et construction d’une offre d’accueil qualifiée</t>
  </si>
  <si>
    <t>Communauté de Communes de Saulieu</t>
  </si>
  <si>
    <t>Mise en place d'une stratégie d'accueil de nouvelles populations</t>
  </si>
  <si>
    <t>Syndicat Mixte des Activités de Pleine Nature des Crêtes du Forez</t>
  </si>
  <si>
    <t>Communauté de Communes Les Cheires</t>
  </si>
  <si>
    <t>Pôle de pleine nature Les Cheires-Aydat/Pessade</t>
  </si>
  <si>
    <t>Communauté de Communes Causses Aigoual Cévennes Terres Solidaires</t>
  </si>
  <si>
    <t>Syndicat Mixte de la Montagne Ardéchoise</t>
  </si>
  <si>
    <t>Mise en œuvre des opérations prévues dans la candidature du Pôle de pleine nature Montagne ardéchoise, maîtrise d'ouvrage syndicat mixte de la Montagne ardéchoise</t>
  </si>
  <si>
    <t>Parc naturel régional du Pilat</t>
  </si>
  <si>
    <t>Pôle de pleine nature Pilat</t>
  </si>
  <si>
    <t>PETR Midi-Quercy</t>
  </si>
  <si>
    <t>Parc naturel régional du Morvan</t>
  </si>
  <si>
    <t>Office de Tourisme Intercommunautaire des Pays de Saint-Flour</t>
  </si>
  <si>
    <t>Pôle de pleine nature "Les Pays de Saint-Flour"</t>
  </si>
  <si>
    <t>Communauté de communes Mézenc Loire Sauvage</t>
  </si>
  <si>
    <t xml:space="preserve">POLE NATURE : MEZENC HAUT LIGNON ARDECHE AU CŒUR DU MASSIF CENTRAL </t>
  </si>
  <si>
    <t>CREATION et ANIMATION du POLE DE PLEINE NATURE VOLCAN NOUVEAU MONDE</t>
  </si>
  <si>
    <t>SMAT du Haut-Allier</t>
  </si>
  <si>
    <t>Communauté de Communes du Massif du Sancy</t>
  </si>
  <si>
    <t>POLE DE PLEINE NATURE GRAND SANCY</t>
  </si>
  <si>
    <t>Syndicat Mixte d’Aménagement Touristique de la Montagne bourbonnaise</t>
  </si>
  <si>
    <t>Dynamisation du plateau de la Loge-des-Garde (Allier)</t>
  </si>
  <si>
    <t>Communauté de Communes Causses et Vallée de la Dordogne</t>
  </si>
  <si>
    <t>Structuration d'un pôle de plaine nature en vallée de la Dordogne</t>
  </si>
  <si>
    <t>Syndicat Mixte d'Aménagement du Mont Lozère</t>
  </si>
  <si>
    <t>Pôle pleine nature Mont Lozère</t>
  </si>
  <si>
    <t>Syndicat Mixte de préfiguration du PNR de l'Aubrac</t>
  </si>
  <si>
    <t>Candidature à l’Appel à projet « Pôle de pleine nature ».</t>
  </si>
  <si>
    <t>Communauté d'agglomération Loire-Forez</t>
  </si>
  <si>
    <t>Projet de pôle de nature des Monts du Forez</t>
  </si>
  <si>
    <t>Syndicat mixte du Pays Haut-Languedoc et Vignobles</t>
  </si>
  <si>
    <t>Pôle de pleine nature "Voies et aventures en Haut Languedoc"</t>
  </si>
  <si>
    <t>PETR du Syndicat Mixte du Lévézou</t>
  </si>
  <si>
    <t>Appel à projet Pôles de Pleine Nature. Lévézou : de la nature à la pleine nature, l’expression d’une ambition territoriale innovante et originale</t>
  </si>
  <si>
    <t>Syndicat Mixte du Grand Site des gorges du Tarn, de la Jonte et des Causses</t>
  </si>
  <si>
    <t>Pôle de pleine nature émergent des gorges du Tarn</t>
  </si>
  <si>
    <t>Communauté de Communes de la Montagne du Haut-Languedoc</t>
  </si>
  <si>
    <t>Pôle de pleine nature émergent « Monts et Lacs en Haut Languedoc »</t>
  </si>
  <si>
    <t>Communauté de communes d'Aubenas Vals</t>
  </si>
  <si>
    <t>Destination Nature</t>
  </si>
  <si>
    <t>Syndicat Mixte pour l’Aménagement Touristique du Bassin de Sioule</t>
  </si>
  <si>
    <t>Structuration du pôle « émergent » Gorges de la Sioule</t>
  </si>
  <si>
    <t>Communauté de communes Volvic-Sources et Volcans</t>
  </si>
  <si>
    <t>« Développement d’une filière de sports et de loisirs de Pleine Nature sur Volvic-Sources et Volcans »</t>
  </si>
  <si>
    <t>D26</t>
  </si>
  <si>
    <t>Communauté de Communes Sumène Artense</t>
  </si>
  <si>
    <t>Candidature à l’appel à projets Pôle de Pleine Nature en Massif Central</t>
  </si>
  <si>
    <t>D36</t>
  </si>
  <si>
    <t>Syndicat mixte d’aménagement et de gestion du Parc naturel régional des Causses du Quercy</t>
  </si>
  <si>
    <t>Pôle de pleine nature Vallées du Lot et du Célé</t>
  </si>
  <si>
    <t>D27</t>
  </si>
  <si>
    <t>Communauté de Communes de la Vallée du Lot</t>
  </si>
  <si>
    <t>pôle pleine nature du Massif Central</t>
  </si>
  <si>
    <t>D41</t>
  </si>
  <si>
    <t>Syndicat Mixte Ardèche Verte</t>
  </si>
  <si>
    <t>Candidature Ardèche Verte - Appel à projet "Pôle de pleine nature" - pôle émergent - Vers une mise en synergie des acteurs de la "pleine nature" en Ardèche verte</t>
  </si>
  <si>
    <t>50,00%</t>
  </si>
  <si>
    <t>DASA</t>
  </si>
  <si>
    <t>Expérimenter des formes innovantes d'accompagnement à la création d'activités sur les territoires du Massif Central</t>
  </si>
  <si>
    <t>Programme</t>
  </si>
  <si>
    <t>POI</t>
  </si>
  <si>
    <t>Thematique</t>
  </si>
  <si>
    <t>Total</t>
  </si>
  <si>
    <t>40,00%</t>
  </si>
  <si>
    <t>49,06%</t>
  </si>
  <si>
    <t>Pays d’Issoire Val d’Allier Sud</t>
  </si>
  <si>
    <t>Appel à projet pour l’ingénierie de l’accueil n°1 2015 – Politiques d’accueil de nouvelles populations dans le Massif Central</t>
  </si>
  <si>
    <t>FNCIVAM</t>
  </si>
  <si>
    <t xml:space="preserve">Agriculture Durable de Moyenne Montagne : Identifier, accompagner et encourager l’adoption de pratiques économes et autonomes pour des fermes productrices de valeur ajoutée sur le Massif Central </t>
  </si>
  <si>
    <t>75</t>
  </si>
  <si>
    <t>Ile-de-France</t>
  </si>
  <si>
    <t>CIMAC</t>
  </si>
  <si>
    <t>Agroalimentaire</t>
  </si>
  <si>
    <t>APABA</t>
  </si>
  <si>
    <t>FRCIVAM Rhône-Alpes</t>
  </si>
  <si>
    <t>26</t>
  </si>
  <si>
    <t>FRCIVAM Auvergne</t>
  </si>
  <si>
    <t>SOLAGRO</t>
  </si>
  <si>
    <t>Cantadear</t>
  </si>
  <si>
    <t>FRCIVAM Limousin</t>
  </si>
  <si>
    <t>Pôle AB Massif central</t>
  </si>
  <si>
    <t>Collectif Massif central pour la production et la valorisation de références en AB - volets ruminants</t>
  </si>
  <si>
    <t>ARVALIS</t>
  </si>
  <si>
    <t>Chambre d'Agriculture de l'Allier</t>
  </si>
  <si>
    <t>Chambre d'Agriculture de l'Aveyron</t>
  </si>
  <si>
    <t>Chambre d'Agriculture de Haute-Loire</t>
  </si>
  <si>
    <t>Institut de l'Elevage</t>
  </si>
  <si>
    <t>ITAB</t>
  </si>
  <si>
    <t>AVEM</t>
  </si>
  <si>
    <t>Chambre d'Agriculture du Cantal</t>
  </si>
  <si>
    <t>Chambre d'Agriculture de la Loire</t>
  </si>
  <si>
    <t>Chambre d'Agriculture de la Lozère</t>
  </si>
  <si>
    <t>Chambre d'Agriculture du Puy-de-Dôme</t>
  </si>
  <si>
    <t>Chambre d'Agriculture du Rhône</t>
  </si>
  <si>
    <t>Chambre régionale d'Agriculture du Limousin</t>
  </si>
  <si>
    <t>INRA Theix</t>
  </si>
  <si>
    <t>SEDARB</t>
  </si>
  <si>
    <t>UNOTEC</t>
  </si>
  <si>
    <t>VetAgro Sup</t>
  </si>
  <si>
    <t>Chambre d'Agriculture de la Drôme</t>
  </si>
  <si>
    <t>Association Porc Montagne</t>
  </si>
  <si>
    <t>Lancement d’une marque collective des filières porcine et charcuterie de Montagne dans le Massif Central</t>
  </si>
  <si>
    <t>SIDAM</t>
  </si>
  <si>
    <t xml:space="preserve">AEOLE. Les prairies du Massif central : un atout économique pour construire des systèmes d'élevage performants </t>
  </si>
  <si>
    <t>Conservatoire Botanique National du Massif central</t>
  </si>
  <si>
    <t>Pôle fromager AOP Massif central</t>
  </si>
  <si>
    <t>Chambre d'agriculture de l'Ardèche</t>
  </si>
  <si>
    <t>Chambre d'agriculture de la Lozère</t>
  </si>
  <si>
    <t>COPAGE</t>
  </si>
  <si>
    <t>Chambre d'Agriculture régionale de Languedoc-Roussillon</t>
  </si>
  <si>
    <t>INRA</t>
  </si>
  <si>
    <t>EPLEFPA de Montravel</t>
  </si>
  <si>
    <t>Valorisation des co-produits des vignobles identitaires du Massif central au service de l'attractivité de ce territoire.</t>
  </si>
  <si>
    <t>D52a</t>
  </si>
  <si>
    <t>Projet Bio VIM : Renforcer l'échange, la Valorisation des connaissances et l’Innovation pour une Agriculture Biologique atout pour le développement durable des territoires en Massif.</t>
  </si>
  <si>
    <t>Bois</t>
  </si>
  <si>
    <t>CRPF Languedoc-Roussillon</t>
  </si>
  <si>
    <t>Détermination de référentiels sylvicoles prenant en compte changements climatiques et stockage de carbone dans la châtaigneraie cévenole</t>
  </si>
  <si>
    <t>Energy Biomasse Sourcing</t>
  </si>
  <si>
    <t>Groupe projet pilote des acteurs du bois énergie pour la valorisation de la biomasse</t>
  </si>
  <si>
    <t>Association Les Bois du Larzac</t>
  </si>
  <si>
    <t>Vivier Bois Massif central</t>
  </si>
  <si>
    <t>Conservatoire des Espaces Naturels d'Auvergne</t>
  </si>
  <si>
    <t>Projet Massif central MOH. Trame agropastorale thermophile et Maculinea</t>
  </si>
  <si>
    <t>49,99%</t>
  </si>
  <si>
    <t>MOH</t>
  </si>
  <si>
    <t>Conservatoire des Espaces Naturels de l'Allier</t>
  </si>
  <si>
    <t>D53a</t>
  </si>
  <si>
    <t>Parc national des Cévennes</t>
  </si>
  <si>
    <t>Mil'ouv. Les milieux ouverts pastoraux du Massif central ont de la ressource ! Partageons les savoirs pour préserver la biodiversité. Volet PNC 2015-2016</t>
  </si>
  <si>
    <t>Terre de Liens</t>
  </si>
  <si>
    <t>Mobiliser les citoyens et mettre en lien les acteurs pour accueillir et accompagner les projets sur les territoires du Massif central</t>
  </si>
  <si>
    <t>Services</t>
  </si>
  <si>
    <t>EPLEFPA de Marmilhat</t>
  </si>
  <si>
    <t>La diversification des ateliers de production biologique au service de l'attractivité du Massif central et d'une alimentation de proximité</t>
  </si>
  <si>
    <t>EPLEFPA La Cazotte</t>
  </si>
  <si>
    <t>EPLEFPA Olivier de Serres</t>
  </si>
  <si>
    <t>EPLEFPA Lyon-Dardilly-Ecully</t>
  </si>
  <si>
    <t>EPLEFPA du Morvan</t>
  </si>
  <si>
    <t>EPLEFPA Limoges Les Vaseix</t>
  </si>
  <si>
    <t>EPLEFPA Montravel</t>
  </si>
  <si>
    <t>Braille et Culture</t>
  </si>
  <si>
    <t>Le Massif central au bout des doigts</t>
  </si>
  <si>
    <t>Tourisme</t>
  </si>
  <si>
    <t>APPEL A PROJETS - ACCUEIL</t>
  </si>
  <si>
    <t>APPEL A PROJETS - POLES DE PLEINE NATURE (structurés)</t>
  </si>
  <si>
    <t>APPEL A PROJETS - POLES DE PLEINE NATURE (émergents)</t>
  </si>
  <si>
    <t>DOSSIERS "FIL DE L'EAU"</t>
  </si>
  <si>
    <t>FRCIVAM Languedoc-Roussillon</t>
  </si>
  <si>
    <t>39,91%</t>
  </si>
  <si>
    <t>37,46%</t>
  </si>
  <si>
    <t>38,77%</t>
  </si>
  <si>
    <t>39,90%</t>
  </si>
  <si>
    <t>39,86%</t>
  </si>
  <si>
    <t>32,09%</t>
  </si>
  <si>
    <t>39,80%</t>
  </si>
  <si>
    <t>Groupe projet pilote des entreprises du bois construction pour les marchés du bâtiment performant : action de coopération interrégionale</t>
  </si>
  <si>
    <t>SAS Lafargue - Fermes de Figeac</t>
  </si>
  <si>
    <t>Comité d’Expansion Economique de l’Allier</t>
  </si>
  <si>
    <t>Communauté de communes Ouest Rhodanien</t>
  </si>
  <si>
    <t>45,79%</t>
  </si>
  <si>
    <t>31,19%</t>
  </si>
  <si>
    <t>40,42%</t>
  </si>
  <si>
    <t>Avis favorable</t>
  </si>
  <si>
    <t>Avis défavorable</t>
  </si>
  <si>
    <t>D05a-D05h</t>
  </si>
  <si>
    <t>D06a-D06t</t>
  </si>
  <si>
    <t>Pôle AB Massif central + Partenaires</t>
  </si>
  <si>
    <t>FNCIVAM + Partenaires</t>
  </si>
  <si>
    <t>D29a-D29m</t>
  </si>
  <si>
    <t>SIDAM + Partenaires</t>
  </si>
  <si>
    <t>Totaux</t>
  </si>
  <si>
    <t>Multidpt</t>
  </si>
  <si>
    <t>Multireg</t>
  </si>
  <si>
    <t>D48a-D48d</t>
  </si>
  <si>
    <t>Vivier Bois Massif central + Partenaires</t>
  </si>
  <si>
    <t>D49a-D49d</t>
  </si>
  <si>
    <t>CEN Auvergne + Partenaire</t>
  </si>
  <si>
    <t>Multidept</t>
  </si>
  <si>
    <t>D08a-D08b</t>
  </si>
  <si>
    <t>Parc national des Cévennes + Partenaire</t>
  </si>
  <si>
    <t>D51a-D51g</t>
  </si>
  <si>
    <t>EPLEFPA de Marmilhat + Partenaires</t>
  </si>
  <si>
    <t>Programmation POI-CIMAC</t>
  </si>
  <si>
    <t>FEDER</t>
  </si>
  <si>
    <t>Etat</t>
  </si>
  <si>
    <t>Régions</t>
  </si>
  <si>
    <t>Départements</t>
  </si>
  <si>
    <t>Montants programmés</t>
  </si>
  <si>
    <t>Prévisions Prog</t>
  </si>
  <si>
    <t>39,62%</t>
  </si>
  <si>
    <t>70,00%</t>
  </si>
  <si>
    <t>34,72%</t>
  </si>
  <si>
    <t>28,57%</t>
  </si>
  <si>
    <t>CRPF Limousin</t>
  </si>
  <si>
    <t>Contribuer à l’atténuation du changement climatique par l’augmentation de la fixation du carbone en forêt et dans le matériau bois grâce à la rémunération des services écosystémiques - Mise en place d’une animation forestière sur le territoire du Parc naturel régional Périgord Limousin.</t>
  </si>
  <si>
    <t>Cout Total</t>
  </si>
  <si>
    <t>Nbre projets total</t>
  </si>
  <si>
    <t>dont Nbre projets FEDER</t>
  </si>
  <si>
    <t>28,41%</t>
  </si>
  <si>
    <t>31,84%</t>
  </si>
  <si>
    <t>COMITE DE PROGRAMMATION - POI FEDER / CIMAC - 6 JUILLET 2015</t>
  </si>
  <si>
    <t>40,57%</t>
  </si>
  <si>
    <t>Fondation partenariale de l'Université de Limoges</t>
  </si>
  <si>
    <t>Chaire d’excellence « Ressources forestières et usages du bois » Phase II</t>
  </si>
  <si>
    <t>4-Ajournement</t>
  </si>
  <si>
    <t>26,37%</t>
  </si>
  <si>
    <t>Motivation Cprog</t>
  </si>
  <si>
    <t>17,95%</t>
  </si>
  <si>
    <t>Avis Favorables</t>
  </si>
  <si>
    <t>Avis d'Ajournement</t>
  </si>
  <si>
    <t>Avis vide à compléetr</t>
  </si>
  <si>
    <t>D054</t>
  </si>
  <si>
    <t>D055</t>
  </si>
  <si>
    <t>D056</t>
  </si>
  <si>
    <t>D058</t>
  </si>
  <si>
    <t>D059</t>
  </si>
  <si>
    <t>D057</t>
  </si>
  <si>
    <t>D060</t>
  </si>
  <si>
    <t>D061</t>
  </si>
  <si>
    <t>D062</t>
  </si>
  <si>
    <t>D063</t>
  </si>
  <si>
    <t>D064</t>
  </si>
  <si>
    <t>D065a</t>
  </si>
  <si>
    <t>D065b</t>
  </si>
  <si>
    <t>D066</t>
  </si>
  <si>
    <t>D067</t>
  </si>
  <si>
    <t>D069</t>
  </si>
  <si>
    <t>D070</t>
  </si>
  <si>
    <t>D071</t>
  </si>
  <si>
    <t>D072</t>
  </si>
  <si>
    <t>D075</t>
  </si>
  <si>
    <t>D073</t>
  </si>
  <si>
    <t>D076</t>
  </si>
  <si>
    <t>D077</t>
  </si>
  <si>
    <t>D078</t>
  </si>
  <si>
    <t>D079</t>
  </si>
  <si>
    <t>D080a</t>
  </si>
  <si>
    <t>D080b</t>
  </si>
  <si>
    <t>D081a</t>
  </si>
  <si>
    <t>D081b</t>
  </si>
  <si>
    <t>D082</t>
  </si>
  <si>
    <t>D084</t>
  </si>
  <si>
    <t>D083</t>
  </si>
  <si>
    <t>L’ensemble des porteurs retenus a respecté les taux fixés dans le cahier des charges. Afin de simplifier la gestion administrative des dossiers pour les porteurs comme pour les autorités de gestion, le comité de programmation a validé un remaquettage des enveloppes FEDER / FNADT qui, globalement permet de respecter, à l’échelle de l’appel à projets, le taux de 40% FEDER fixé dans le cahier des charges, mais autorise le financement par dossier à hauteur de 70% FEDER ou 70% de FNADT.</t>
  </si>
  <si>
    <t>Avis défavorable pour un financement au titre du FEDER : la note obtenue est inférieure à celle attendue dans le cadre de l’appel à projet et un certain nombre de dépenses a fait l’objet d’une demande de FSE en parallèle</t>
  </si>
  <si>
    <t>D028</t>
  </si>
  <si>
    <t>D023</t>
  </si>
  <si>
    <t>D032</t>
  </si>
  <si>
    <t>D034</t>
  </si>
  <si>
    <t>D019</t>
  </si>
  <si>
    <t>D035</t>
  </si>
  <si>
    <t>D046d</t>
  </si>
  <si>
    <t>D018</t>
  </si>
  <si>
    <t>D043</t>
  </si>
  <si>
    <t>D068</t>
  </si>
  <si>
    <t>D074</t>
  </si>
  <si>
    <t>D009</t>
  </si>
  <si>
    <t>D012</t>
  </si>
  <si>
    <t>D024</t>
  </si>
  <si>
    <t>D025</t>
  </si>
  <si>
    <t>D030</t>
  </si>
  <si>
    <t>D031</t>
  </si>
  <si>
    <t>D033</t>
  </si>
  <si>
    <t>D040</t>
  </si>
  <si>
    <t>D042</t>
  </si>
  <si>
    <t>D044</t>
  </si>
  <si>
    <t>D045</t>
  </si>
  <si>
    <t>les axes d'intervention du projet restent à préciser, l’échelle territoriale est limitée (3800 km) et le nombre d’ETP mobilisé trop faible pour conduire la politique d'accueil.</t>
  </si>
  <si>
    <t>le dossier n’est pas suffisamment abouti et la stratégie reste encore à finaliser sur votre territoire. Ainsi la note obtenue est inférieure à celle attendue dans le cadre de l’appel à projet.</t>
  </si>
  <si>
    <t>sélection 2015</t>
  </si>
  <si>
    <t>commentaires</t>
  </si>
  <si>
    <t>D016</t>
  </si>
  <si>
    <t xml:space="preserve"> POLE PLEINE NATURE GORGES DE L’AVEYRON</t>
  </si>
  <si>
    <t>condition de recentrage de la stratégie sur le périmètre du Massif central + lignes de partage non géographiques avec le programme LEADER du PETR</t>
  </si>
  <si>
    <t>D017</t>
  </si>
  <si>
    <t>D022</t>
  </si>
  <si>
    <t>Pôle de pleine nature des Crêtes du Forez</t>
  </si>
  <si>
    <t>Pôle Nature 4 saisons du Massif de l'Aigoual</t>
  </si>
  <si>
    <t>D037</t>
  </si>
  <si>
    <t>Pôle de pleine nature du Morvan</t>
  </si>
  <si>
    <t>condition de renforcement de la stratégie sur 1 seul pôle, comme préalable au financement des actions</t>
  </si>
  <si>
    <t>candidatures non retenues en 2015</t>
  </si>
  <si>
    <t>pôle de pleine nature du Haut-Allier</t>
  </si>
  <si>
    <t>sélection des pôles de pleine nature structurés</t>
  </si>
  <si>
    <t>D005a</t>
  </si>
  <si>
    <t>des Crédits régionaux supplémentaires pourraient être attribués à la programmation d'octobre</t>
  </si>
  <si>
    <t>D005b</t>
  </si>
  <si>
    <t>D005c</t>
  </si>
  <si>
    <t>D005d</t>
  </si>
  <si>
    <t>D005e</t>
  </si>
  <si>
    <t>D005f</t>
  </si>
  <si>
    <t>#N/A</t>
  </si>
  <si>
    <t>D005g</t>
  </si>
  <si>
    <t>D005h</t>
  </si>
  <si>
    <t>D006a</t>
  </si>
  <si>
    <t>D006b</t>
  </si>
  <si>
    <t>D006c</t>
  </si>
  <si>
    <t>D006d</t>
  </si>
  <si>
    <t>D006e</t>
  </si>
  <si>
    <t>D006f</t>
  </si>
  <si>
    <t>D006g</t>
  </si>
  <si>
    <t>D006h</t>
  </si>
  <si>
    <t>D006i</t>
  </si>
  <si>
    <t>D006j</t>
  </si>
  <si>
    <t>D006k</t>
  </si>
  <si>
    <t>D006l</t>
  </si>
  <si>
    <t>D006m</t>
  </si>
  <si>
    <t>D006n</t>
  </si>
  <si>
    <t>D006o</t>
  </si>
  <si>
    <t>D006p</t>
  </si>
  <si>
    <t>D006q</t>
  </si>
  <si>
    <t>D006r</t>
  </si>
  <si>
    <t>D006s</t>
  </si>
  <si>
    <t>D006t</t>
  </si>
  <si>
    <t>D007</t>
  </si>
  <si>
    <t>D008a</t>
  </si>
  <si>
    <t>Reprogrammation à prévoir le 26/10/2015</t>
  </si>
  <si>
    <t>D008b</t>
  </si>
  <si>
    <t>D013</t>
  </si>
  <si>
    <t>D015</t>
  </si>
  <si>
    <t>D048a</t>
  </si>
  <si>
    <t xml:space="preserve">projet soutenu par les Régions qui apporteront leurs financements pour la programmation d'octobre: le dossier est partiellement programmé sur les crédits FNADT uniquement.
Auvergne demande qu'Auvergne Prombois soit associé car plus pertinent que le CEEA.
</t>
  </si>
  <si>
    <t>D048b</t>
  </si>
  <si>
    <t>D048c</t>
  </si>
  <si>
    <t>D048d</t>
  </si>
  <si>
    <t>D049a</t>
  </si>
  <si>
    <t>un projet d'atténuation du changmenet climatique à valoriser dans le cadre de la COP 21</t>
  </si>
  <si>
    <t>D049b</t>
  </si>
  <si>
    <t>un projet d'atténuation du changmenet climatique à valoriser dans le cadre de la COP 22</t>
  </si>
  <si>
    <t>D049c</t>
  </si>
  <si>
    <t>un projet d'atténuation du changmenet climatique à valoriser dans le cadre de la COP 23</t>
  </si>
  <si>
    <t>D049d</t>
  </si>
  <si>
    <t>un projet d'atténuation du changmenet climatique à valoriser dans le cadre de la COP 24</t>
  </si>
  <si>
    <t>D050</t>
  </si>
  <si>
    <t>dossier partiel: la totalité du partenariat présentera le dossier complet en octobre</t>
  </si>
  <si>
    <t>D051a</t>
  </si>
  <si>
    <t>Les Régions Auvergne et Midi-Pyrénées souhaitent être associées à ce projet dans le cadre de leur compétence sur les lycées agricoles</t>
  </si>
  <si>
    <t>D051b</t>
  </si>
  <si>
    <t>D051c</t>
  </si>
  <si>
    <t>D051d</t>
  </si>
  <si>
    <t>D051e</t>
  </si>
  <si>
    <t>D051f</t>
  </si>
  <si>
    <t>D051g</t>
  </si>
  <si>
    <t>D053a</t>
  </si>
  <si>
    <t>D053b</t>
  </si>
  <si>
    <t>D011</t>
  </si>
  <si>
    <t>D014</t>
  </si>
  <si>
    <t>fort soutien du partenariat Régions-Etat sur ce projet. Regret que le principe de l'opération collaborative avec reversement de la subvention Massif central aux partenaires par le chef de file ne puisse être généralisé</t>
  </si>
  <si>
    <t>D029a</t>
  </si>
  <si>
    <t>en attente du plan de financement finalisé</t>
  </si>
  <si>
    <t>D029b</t>
  </si>
  <si>
    <t>D029c</t>
  </si>
  <si>
    <t>D029d</t>
  </si>
  <si>
    <t>D029e</t>
  </si>
  <si>
    <t>D029f</t>
  </si>
  <si>
    <t>D029g</t>
  </si>
  <si>
    <t>D029h</t>
  </si>
  <si>
    <t>D029i</t>
  </si>
  <si>
    <t>D029j</t>
  </si>
  <si>
    <t>D029k</t>
  </si>
  <si>
    <t>D029l</t>
  </si>
  <si>
    <t>D029m</t>
  </si>
  <si>
    <t>D052a</t>
  </si>
  <si>
    <t>D052b</t>
  </si>
  <si>
    <t>D020</t>
  </si>
  <si>
    <t>Projet inéligible au titre du POI Massif central car ne propose pas de modèle économique et reste trop localisé</t>
  </si>
  <si>
    <t>périmètre du projet à travailler sur 1 an</t>
  </si>
  <si>
    <t>39,85%</t>
  </si>
  <si>
    <t>manque de maturité- Financement sur 1 an</t>
  </si>
  <si>
    <t>stratégie du projet à retravailler sur 1 an</t>
  </si>
  <si>
    <t>Avis favorable, à condition que ce projet s'inscrive dans une logique de fusion avec celui du Syndicat mixte du Pays Haut-Languedoc et Vignobles (D42)</t>
  </si>
  <si>
    <t>Avis favorable, à condition que ce projet s'inscrive dans une logique de fusion avec celui du Syndicat mixte du Pays Haut-Languedoc et Vignobles (D33)</t>
  </si>
  <si>
    <t>Pour le FNADT, le coût éligible est de 6254,32€</t>
  </si>
  <si>
    <t>Pour le FNADT, le coût éligible est de 4834,06€</t>
  </si>
  <si>
    <t>Pour le FNADT, le coût éligible est de 8885,40€</t>
  </si>
  <si>
    <t>Pour le FNADT, le coût éligible est de 9620,88€</t>
  </si>
  <si>
    <t>Pour le FNADT, le coût éligible est de 11607€</t>
  </si>
  <si>
    <t>Pour le FNADT, le coût éligible est de7499,32€</t>
  </si>
  <si>
    <t>Pour le FNADT, le coût éligible est de 28660,70€</t>
  </si>
  <si>
    <t>Pour le FNADT, le coût éligible est de 6035,85€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</si>
</sst>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0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/>
    </xf>
    <xf numFmtId="0" fontId="0" fillId="4" borderId="2" xfId="0" applyFont="1" applyFill="1" applyBorder="1" applyAlignment="1">
      <alignment vertical="center"/>
    </xf>
    <xf numFmtId="0" fontId="0" fillId="4" borderId="2" xfId="0" applyFont="1" applyFill="1" applyBorder="1" applyAlignment="1">
      <alignment vertical="center" wrapText="1"/>
    </xf>
    <xf numFmtId="4" fontId="0" fillId="4" borderId="2" xfId="0" applyNumberFormat="1" applyFont="1" applyFill="1" applyBorder="1" applyAlignment="1">
      <alignment vertical="center"/>
    </xf>
    <xf numFmtId="10" fontId="0" fillId="4" borderId="2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4" fontId="0" fillId="0" borderId="2" xfId="0" applyNumberFormat="1" applyFont="1" applyBorder="1" applyAlignment="1">
      <alignment vertical="center"/>
    </xf>
    <xf numFmtId="10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0" fontId="0" fillId="0" borderId="2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 wrapText="1"/>
    </xf>
    <xf numFmtId="10" fontId="1" fillId="0" borderId="2" xfId="0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vertical="center" wrapText="1"/>
    </xf>
    <xf numFmtId="4" fontId="6" fillId="0" borderId="0" xfId="1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2" fontId="6" fillId="0" borderId="0" xfId="0" applyNumberFormat="1" applyFont="1" applyAlignment="1">
      <alignment horizontal="center" vertical="center" wrapText="1"/>
    </xf>
    <xf numFmtId="10" fontId="6" fillId="0" borderId="0" xfId="0" applyNumberFormat="1" applyFont="1" applyAlignment="1">
      <alignment vertical="center"/>
    </xf>
    <xf numFmtId="10" fontId="6" fillId="0" borderId="0" xfId="0" applyNumberFormat="1" applyFont="1" applyAlignment="1">
      <alignment vertical="center" wrapText="1"/>
    </xf>
    <xf numFmtId="10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vertical="center"/>
    </xf>
    <xf numFmtId="10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4" xfId="0" applyFont="1" applyBorder="1"/>
    <xf numFmtId="0" fontId="10" fillId="4" borderId="0" xfId="0" applyFont="1" applyFill="1"/>
    <xf numFmtId="4" fontId="10" fillId="4" borderId="0" xfId="0" applyNumberFormat="1" applyFont="1" applyFill="1"/>
    <xf numFmtId="0" fontId="10" fillId="0" borderId="0" xfId="0" applyFont="1"/>
    <xf numFmtId="4" fontId="10" fillId="0" borderId="0" xfId="0" applyNumberFormat="1" applyFont="1"/>
    <xf numFmtId="4" fontId="9" fillId="0" borderId="4" xfId="0" applyNumberFormat="1" applyFont="1" applyBorder="1"/>
    <xf numFmtId="0" fontId="9" fillId="0" borderId="5" xfId="0" applyFont="1" applyBorder="1"/>
    <xf numFmtId="0" fontId="9" fillId="4" borderId="5" xfId="0" applyFont="1" applyFill="1" applyBorder="1"/>
    <xf numFmtId="4" fontId="9" fillId="4" borderId="5" xfId="0" applyNumberFormat="1" applyFont="1" applyFill="1" applyBorder="1"/>
    <xf numFmtId="4" fontId="1" fillId="0" borderId="0" xfId="0" applyNumberFormat="1" applyFont="1" applyBorder="1" applyAlignment="1">
      <alignment vertical="center"/>
    </xf>
    <xf numFmtId="10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vertical="center" wrapText="1"/>
    </xf>
    <xf numFmtId="10" fontId="1" fillId="0" borderId="0" xfId="0" applyNumberFormat="1" applyFont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2" borderId="0" xfId="0" applyFont="1" applyFill="1" applyAlignment="1">
      <alignment vertical="center" wrapText="1"/>
    </xf>
    <xf numFmtId="3" fontId="10" fillId="4" borderId="0" xfId="0" applyNumberFormat="1" applyFont="1" applyFill="1"/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3" fontId="10" fillId="0" borderId="0" xfId="0" applyNumberFormat="1" applyFont="1"/>
    <xf numFmtId="0" fontId="6" fillId="0" borderId="0" xfId="0" applyFont="1"/>
    <xf numFmtId="10" fontId="12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4" fontId="14" fillId="0" borderId="0" xfId="0" applyNumberFormat="1" applyFont="1" applyAlignment="1">
      <alignment vertical="center"/>
    </xf>
    <xf numFmtId="10" fontId="14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 wrapText="1"/>
    </xf>
    <xf numFmtId="10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4" fontId="14" fillId="0" borderId="0" xfId="0" applyNumberFormat="1" applyFont="1" applyBorder="1" applyAlignment="1">
      <alignment vertical="center"/>
    </xf>
    <xf numFmtId="10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6" fillId="0" borderId="0" xfId="0" applyNumberFormat="1" applyFont="1" applyBorder="1" applyAlignment="1">
      <alignment vertical="center"/>
    </xf>
    <xf numFmtId="1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vertical="center" wrapText="1"/>
    </xf>
    <xf numFmtId="10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 wrapText="1"/>
    </xf>
    <xf numFmtId="10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" fontId="12" fillId="0" borderId="0" xfId="0" applyNumberFormat="1" applyFont="1" applyBorder="1" applyAlignment="1">
      <alignment vertical="center" wrapText="1"/>
    </xf>
    <xf numFmtId="10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4" fontId="6" fillId="0" borderId="6" xfId="0" applyNumberFormat="1" applyFont="1" applyBorder="1" applyAlignment="1">
      <alignment vertical="center" wrapText="1"/>
    </xf>
    <xf numFmtId="10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10" fontId="14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" fontId="6" fillId="0" borderId="0" xfId="1" applyNumberFormat="1" applyFont="1" applyBorder="1" applyAlignment="1">
      <alignment vertical="center" wrapText="1"/>
    </xf>
    <xf numFmtId="4" fontId="12" fillId="0" borderId="0" xfId="1" applyNumberFormat="1" applyFont="1" applyBorder="1" applyAlignment="1">
      <alignment vertical="center" wrapText="1"/>
    </xf>
    <xf numFmtId="164" fontId="0" fillId="0" borderId="0" xfId="0" applyNumberFormat="1"/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iers" xfId="1" builtinId="3"/>
    <cellStyle name="Normal" xfId="0" builtinId="0"/>
  </cellStyles>
  <dxfs count="9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0</xdr:row>
      <xdr:rowOff>95250</xdr:rowOff>
    </xdr:from>
    <xdr:to>
      <xdr:col>16</xdr:col>
      <xdr:colOff>968376</xdr:colOff>
      <xdr:row>3</xdr:row>
      <xdr:rowOff>1375</xdr:rowOff>
    </xdr:to>
    <xdr:grpSp>
      <xdr:nvGrpSpPr>
        <xdr:cNvPr id="5" name="Groupe 4"/>
        <xdr:cNvGrpSpPr/>
      </xdr:nvGrpSpPr>
      <xdr:grpSpPr>
        <a:xfrm>
          <a:off x="17287876" y="95250"/>
          <a:ext cx="4419599" cy="734800"/>
          <a:chOff x="15859125" y="95250"/>
          <a:chExt cx="4287449" cy="684000"/>
        </a:xfrm>
      </xdr:grpSpPr>
      <xdr:pic>
        <xdr:nvPicPr>
          <xdr:cNvPr id="2" name="Image 1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859125" y="95250"/>
            <a:ext cx="1023938" cy="682625"/>
          </a:xfrm>
          <a:prstGeom prst="rect">
            <a:avLst/>
          </a:prstGeom>
        </xdr:spPr>
      </xdr:pic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99000" y="95250"/>
            <a:ext cx="1047640" cy="684000"/>
          </a:xfrm>
          <a:prstGeom prst="rect">
            <a:avLst/>
          </a:prstGeom>
        </xdr:spPr>
      </xdr:pic>
      <xdr:pic>
        <xdr:nvPicPr>
          <xdr:cNvPr id="4" name="Image 3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986500" y="95250"/>
            <a:ext cx="1160074" cy="6840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3444875</xdr:colOff>
      <xdr:row>0</xdr:row>
      <xdr:rowOff>254000</xdr:rowOff>
    </xdr:from>
    <xdr:to>
      <xdr:col>11</xdr:col>
      <xdr:colOff>1063625</xdr:colOff>
      <xdr:row>3</xdr:row>
      <xdr:rowOff>160125</xdr:rowOff>
    </xdr:to>
    <xdr:grpSp>
      <xdr:nvGrpSpPr>
        <xdr:cNvPr id="6" name="Groupe 5"/>
        <xdr:cNvGrpSpPr/>
      </xdr:nvGrpSpPr>
      <xdr:grpSpPr>
        <a:xfrm>
          <a:off x="14509750" y="254000"/>
          <a:ext cx="6461125" cy="747500"/>
          <a:chOff x="15859125" y="95250"/>
          <a:chExt cx="4287449" cy="684000"/>
        </a:xfrm>
      </xdr:grpSpPr>
      <xdr:pic>
        <xdr:nvPicPr>
          <xdr:cNvPr id="7" name="Image 6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859125" y="95250"/>
            <a:ext cx="1023938" cy="682625"/>
          </a:xfrm>
          <a:prstGeom prst="rect">
            <a:avLst/>
          </a:prstGeom>
        </xdr:spPr>
      </xdr:pic>
      <xdr:pic>
        <xdr:nvPicPr>
          <xdr:cNvPr id="8" name="Image 7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99000" y="95250"/>
            <a:ext cx="1047640" cy="684000"/>
          </a:xfrm>
          <a:prstGeom prst="rect">
            <a:avLst/>
          </a:prstGeom>
        </xdr:spPr>
      </xdr:pic>
      <xdr:pic>
        <xdr:nvPicPr>
          <xdr:cNvPr id="9" name="Image 8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986500" y="95250"/>
            <a:ext cx="1160074" cy="68400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904875</xdr:colOff>
      <xdr:row>0</xdr:row>
      <xdr:rowOff>79375</xdr:rowOff>
    </xdr:from>
    <xdr:to>
      <xdr:col>26</xdr:col>
      <xdr:colOff>239324</xdr:colOff>
      <xdr:row>2</xdr:row>
      <xdr:rowOff>191875</xdr:rowOff>
    </xdr:to>
    <xdr:grpSp>
      <xdr:nvGrpSpPr>
        <xdr:cNvPr id="2" name="Groupe 1"/>
        <xdr:cNvGrpSpPr/>
      </xdr:nvGrpSpPr>
      <xdr:grpSpPr>
        <a:xfrm>
          <a:off x="16398875" y="79375"/>
          <a:ext cx="6461125" cy="747500"/>
          <a:chOff x="15859125" y="95250"/>
          <a:chExt cx="4287449" cy="684000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859125" y="95250"/>
            <a:ext cx="1023938" cy="682625"/>
          </a:xfrm>
          <a:prstGeom prst="rect">
            <a:avLst/>
          </a:prstGeom>
        </xdr:spPr>
      </xdr:pic>
      <xdr:pic>
        <xdr:nvPicPr>
          <xdr:cNvPr id="4" name="Image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99000" y="95250"/>
            <a:ext cx="1047640" cy="684000"/>
          </a:xfrm>
          <a:prstGeom prst="rect">
            <a:avLst/>
          </a:prstGeom>
        </xdr:spPr>
      </xdr:pic>
      <xdr:pic>
        <xdr:nvPicPr>
          <xdr:cNvPr id="5" name="Image 4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986500" y="95250"/>
            <a:ext cx="1160074" cy="68400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920750</xdr:colOff>
      <xdr:row>0</xdr:row>
      <xdr:rowOff>95250</xdr:rowOff>
    </xdr:from>
    <xdr:to>
      <xdr:col>15</xdr:col>
      <xdr:colOff>48824</xdr:colOff>
      <xdr:row>3</xdr:row>
      <xdr:rowOff>0</xdr:rowOff>
    </xdr:to>
    <xdr:grpSp>
      <xdr:nvGrpSpPr>
        <xdr:cNvPr id="6" name="Groupe 5"/>
        <xdr:cNvGrpSpPr/>
      </xdr:nvGrpSpPr>
      <xdr:grpSpPr>
        <a:xfrm>
          <a:off x="17033875" y="95250"/>
          <a:ext cx="4604949" cy="746125"/>
          <a:chOff x="15859125" y="95250"/>
          <a:chExt cx="4287449" cy="684000"/>
        </a:xfrm>
      </xdr:grpSpPr>
      <xdr:pic>
        <xdr:nvPicPr>
          <xdr:cNvPr id="7" name="Image 6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859125" y="95250"/>
            <a:ext cx="1023938" cy="682625"/>
          </a:xfrm>
          <a:prstGeom prst="rect">
            <a:avLst/>
          </a:prstGeom>
        </xdr:spPr>
      </xdr:pic>
      <xdr:pic>
        <xdr:nvPicPr>
          <xdr:cNvPr id="8" name="Image 7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99000" y="95250"/>
            <a:ext cx="1047640" cy="684000"/>
          </a:xfrm>
          <a:prstGeom prst="rect">
            <a:avLst/>
          </a:prstGeom>
        </xdr:spPr>
      </xdr:pic>
      <xdr:pic>
        <xdr:nvPicPr>
          <xdr:cNvPr id="9" name="Image 8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986500" y="95250"/>
            <a:ext cx="1160074" cy="684000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485775</xdr:colOff>
      <xdr:row>0</xdr:row>
      <xdr:rowOff>171450</xdr:rowOff>
    </xdr:from>
    <xdr:to>
      <xdr:col>22</xdr:col>
      <xdr:colOff>20249</xdr:colOff>
      <xdr:row>3</xdr:row>
      <xdr:rowOff>26775</xdr:rowOff>
    </xdr:to>
    <xdr:grpSp>
      <xdr:nvGrpSpPr>
        <xdr:cNvPr id="6" name="Groupe 5"/>
        <xdr:cNvGrpSpPr/>
      </xdr:nvGrpSpPr>
      <xdr:grpSpPr>
        <a:xfrm>
          <a:off x="11522075" y="171450"/>
          <a:ext cx="4284274" cy="757025"/>
          <a:chOff x="15859125" y="95250"/>
          <a:chExt cx="4287449" cy="684000"/>
        </a:xfrm>
      </xdr:grpSpPr>
      <xdr:pic>
        <xdr:nvPicPr>
          <xdr:cNvPr id="7" name="Image 6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859125" y="95250"/>
            <a:ext cx="1023938" cy="682625"/>
          </a:xfrm>
          <a:prstGeom prst="rect">
            <a:avLst/>
          </a:prstGeom>
        </xdr:spPr>
      </xdr:pic>
      <xdr:pic>
        <xdr:nvPicPr>
          <xdr:cNvPr id="8" name="Image 7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99000" y="95250"/>
            <a:ext cx="1047640" cy="684000"/>
          </a:xfrm>
          <a:prstGeom prst="rect">
            <a:avLst/>
          </a:prstGeom>
        </xdr:spPr>
      </xdr:pic>
      <xdr:pic>
        <xdr:nvPicPr>
          <xdr:cNvPr id="9" name="Image 8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986500" y="95250"/>
            <a:ext cx="1160074" cy="684000"/>
          </a:xfrm>
          <a:prstGeom prst="rect">
            <a:avLst/>
          </a:prstGeom>
        </xdr:spPr>
      </xdr:pic>
    </xdr:grpSp>
    <xdr:clientData/>
  </xdr:twoCellAnchor>
</xdr:wsDr>
</file>

<file path=xl/queryTables/queryTable1.xml><?xml version="1.0" encoding="utf-8"?>
<queryTable xmlns="http://schemas.openxmlformats.org/spreadsheetml/2006/main" name="Lancer la requête à partir de Export Bdossiers" adjustColumnWidth="0" connectionId="2" autoFormatId="16" applyNumberFormats="0" applyBorderFormats="0" applyFontFormats="0" applyPatternFormats="0" applyAlignmentFormats="0" applyWidthHeightFormats="0">
  <queryTableRefresh nextId="69">
    <queryTableFields count="55">
      <queryTableField id="64" name="Programme" tableColumnId="5"/>
      <queryTableField id="1" name="ID_Synergie" tableColumnId="1"/>
      <queryTableField id="2" name="Nom_MO" tableColumnId="2"/>
      <queryTableField id="3" name="Intitule_Operation" tableColumnId="3"/>
      <queryTableField id="9" name="Coût total Opération" tableColumnId="9"/>
      <queryTableField id="10" name="Coût total Eligible FEDER" tableColumnId="10"/>
      <queryTableField id="11" name="Part Publique" tableColumnId="11"/>
      <queryTableField id="12" name="Tx Aide Publique" tableColumnId="12"/>
      <queryTableField id="13" name="Part privée" tableColumnId="13"/>
      <queryTableField id="14" name="Autofinancement" tableColumnId="14"/>
      <queryTableField id="15" name="Tx Autofin" tableColumnId="15"/>
      <queryTableField id="16" name="UE" tableColumnId="16"/>
      <queryTableField id="17" name="Tx Aide FEDER" tableColumnId="17"/>
      <queryTableField id="18" name="DPN" tableColumnId="18"/>
      <queryTableField id="19" name="Total CR" tableColumnId="19"/>
      <queryTableField id="20" name="Auvergne" tableColumnId="20"/>
      <queryTableField id="21" name="Bourgogne" tableColumnId="21"/>
      <queryTableField id="22" name="Languedoc-Roussillon" tableColumnId="22"/>
      <queryTableField id="23" name="Limousin" tableColumnId="23"/>
      <queryTableField id="24" name="Midi-Pyrénées" tableColumnId="24"/>
      <queryTableField id="25" name="Rhône-Alpes" tableColumnId="25"/>
      <queryTableField id="26" name="Total Etat" tableColumnId="26"/>
      <queryTableField id="27" name="FNADT" tableColumnId="27"/>
      <queryTableField id="28" name="Environnement" tableColumnId="28"/>
      <queryTableField id="30" name="Agriculture" tableColumnId="30"/>
      <queryTableField id="31" name="Autre Etat 3" tableColumnId="31"/>
      <queryTableField id="32" name="Autre Etat Divers" tableColumnId="32"/>
      <queryTableField id="33" name="Total CG" tableColumnId="33"/>
      <queryTableField id="34" name="03" tableColumnId="34"/>
      <queryTableField id="35" name="07" tableColumnId="35"/>
      <queryTableField id="36" name="11" tableColumnId="36"/>
      <queryTableField id="37" name="12" tableColumnId="37"/>
      <queryTableField id="38" name="15" tableColumnId="38"/>
      <queryTableField id="39" name="19" tableColumnId="39"/>
      <queryTableField id="40" name="21" tableColumnId="40"/>
      <queryTableField id="41" name="23" tableColumnId="41"/>
      <queryTableField id="42" name="30" tableColumnId="42"/>
      <queryTableField id="43" name="34" tableColumnId="43"/>
      <queryTableField id="44" name="42" tableColumnId="44"/>
      <queryTableField id="45" name="43" tableColumnId="45"/>
      <queryTableField id="46" name="46" tableColumnId="46"/>
      <queryTableField id="47" name="48" tableColumnId="47"/>
      <queryTableField id="48" name="58" tableColumnId="48"/>
      <queryTableField id="49" name="63" tableColumnId="49"/>
      <queryTableField id="50" name="69" tableColumnId="50"/>
      <queryTableField id="51" name="71" tableColumnId="51"/>
      <queryTableField id="52" name="81" tableColumnId="52"/>
      <queryTableField id="53" name="82" tableColumnId="53"/>
      <queryTableField id="54" name="87" tableColumnId="54"/>
      <queryTableField id="55" name="89" tableColumnId="55"/>
      <queryTableField id="56" name="Autre Public" tableColumnId="56"/>
      <queryTableField id="62" name="Motivation Cprog" tableColumnId="4"/>
      <queryTableField id="57" name="Avis Cprog" tableColumnId="57"/>
      <queryTableField id="58" name="NumDpt" tableColumnId="58"/>
      <queryTableField id="59" name="NomReg" tableColumnId="59"/>
    </queryTableFields>
    <queryTableDeletedFields count="2">
      <deletedField name="Partic"/>
      <deletedField name="Avis Cofimac"/>
    </queryTableDeletedFields>
  </queryTableRefresh>
</queryTable>
</file>

<file path=xl/queryTables/queryTable10.xml><?xml version="1.0" encoding="utf-8"?>
<queryTable xmlns="http://schemas.openxmlformats.org/spreadsheetml/2006/main" name="Lancer la requête à partir de Export Bdossiers_8" growShrinkType="overwriteClear" adjustColumnWidth="0" connectionId="5" autoFormatId="16" applyNumberFormats="0" applyBorderFormats="0" applyFontFormats="0" applyPatternFormats="0" applyAlignmentFormats="0" applyWidthHeightFormats="0">
  <queryTableRefresh nextId="70">
    <queryTableFields count="56">
      <queryTableField id="64" name="Programme" tableColumnId="29"/>
      <queryTableField id="65" name="Thematique" tableColumnId="60"/>
      <queryTableField id="1" name="ID_Synergie" tableColumnId="1"/>
      <queryTableField id="2" name="Nom_MO" tableColumnId="2"/>
      <queryTableField id="3" name="Intitule_Operation" tableColumnId="3"/>
      <queryTableField id="9" name="Coût total Opération" tableColumnId="9"/>
      <queryTableField id="10" name="Coût total Eligible FEDER" tableColumnId="10"/>
      <queryTableField id="11" name="Part Publique" tableColumnId="11"/>
      <queryTableField id="12" name="Tx Aide Publique" tableColumnId="12"/>
      <queryTableField id="13" name="Part privée" tableColumnId="13"/>
      <queryTableField id="14" name="Autofinancement" tableColumnId="14"/>
      <queryTableField id="15" name="Tx Autofin" tableColumnId="15"/>
      <queryTableField id="16" name="UE" tableColumnId="16"/>
      <queryTableField id="17" name="Tx Aide FEDER" tableColumnId="17"/>
      <queryTableField id="18" name="DPN" tableColumnId="18"/>
      <queryTableField id="19" name="Total CR" tableColumnId="19"/>
      <queryTableField id="20" name="Auvergne" tableColumnId="20"/>
      <queryTableField id="21" name="Bourgogne" tableColumnId="21"/>
      <queryTableField id="22" name="Languedoc-Roussillon" tableColumnId="22"/>
      <queryTableField id="23" name="Limousin" tableColumnId="23"/>
      <queryTableField id="24" name="Midi-Pyrénées" tableColumnId="24"/>
      <queryTableField id="25" name="Rhône-Alpes" tableColumnId="25"/>
      <queryTableField id="26" name="Total Etat" tableColumnId="26"/>
      <queryTableField id="27" name="FNADT" tableColumnId="27"/>
      <queryTableField id="28" name="Environnement" tableColumnId="28"/>
      <queryTableField id="30" name="Agriculture" tableColumnId="30"/>
      <queryTableField id="31" name="Autre Etat 3" tableColumnId="31"/>
      <queryTableField id="32" name="Autre Etat Divers" tableColumnId="32"/>
      <queryTableField id="33" name="Total CG" tableColumnId="33"/>
      <queryTableField id="34" name="03" tableColumnId="34"/>
      <queryTableField id="35" name="07" tableColumnId="35"/>
      <queryTableField id="36" name="11" tableColumnId="36"/>
      <queryTableField id="37" name="12" tableColumnId="37"/>
      <queryTableField id="38" name="15" tableColumnId="38"/>
      <queryTableField id="39" name="19" tableColumnId="39"/>
      <queryTableField id="40" name="21" tableColumnId="40"/>
      <queryTableField id="41" name="23" tableColumnId="41"/>
      <queryTableField id="42" name="30" tableColumnId="42"/>
      <queryTableField id="43" name="34" tableColumnId="43"/>
      <queryTableField id="44" name="42" tableColumnId="44"/>
      <queryTableField id="45" name="43" tableColumnId="45"/>
      <queryTableField id="46" name="46" tableColumnId="46"/>
      <queryTableField id="47" name="48" tableColumnId="47"/>
      <queryTableField id="48" name="58" tableColumnId="48"/>
      <queryTableField id="49" name="63" tableColumnId="49"/>
      <queryTableField id="50" name="69" tableColumnId="50"/>
      <queryTableField id="51" name="71" tableColumnId="51"/>
      <queryTableField id="52" name="81" tableColumnId="52"/>
      <queryTableField id="53" name="82" tableColumnId="53"/>
      <queryTableField id="54" name="87" tableColumnId="54"/>
      <queryTableField id="55" name="89" tableColumnId="55"/>
      <queryTableField id="56" name="Autre Public" tableColumnId="56"/>
      <queryTableField id="68" name="Motivation Cprog" tableColumnId="4"/>
      <queryTableField id="57" name="Avis Cprog" tableColumnId="57"/>
      <queryTableField id="58" name="NumDpt" tableColumnId="58"/>
      <queryTableField id="59" name="NomReg" tableColumnId="59"/>
    </queryTableFields>
    <queryTableDeletedFields count="8">
      <deletedField name="Partic"/>
      <deletedField name="Partic"/>
      <deletedField name="Class"/>
      <deletedField name="Coût total déposé"/>
      <deletedField name="FEDER Demandé"/>
      <deletedField name="Taux FEDER"/>
      <deletedField name="Aide Publique demandée"/>
      <deletedField name="Taux Aide publique"/>
    </queryTableDeletedFields>
  </queryTableRefresh>
</queryTable>
</file>

<file path=xl/queryTables/queryTable2.xml><?xml version="1.0" encoding="utf-8"?>
<queryTable xmlns="http://schemas.openxmlformats.org/spreadsheetml/2006/main" name="Lancer la requête à partir de Export Bdossiers_2" adjustColumnWidth="0" connectionId="1" autoFormatId="16" applyNumberFormats="0" applyBorderFormats="0" applyFontFormats="0" applyPatternFormats="0" applyAlignmentFormats="0" applyWidthHeightFormats="0">
  <queryTableRefresh nextId="66">
    <queryTableFields count="55">
      <queryTableField id="61" name="Programme" tableColumnId="4"/>
      <queryTableField id="1" name="ID_Synergie" tableColumnId="1"/>
      <queryTableField id="2" name="Nom_MO" tableColumnId="2"/>
      <queryTableField id="3" name="Intitule_Operation" tableColumnId="3"/>
      <queryTableField id="9" name="Coût total Opération" tableColumnId="9"/>
      <queryTableField id="10" name="Coût total Eligible FEDER" tableColumnId="10"/>
      <queryTableField id="11" name="Part Publique" tableColumnId="11"/>
      <queryTableField id="12" name="Tx Aide Publique" tableColumnId="12"/>
      <queryTableField id="13" name="Part privée" tableColumnId="13"/>
      <queryTableField id="14" name="Autofinancement" tableColumnId="14"/>
      <queryTableField id="15" name="Tx Autofin" tableColumnId="15"/>
      <queryTableField id="16" name="UE" tableColumnId="16"/>
      <queryTableField id="17" name="Tx Aide FEDER" tableColumnId="17"/>
      <queryTableField id="18" name="DPN" tableColumnId="18"/>
      <queryTableField id="19" name="Total CR" tableColumnId="19"/>
      <queryTableField id="20" name="Auvergne" tableColumnId="20"/>
      <queryTableField id="21" name="Bourgogne" tableColumnId="21"/>
      <queryTableField id="22" name="Languedoc-Roussillon" tableColumnId="22"/>
      <queryTableField id="23" name="Limousin" tableColumnId="23"/>
      <queryTableField id="24" name="Midi-Pyrénées" tableColumnId="24"/>
      <queryTableField id="25" name="Rhône-Alpes" tableColumnId="25"/>
      <queryTableField id="26" name="Total Etat" tableColumnId="26"/>
      <queryTableField id="27" name="FNADT" tableColumnId="27"/>
      <queryTableField id="28" name="Environnement" tableColumnId="28"/>
      <queryTableField id="30" name="Agriculture" tableColumnId="30"/>
      <queryTableField id="31" name="Autre Etat 3" tableColumnId="31"/>
      <queryTableField id="32" name="Autre Etat Divers" tableColumnId="32"/>
      <queryTableField id="33" name="Total CG" tableColumnId="33"/>
      <queryTableField id="34" name="03" tableColumnId="34"/>
      <queryTableField id="35" name="07" tableColumnId="35"/>
      <queryTableField id="36" name="11" tableColumnId="36"/>
      <queryTableField id="37" name="12" tableColumnId="37"/>
      <queryTableField id="38" name="15" tableColumnId="38"/>
      <queryTableField id="39" name="19" tableColumnId="39"/>
      <queryTableField id="40" name="21" tableColumnId="40"/>
      <queryTableField id="41" name="23" tableColumnId="41"/>
      <queryTableField id="42" name="30" tableColumnId="42"/>
      <queryTableField id="43" name="34" tableColumnId="43"/>
      <queryTableField id="44" name="42" tableColumnId="44"/>
      <queryTableField id="45" name="43" tableColumnId="45"/>
      <queryTableField id="46" name="46" tableColumnId="46"/>
      <queryTableField id="47" name="48" tableColumnId="47"/>
      <queryTableField id="48" name="58" tableColumnId="48"/>
      <queryTableField id="49" name="63" tableColumnId="49"/>
      <queryTableField id="50" name="69" tableColumnId="50"/>
      <queryTableField id="51" name="71" tableColumnId="51"/>
      <queryTableField id="52" name="81" tableColumnId="52"/>
      <queryTableField id="53" name="82" tableColumnId="53"/>
      <queryTableField id="54" name="87" tableColumnId="54"/>
      <queryTableField id="55" name="89" tableColumnId="55"/>
      <queryTableField id="56" name="Autre Public" tableColumnId="56"/>
      <queryTableField id="62" name="Motivation Cprog" tableColumnId="5"/>
      <queryTableField id="57" name="Avis Cprog" tableColumnId="57"/>
      <queryTableField id="58" name="NumDpt" tableColumnId="58"/>
      <queryTableField id="59" name="NomReg" tableColumnId="59"/>
    </queryTableFields>
    <queryTableDeletedFields count="1">
      <deletedField name="Partic"/>
    </queryTableDeletedFields>
  </queryTableRefresh>
</queryTable>
</file>

<file path=xl/queryTables/queryTable3.xml><?xml version="1.0" encoding="utf-8"?>
<queryTable xmlns="http://schemas.openxmlformats.org/spreadsheetml/2006/main" name="Lancer la requête à partir de Export Bdossiers" adjustColumnWidth="0" connectionId="10" autoFormatId="16" applyNumberFormats="0" applyBorderFormats="0" applyFontFormats="0" applyPatternFormats="0" applyAlignmentFormats="0" applyWidthHeightFormats="0">
  <queryTableRefresh nextId="65" unboundColumnsRight="1">
    <queryTableFields count="6">
      <queryTableField id="1" name="ID_Synergie" tableColumnId="1"/>
      <queryTableField id="2" name="Nom_MO" tableColumnId="2"/>
      <queryTableField id="3" name="Intitule_Operation" tableColumnId="3"/>
      <queryTableField id="58" name="NumDpt" tableColumnId="58"/>
      <queryTableField id="59" name="NomReg" tableColumnId="59"/>
      <queryTableField id="64" dataBound="0" tableColumnId="4"/>
    </queryTableFields>
    <queryTableDeletedFields count="57">
      <deletedField name="Partic"/>
      <deletedField name="Coût total déposé"/>
      <deletedField name="FEDER Demandé"/>
      <deletedField name="Taux FEDER"/>
      <deletedField name="Aide Publique demandée"/>
      <deletedField name="Taux Aide publique"/>
      <deletedField name="Partic"/>
      <deletedField name="Class"/>
      <deletedField name="Avis Cofimac"/>
      <deletedField name="Coût total Opération"/>
      <deletedField name="Coût total Eligible FEDER"/>
      <deletedField name="Part Publique"/>
      <deletedField name="Tx Aide Publique"/>
      <deletedField name="Part privée"/>
      <deletedField name="Autofinancement"/>
      <deletedField name="Tx Autofin"/>
      <deletedField name="UE"/>
      <deletedField name="Tx Aide FEDER"/>
      <deletedField name="DPN"/>
      <deletedField name="Total CR"/>
      <deletedField name="Auvergne"/>
      <deletedField name="Bourgogne"/>
      <deletedField name="Languedoc-Roussillon"/>
      <deletedField name="Limousin"/>
      <deletedField name="Midi-Pyrénées"/>
      <deletedField name="Rhône-Alpes"/>
      <deletedField name="Total Etat"/>
      <deletedField name="FNADT"/>
      <deletedField name="Environnement"/>
      <deletedField name="Agriculture"/>
      <deletedField name="Autre Etat 3"/>
      <deletedField name="Autre Etat Divers"/>
      <deletedField name="Total CG"/>
      <deletedField name="03"/>
      <deletedField name="07"/>
      <deletedField name="11"/>
      <deletedField name="12"/>
      <deletedField name="15"/>
      <deletedField name="19"/>
      <deletedField name="21"/>
      <deletedField name="23"/>
      <deletedField name="30"/>
      <deletedField name="34"/>
      <deletedField name="42"/>
      <deletedField name="43"/>
      <deletedField name="46"/>
      <deletedField name="48"/>
      <deletedField name="58"/>
      <deletedField name="63"/>
      <deletedField name="69"/>
      <deletedField name="71"/>
      <deletedField name="81"/>
      <deletedField name="82"/>
      <deletedField name="87"/>
      <deletedField name="89"/>
      <deletedField name="Autre Public"/>
      <deletedField name="Avis Cprog"/>
    </queryTableDeletedFields>
  </queryTableRefresh>
</queryTable>
</file>

<file path=xl/queryTables/queryTable4.xml><?xml version="1.0" encoding="utf-8"?>
<queryTable xmlns="http://schemas.openxmlformats.org/spreadsheetml/2006/main" name="Lancer la requête à partir de Export Bdossiers_4" adjustColumnWidth="0" connectionId="9" autoFormatId="16" applyNumberFormats="0" applyBorderFormats="0" applyFontFormats="0" applyPatternFormats="0" applyAlignmentFormats="0" applyWidthHeightFormats="0">
  <queryTableRefresh nextId="64">
    <queryTableFields count="5">
      <queryTableField id="1" name="ID_Synergie" tableColumnId="1"/>
      <queryTableField id="2" name="Nom_MO" tableColumnId="2"/>
      <queryTableField id="3" name="Intitule_Operation" tableColumnId="3"/>
      <queryTableField id="58" name="NumDpt" tableColumnId="58"/>
      <queryTableField id="59" name="NomReg" tableColumnId="59"/>
    </queryTableFields>
    <queryTableDeletedFields count="57">
      <deletedField name="Partic"/>
      <deletedField name="Coût total déposé"/>
      <deletedField name="FEDER Demandé"/>
      <deletedField name="Taux FEDER"/>
      <deletedField name="Aide Publique demandée"/>
      <deletedField name="Taux Aide publique"/>
      <deletedField name="Avis Cofimac"/>
      <deletedField name="Partic"/>
      <deletedField name="Class"/>
      <deletedField name="Coût total Opération"/>
      <deletedField name="Coût total Eligible FEDER"/>
      <deletedField name="Part Publique"/>
      <deletedField name="Tx Aide Publique"/>
      <deletedField name="Part privée"/>
      <deletedField name="Autofinancement"/>
      <deletedField name="Tx Autofin"/>
      <deletedField name="UE"/>
      <deletedField name="Tx Aide FEDER"/>
      <deletedField name="DPN"/>
      <deletedField name="Total CR"/>
      <deletedField name="Auvergne"/>
      <deletedField name="Bourgogne"/>
      <deletedField name="Languedoc-Roussillon"/>
      <deletedField name="Limousin"/>
      <deletedField name="Midi-Pyrénées"/>
      <deletedField name="Rhône-Alpes"/>
      <deletedField name="Total Etat"/>
      <deletedField name="FNADT"/>
      <deletedField name="Environnement"/>
      <deletedField name="Agriculture"/>
      <deletedField name="Autre Etat 3"/>
      <deletedField name="Autre Etat Divers"/>
      <deletedField name="Total CG"/>
      <deletedField name="03"/>
      <deletedField name="07"/>
      <deletedField name="11"/>
      <deletedField name="12"/>
      <deletedField name="15"/>
      <deletedField name="19"/>
      <deletedField name="21"/>
      <deletedField name="23"/>
      <deletedField name="30"/>
      <deletedField name="34"/>
      <deletedField name="42"/>
      <deletedField name="43"/>
      <deletedField name="46"/>
      <deletedField name="48"/>
      <deletedField name="58"/>
      <deletedField name="63"/>
      <deletedField name="69"/>
      <deletedField name="71"/>
      <deletedField name="81"/>
      <deletedField name="82"/>
      <deletedField name="87"/>
      <deletedField name="89"/>
      <deletedField name="Autre Public"/>
      <deletedField name="Avis Cprog"/>
    </queryTableDeletedFields>
  </queryTableRefresh>
</queryTable>
</file>

<file path=xl/queryTables/queryTable5.xml><?xml version="1.0" encoding="utf-8"?>
<queryTable xmlns="http://schemas.openxmlformats.org/spreadsheetml/2006/main" name="Lancer la requête à partir de Export Bdossiers" adjustColumnWidth="0" connectionId="8" autoFormatId="16" applyNumberFormats="0" applyBorderFormats="0" applyFontFormats="0" applyPatternFormats="0" applyAlignmentFormats="0" applyWidthHeightFormats="0">
  <queryTableRefresh nextId="68">
    <queryTableFields count="55">
      <queryTableField id="66" name="Programme" tableColumnId="5"/>
      <queryTableField id="1" name="ID_Synergie" tableColumnId="1"/>
      <queryTableField id="2" name="Nom_MO" tableColumnId="2"/>
      <queryTableField id="3" name="Intitule_Operation" tableColumnId="3"/>
      <queryTableField id="9" name="Coût total Opération" tableColumnId="9"/>
      <queryTableField id="10" name="Coût total Eligible FEDER" tableColumnId="10"/>
      <queryTableField id="11" name="Part Publique" tableColumnId="11"/>
      <queryTableField id="12" name="Tx Aide Publique" tableColumnId="12"/>
      <queryTableField id="13" name="Part privée" tableColumnId="13"/>
      <queryTableField id="14" name="Autofinancement" tableColumnId="14"/>
      <queryTableField id="15" name="Tx Autofin" tableColumnId="15"/>
      <queryTableField id="16" name="UE" tableColumnId="16"/>
      <queryTableField id="17" name="Tx Aide FEDER" tableColumnId="17"/>
      <queryTableField id="18" name="DPN" tableColumnId="18"/>
      <queryTableField id="19" name="Total CR" tableColumnId="19"/>
      <queryTableField id="20" name="Auvergne" tableColumnId="20"/>
      <queryTableField id="21" name="Bourgogne" tableColumnId="21"/>
      <queryTableField id="22" name="Languedoc-Roussillon" tableColumnId="22"/>
      <queryTableField id="23" name="Limousin" tableColumnId="23"/>
      <queryTableField id="24" name="Midi-Pyrénées" tableColumnId="24"/>
      <queryTableField id="25" name="Rhône-Alpes" tableColumnId="25"/>
      <queryTableField id="26" name="Total Etat" tableColumnId="26"/>
      <queryTableField id="27" name="FNADT" tableColumnId="27"/>
      <queryTableField id="28" name="Environnement" tableColumnId="28"/>
      <queryTableField id="30" name="Agriculture" tableColumnId="30"/>
      <queryTableField id="31" name="Autre Etat 3" tableColumnId="31"/>
      <queryTableField id="32" name="Autre Etat Divers" tableColumnId="32"/>
      <queryTableField id="33" name="Total CG" tableColumnId="33"/>
      <queryTableField id="34" name="03" tableColumnId="34"/>
      <queryTableField id="35" name="07" tableColumnId="35"/>
      <queryTableField id="36" name="11" tableColumnId="36"/>
      <queryTableField id="37" name="12" tableColumnId="37"/>
      <queryTableField id="38" name="15" tableColumnId="38"/>
      <queryTableField id="39" name="19" tableColumnId="39"/>
      <queryTableField id="40" name="21" tableColumnId="40"/>
      <queryTableField id="41" name="23" tableColumnId="41"/>
      <queryTableField id="42" name="30" tableColumnId="42"/>
      <queryTableField id="43" name="34" tableColumnId="43"/>
      <queryTableField id="44" name="42" tableColumnId="44"/>
      <queryTableField id="45" name="43" tableColumnId="45"/>
      <queryTableField id="46" name="46" tableColumnId="46"/>
      <queryTableField id="47" name="48" tableColumnId="47"/>
      <queryTableField id="48" name="58" tableColumnId="48"/>
      <queryTableField id="49" name="63" tableColumnId="49"/>
      <queryTableField id="50" name="69" tableColumnId="50"/>
      <queryTableField id="51" name="71" tableColumnId="51"/>
      <queryTableField id="52" name="81" tableColumnId="52"/>
      <queryTableField id="53" name="82" tableColumnId="53"/>
      <queryTableField id="54" name="87" tableColumnId="54"/>
      <queryTableField id="55" name="89" tableColumnId="55"/>
      <queryTableField id="56" name="Autre Public" tableColumnId="56"/>
      <queryTableField id="64" name="Motivation Cprog" tableColumnId="4"/>
      <queryTableField id="57" name="Avis Cprog" tableColumnId="57"/>
      <queryTableField id="58" name="NumDpt" tableColumnId="58"/>
      <queryTableField id="59" name="NomReg" tableColumnId="59"/>
    </queryTableFields>
    <queryTableDeletedFields count="8">
      <deletedField name="Partic"/>
      <deletedField name="Partic"/>
      <deletedField name="Class"/>
      <deletedField name="Coût total déposé"/>
      <deletedField name="FEDER Demandé"/>
      <deletedField name="Taux FEDER"/>
      <deletedField name="Aide Publique demandée"/>
      <deletedField name="Taux Aide publique"/>
    </queryTableDeletedFields>
  </queryTableRefresh>
</queryTable>
</file>

<file path=xl/queryTables/queryTable6.xml><?xml version="1.0" encoding="utf-8"?>
<queryTable xmlns="http://schemas.openxmlformats.org/spreadsheetml/2006/main" name="Lancer la requête à partir de Export Bdossiers_5" adjustColumnWidth="0" connectionId="7" autoFormatId="16" applyNumberFormats="0" applyBorderFormats="0" applyFontFormats="0" applyPatternFormats="0" applyAlignmentFormats="0" applyWidthHeightFormats="0">
  <queryTableRefresh nextId="68">
    <queryTableFields count="55">
      <queryTableField id="66" name="Programme" tableColumnId="5"/>
      <queryTableField id="1" name="ID_Synergie" tableColumnId="1"/>
      <queryTableField id="2" name="Nom_MO" tableColumnId="2"/>
      <queryTableField id="3" name="Intitule_Operation" tableColumnId="3"/>
      <queryTableField id="9" name="Coût total Opération" tableColumnId="9"/>
      <queryTableField id="10" name="Coût total Eligible FEDER" tableColumnId="10"/>
      <queryTableField id="11" name="Part Publique" tableColumnId="11"/>
      <queryTableField id="12" name="Tx Aide Publique" tableColumnId="12"/>
      <queryTableField id="13" name="Part privée" tableColumnId="13"/>
      <queryTableField id="14" name="Autofinancement" tableColumnId="14"/>
      <queryTableField id="15" name="Tx Autofin" tableColumnId="15"/>
      <queryTableField id="16" name="UE" tableColumnId="16"/>
      <queryTableField id="17" name="Tx Aide FEDER" tableColumnId="17"/>
      <queryTableField id="18" name="DPN" tableColumnId="18"/>
      <queryTableField id="19" name="Total CR" tableColumnId="19"/>
      <queryTableField id="20" name="Auvergne" tableColumnId="20"/>
      <queryTableField id="21" name="Bourgogne" tableColumnId="21"/>
      <queryTableField id="22" name="Languedoc-Roussillon" tableColumnId="22"/>
      <queryTableField id="23" name="Limousin" tableColumnId="23"/>
      <queryTableField id="24" name="Midi-Pyrénées" tableColumnId="24"/>
      <queryTableField id="25" name="Rhône-Alpes" tableColumnId="25"/>
      <queryTableField id="26" name="Total Etat" tableColumnId="26"/>
      <queryTableField id="27" name="FNADT" tableColumnId="27"/>
      <queryTableField id="28" name="Environnement" tableColumnId="28"/>
      <queryTableField id="30" name="Agriculture" tableColumnId="30"/>
      <queryTableField id="31" name="Autre Etat 3" tableColumnId="31"/>
      <queryTableField id="32" name="Autre Etat Divers" tableColumnId="32"/>
      <queryTableField id="33" name="Total CG" tableColumnId="33"/>
      <queryTableField id="34" name="03" tableColumnId="34"/>
      <queryTableField id="35" name="07" tableColumnId="35"/>
      <queryTableField id="36" name="11" tableColumnId="36"/>
      <queryTableField id="37" name="12" tableColumnId="37"/>
      <queryTableField id="38" name="15" tableColumnId="38"/>
      <queryTableField id="39" name="19" tableColumnId="39"/>
      <queryTableField id="40" name="21" tableColumnId="40"/>
      <queryTableField id="41" name="23" tableColumnId="41"/>
      <queryTableField id="42" name="30" tableColumnId="42"/>
      <queryTableField id="43" name="34" tableColumnId="43"/>
      <queryTableField id="44" name="42" tableColumnId="44"/>
      <queryTableField id="45" name="43" tableColumnId="45"/>
      <queryTableField id="46" name="46" tableColumnId="46"/>
      <queryTableField id="47" name="48" tableColumnId="47"/>
      <queryTableField id="48" name="58" tableColumnId="48"/>
      <queryTableField id="49" name="63" tableColumnId="49"/>
      <queryTableField id="50" name="69" tableColumnId="50"/>
      <queryTableField id="51" name="71" tableColumnId="51"/>
      <queryTableField id="52" name="81" tableColumnId="52"/>
      <queryTableField id="53" name="82" tableColumnId="53"/>
      <queryTableField id="54" name="87" tableColumnId="54"/>
      <queryTableField id="55" name="89" tableColumnId="55"/>
      <queryTableField id="56" name="Autre Public" tableColumnId="56"/>
      <queryTableField id="64" name="Motivation Cprog" tableColumnId="4"/>
      <queryTableField id="57" name="Avis Cprog" tableColumnId="57"/>
      <queryTableField id="58" name="NumDpt" tableColumnId="58"/>
      <queryTableField id="59" name="NomReg" tableColumnId="59"/>
    </queryTableFields>
    <queryTableDeletedFields count="8">
      <deletedField name="Partic"/>
      <deletedField name="Partic"/>
      <deletedField name="Class"/>
      <deletedField name="Coût total déposé"/>
      <deletedField name="FEDER Demandé"/>
      <deletedField name="Taux FEDER"/>
      <deletedField name="Aide Publique demandée"/>
      <deletedField name="Taux Aide publique"/>
    </queryTableDeletedFields>
  </queryTableRefresh>
</queryTable>
</file>

<file path=xl/queryTables/queryTable7.xml><?xml version="1.0" encoding="utf-8"?>
<queryTable xmlns="http://schemas.openxmlformats.org/spreadsheetml/2006/main" name="Lancer la requête à partir de Export Bdossiers_5" growShrinkType="overwriteClear" adjustColumnWidth="0" connectionId="3" autoFormatId="16" applyNumberFormats="0" applyBorderFormats="0" applyFontFormats="0" applyPatternFormats="0" applyAlignmentFormats="0" applyWidthHeightFormats="0">
  <queryTableRefresh nextId="70">
    <queryTableFields count="56">
      <queryTableField id="64" name="Programme" tableColumnId="29"/>
      <queryTableField id="65" name="Thematique" tableColumnId="60"/>
      <queryTableField id="1" name="ID_Synergie" tableColumnId="1"/>
      <queryTableField id="2" name="Nom_MO" tableColumnId="2"/>
      <queryTableField id="3" name="Intitule_Operation" tableColumnId="3"/>
      <queryTableField id="9" name="Coût total Opération" tableColumnId="9"/>
      <queryTableField id="10" name="Coût total Eligible FEDER" tableColumnId="10"/>
      <queryTableField id="11" name="Part Publique" tableColumnId="11"/>
      <queryTableField id="12" name="Tx Aide Publique" tableColumnId="12"/>
      <queryTableField id="13" name="Part privée" tableColumnId="13"/>
      <queryTableField id="14" name="Autofinancement" tableColumnId="14"/>
      <queryTableField id="15" name="Tx Autofin" tableColumnId="15"/>
      <queryTableField id="16" name="UE" tableColumnId="16"/>
      <queryTableField id="17" name="Tx Aide FEDER" tableColumnId="17"/>
      <queryTableField id="18" name="DPN" tableColumnId="18"/>
      <queryTableField id="19" name="Total CR" tableColumnId="19"/>
      <queryTableField id="20" name="Auvergne" tableColumnId="20"/>
      <queryTableField id="21" name="Bourgogne" tableColumnId="21"/>
      <queryTableField id="22" name="Languedoc-Roussillon" tableColumnId="22"/>
      <queryTableField id="23" name="Limousin" tableColumnId="23"/>
      <queryTableField id="24" name="Midi-Pyrénées" tableColumnId="24"/>
      <queryTableField id="25" name="Rhône-Alpes" tableColumnId="25"/>
      <queryTableField id="26" name="Total Etat" tableColumnId="26"/>
      <queryTableField id="27" name="FNADT" tableColumnId="27"/>
      <queryTableField id="28" name="Environnement" tableColumnId="28"/>
      <queryTableField id="30" name="Agriculture" tableColumnId="30"/>
      <queryTableField id="31" name="Autre Etat 3" tableColumnId="31"/>
      <queryTableField id="32" name="Autre Etat Divers" tableColumnId="32"/>
      <queryTableField id="33" name="Total CG" tableColumnId="33"/>
      <queryTableField id="34" name="03" tableColumnId="34"/>
      <queryTableField id="35" name="07" tableColumnId="35"/>
      <queryTableField id="36" name="11" tableColumnId="36"/>
      <queryTableField id="37" name="12" tableColumnId="37"/>
      <queryTableField id="38" name="15" tableColumnId="38"/>
      <queryTableField id="39" name="19" tableColumnId="39"/>
      <queryTableField id="40" name="21" tableColumnId="40"/>
      <queryTableField id="41" name="23" tableColumnId="41"/>
      <queryTableField id="42" name="30" tableColumnId="42"/>
      <queryTableField id="43" name="34" tableColumnId="43"/>
      <queryTableField id="44" name="42" tableColumnId="44"/>
      <queryTableField id="45" name="43" tableColumnId="45"/>
      <queryTableField id="46" name="46" tableColumnId="46"/>
      <queryTableField id="47" name="48" tableColumnId="47"/>
      <queryTableField id="48" name="58" tableColumnId="48"/>
      <queryTableField id="49" name="63" tableColumnId="49"/>
      <queryTableField id="50" name="69" tableColumnId="50"/>
      <queryTableField id="51" name="71" tableColumnId="51"/>
      <queryTableField id="52" name="81" tableColumnId="52"/>
      <queryTableField id="53" name="82" tableColumnId="53"/>
      <queryTableField id="54" name="87" tableColumnId="54"/>
      <queryTableField id="55" name="89" tableColumnId="55"/>
      <queryTableField id="56" name="Autre Public" tableColumnId="56"/>
      <queryTableField id="68" name="Motivation Cprog" tableColumnId="4"/>
      <queryTableField id="57" name="Avis Cprog" tableColumnId="57"/>
      <queryTableField id="58" name="NumDpt" tableColumnId="58"/>
      <queryTableField id="59" name="NomReg" tableColumnId="59"/>
    </queryTableFields>
    <queryTableDeletedFields count="8">
      <deletedField name="Partic"/>
      <deletedField name="Partic"/>
      <deletedField name="Class"/>
      <deletedField name="Coût total déposé"/>
      <deletedField name="FEDER Demandé"/>
      <deletedField name="Taux FEDER"/>
      <deletedField name="Aide Publique demandée"/>
      <deletedField name="Taux Aide publique"/>
    </queryTableDeletedFields>
  </queryTableRefresh>
</queryTable>
</file>

<file path=xl/queryTables/queryTable8.xml><?xml version="1.0" encoding="utf-8"?>
<queryTable xmlns="http://schemas.openxmlformats.org/spreadsheetml/2006/main" name="Lancer la requête à partir de Export Bdossiers_6" adjustColumnWidth="0" connectionId="4" autoFormatId="16" applyNumberFormats="0" applyBorderFormats="0" applyFontFormats="0" applyPatternFormats="0" applyAlignmentFormats="0" applyWidthHeightFormats="0">
  <queryTableRefresh nextId="72">
    <queryTableFields count="56">
      <queryTableField id="64" name="Programme" tableColumnId="29"/>
      <queryTableField id="65" name="Thematique" tableColumnId="60"/>
      <queryTableField id="1" name="ID_Synergie" tableColumnId="1"/>
      <queryTableField id="2" name="Nom_MO" tableColumnId="2"/>
      <queryTableField id="3" name="Intitule_Operation" tableColumnId="3"/>
      <queryTableField id="9" name="Coût total Opération" tableColumnId="9"/>
      <queryTableField id="10" name="Coût total Eligible FEDER" tableColumnId="10"/>
      <queryTableField id="11" name="Part Publique" tableColumnId="11"/>
      <queryTableField id="12" name="Tx Aide Publique" tableColumnId="12"/>
      <queryTableField id="13" name="Part privée" tableColumnId="13"/>
      <queryTableField id="14" name="Autofinancement" tableColumnId="14"/>
      <queryTableField id="15" name="Tx Autofin" tableColumnId="15"/>
      <queryTableField id="16" name="UE" tableColumnId="16"/>
      <queryTableField id="17" name="Tx Aide FEDER" tableColumnId="17"/>
      <queryTableField id="18" name="DPN" tableColumnId="18"/>
      <queryTableField id="19" name="Total CR" tableColumnId="19"/>
      <queryTableField id="20" name="Auvergne" tableColumnId="20"/>
      <queryTableField id="21" name="Bourgogne" tableColumnId="21"/>
      <queryTableField id="22" name="Languedoc-Roussillon" tableColumnId="22"/>
      <queryTableField id="23" name="Limousin" tableColumnId="23"/>
      <queryTableField id="24" name="Midi-Pyrénées" tableColumnId="24"/>
      <queryTableField id="25" name="Rhône-Alpes" tableColumnId="25"/>
      <queryTableField id="26" name="Total Etat" tableColumnId="26"/>
      <queryTableField id="27" name="FNADT" tableColumnId="27"/>
      <queryTableField id="28" name="Environnement" tableColumnId="28"/>
      <queryTableField id="30" name="Agriculture" tableColumnId="30"/>
      <queryTableField id="31" name="Autre Etat 3" tableColumnId="31"/>
      <queryTableField id="32" name="Autre Etat Divers" tableColumnId="32"/>
      <queryTableField id="33" name="Total CG" tableColumnId="33"/>
      <queryTableField id="34" name="03" tableColumnId="34"/>
      <queryTableField id="35" name="07" tableColumnId="35"/>
      <queryTableField id="36" name="11" tableColumnId="36"/>
      <queryTableField id="37" name="12" tableColumnId="37"/>
      <queryTableField id="38" name="15" tableColumnId="38"/>
      <queryTableField id="39" name="19" tableColumnId="39"/>
      <queryTableField id="40" name="21" tableColumnId="40"/>
      <queryTableField id="41" name="23" tableColumnId="41"/>
      <queryTableField id="42" name="30" tableColumnId="42"/>
      <queryTableField id="43" name="34" tableColumnId="43"/>
      <queryTableField id="44" name="42" tableColumnId="44"/>
      <queryTableField id="45" name="43" tableColumnId="45"/>
      <queryTableField id="46" name="46" tableColumnId="46"/>
      <queryTableField id="47" name="48" tableColumnId="47"/>
      <queryTableField id="48" name="58" tableColumnId="48"/>
      <queryTableField id="49" name="63" tableColumnId="49"/>
      <queryTableField id="50" name="69" tableColumnId="50"/>
      <queryTableField id="51" name="71" tableColumnId="51"/>
      <queryTableField id="52" name="81" tableColumnId="52"/>
      <queryTableField id="53" name="82" tableColumnId="53"/>
      <queryTableField id="54" name="87" tableColumnId="54"/>
      <queryTableField id="55" name="89" tableColumnId="55"/>
      <queryTableField id="56" name="Autre Public" tableColumnId="56"/>
      <queryTableField id="69" name="Motivation Cprog" tableColumnId="4"/>
      <queryTableField id="57" name="Avis Cprog" tableColumnId="57"/>
      <queryTableField id="58" name="NumDpt" tableColumnId="58"/>
      <queryTableField id="59" name="NomReg" tableColumnId="59"/>
    </queryTableFields>
    <queryTableDeletedFields count="9">
      <deletedField name="Partic"/>
      <deletedField name="Partic"/>
      <deletedField name="Class"/>
      <deletedField name="Coût total déposé"/>
      <deletedField name="FEDER Demandé"/>
      <deletedField name="Taux FEDER"/>
      <deletedField name="Aide Publique demandée"/>
      <deletedField name="Taux Aide publique"/>
      <deletedField name="Motivation Cprog"/>
    </queryTableDeletedFields>
  </queryTableRefresh>
</queryTable>
</file>

<file path=xl/queryTables/queryTable9.xml><?xml version="1.0" encoding="utf-8"?>
<queryTable xmlns="http://schemas.openxmlformats.org/spreadsheetml/2006/main" name="Lancer la requête à partir de Export Bdossiers_7" adjustColumnWidth="0" connectionId="6" autoFormatId="16" applyNumberFormats="0" applyBorderFormats="0" applyFontFormats="0" applyPatternFormats="0" applyAlignmentFormats="0" applyWidthHeightFormats="0">
  <queryTableRefresh nextId="71">
    <queryTableFields count="56">
      <queryTableField id="64" name="Programme" tableColumnId="29"/>
      <queryTableField id="65" name="Thematique" tableColumnId="60"/>
      <queryTableField id="1" name="ID_Synergie" tableColumnId="1"/>
      <queryTableField id="2" name="Nom_MO" tableColumnId="2"/>
      <queryTableField id="3" name="Intitule_Operation" tableColumnId="3"/>
      <queryTableField id="9" name="Coût total Opération" tableColumnId="9"/>
      <queryTableField id="10" name="Coût total Eligible FEDER" tableColumnId="10"/>
      <queryTableField id="11" name="Part Publique" tableColumnId="11"/>
      <queryTableField id="12" name="Tx Aide Publique" tableColumnId="12"/>
      <queryTableField id="13" name="Part privée" tableColumnId="13"/>
      <queryTableField id="14" name="Autofinancement" tableColumnId="14"/>
      <queryTableField id="15" name="Tx Autofin" tableColumnId="15"/>
      <queryTableField id="16" name="UE" tableColumnId="16"/>
      <queryTableField id="17" name="Tx Aide FEDER" tableColumnId="17"/>
      <queryTableField id="18" name="DPN" tableColumnId="18"/>
      <queryTableField id="19" name="Total CR" tableColumnId="19"/>
      <queryTableField id="20" name="Auvergne" tableColumnId="20"/>
      <queryTableField id="21" name="Bourgogne" tableColumnId="21"/>
      <queryTableField id="22" name="Languedoc-Roussillon" tableColumnId="22"/>
      <queryTableField id="23" name="Limousin" tableColumnId="23"/>
      <queryTableField id="24" name="Midi-Pyrénées" tableColumnId="24"/>
      <queryTableField id="25" name="Rhône-Alpes" tableColumnId="25"/>
      <queryTableField id="26" name="Total Etat" tableColumnId="26"/>
      <queryTableField id="27" name="FNADT" tableColumnId="27"/>
      <queryTableField id="28" name="Environnement" tableColumnId="28"/>
      <queryTableField id="30" name="Agriculture" tableColumnId="30"/>
      <queryTableField id="31" name="Autre Etat 3" tableColumnId="31"/>
      <queryTableField id="32" name="Autre Etat Divers" tableColumnId="32"/>
      <queryTableField id="33" name="Total CG" tableColumnId="33"/>
      <queryTableField id="34" name="03" tableColumnId="34"/>
      <queryTableField id="35" name="07" tableColumnId="35"/>
      <queryTableField id="36" name="11" tableColumnId="36"/>
      <queryTableField id="37" name="12" tableColumnId="37"/>
      <queryTableField id="38" name="15" tableColumnId="38"/>
      <queryTableField id="39" name="19" tableColumnId="39"/>
      <queryTableField id="40" name="21" tableColumnId="40"/>
      <queryTableField id="41" name="23" tableColumnId="41"/>
      <queryTableField id="42" name="30" tableColumnId="42"/>
      <queryTableField id="43" name="34" tableColumnId="43"/>
      <queryTableField id="44" name="42" tableColumnId="44"/>
      <queryTableField id="45" name="43" tableColumnId="45"/>
      <queryTableField id="46" name="46" tableColumnId="46"/>
      <queryTableField id="47" name="48" tableColumnId="47"/>
      <queryTableField id="48" name="58" tableColumnId="48"/>
      <queryTableField id="49" name="63" tableColumnId="49"/>
      <queryTableField id="50" name="69" tableColumnId="50"/>
      <queryTableField id="51" name="71" tableColumnId="51"/>
      <queryTableField id="52" name="81" tableColumnId="52"/>
      <queryTableField id="53" name="82" tableColumnId="53"/>
      <queryTableField id="54" name="87" tableColumnId="54"/>
      <queryTableField id="55" name="89" tableColumnId="55"/>
      <queryTableField id="56" name="Autre Public" tableColumnId="56"/>
      <queryTableField id="68" name="Motivation Cprog" tableColumnId="4"/>
      <queryTableField id="57" name="Avis Cprog" tableColumnId="57"/>
      <queryTableField id="58" name="NumDpt" tableColumnId="58"/>
      <queryTableField id="59" name="NomReg" tableColumnId="59"/>
    </queryTableFields>
    <queryTableDeletedFields count="8">
      <deletedField name="Partic"/>
      <deletedField name="Partic"/>
      <deletedField name="Class"/>
      <deletedField name="Coût total déposé"/>
      <deletedField name="FEDER Demandé"/>
      <deletedField name="Taux FEDER"/>
      <deletedField name="Aide Publique demandée"/>
      <deletedField name="Taux Aide publiqu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au_Lancer_la_requête_à_partir_de_Export_Bdossiers" displayName="Tableau_Lancer_la_requête_à_partir_de_Export_Bdossiers" ref="A5:BC38" tableType="queryTable" totalsRowCount="1" headerRowDxfId="958" dataDxfId="957" totalsRowDxfId="956">
  <autoFilter ref="A5:BC37"/>
  <sortState ref="A6:BC37">
    <sortCondition ref="B5:B37"/>
  </sortState>
  <tableColumns count="55">
    <tableColumn id="5" uniqueName="5" name="Programme" queryTableFieldId="64" dataDxfId="955" totalsRowDxfId="954"/>
    <tableColumn id="1" uniqueName="1" name="ID_Synergie" totalsRowLabel="Total" queryTableFieldId="1" dataDxfId="953" totalsRowDxfId="952"/>
    <tableColumn id="2" uniqueName="2" name="Nom_MO" queryTableFieldId="2" dataDxfId="951" totalsRowDxfId="950"/>
    <tableColumn id="3" uniqueName="3" name="Intitule_Operation" queryTableFieldId="3" dataDxfId="949" totalsRowDxfId="948"/>
    <tableColumn id="9" uniqueName="9" name="Coût total Opération" totalsRowFunction="sum" queryTableFieldId="9" dataDxfId="947" totalsRowDxfId="946"/>
    <tableColumn id="10" uniqueName="10" name="Coût total Eligible FEDER" totalsRowFunction="sum" queryTableFieldId="10" dataDxfId="945" totalsRowDxfId="944"/>
    <tableColumn id="11" uniqueName="11" name="Part Publique" totalsRowFunction="sum" queryTableFieldId="11" dataDxfId="943" totalsRowDxfId="942"/>
    <tableColumn id="12" uniqueName="12" name="Tx Aide Publique" queryTableFieldId="12" dataDxfId="941" totalsRowDxfId="940"/>
    <tableColumn id="13" uniqueName="13" name="Part privée" totalsRowFunction="sum" queryTableFieldId="13" dataDxfId="939" totalsRowDxfId="938"/>
    <tableColumn id="14" uniqueName="14" name="Autofinancement" totalsRowFunction="sum" queryTableFieldId="14" dataDxfId="937" totalsRowDxfId="936" dataCellStyle="Milliers"/>
    <tableColumn id="15" uniqueName="15" name="Tx Autofin" queryTableFieldId="15" dataDxfId="935" totalsRowDxfId="934"/>
    <tableColumn id="16" uniqueName="16" name="UE" totalsRowFunction="sum" queryTableFieldId="16" dataDxfId="933" totalsRowDxfId="932"/>
    <tableColumn id="17" uniqueName="17" name="Tx Aide FEDER" queryTableFieldId="17" dataDxfId="931" totalsRowDxfId="930"/>
    <tableColumn id="18" uniqueName="18" name="DPN" totalsRowFunction="sum" queryTableFieldId="18" dataDxfId="929" totalsRowDxfId="928"/>
    <tableColumn id="19" uniqueName="19" name="Total CR" totalsRowFunction="sum" queryTableFieldId="19" dataDxfId="927" totalsRowDxfId="926"/>
    <tableColumn id="20" uniqueName="20" name="Auvergne" totalsRowFunction="sum" queryTableFieldId="20" dataDxfId="925" totalsRowDxfId="924"/>
    <tableColumn id="21" uniqueName="21" name="Bourgogne" totalsRowFunction="sum" queryTableFieldId="21" dataDxfId="923" totalsRowDxfId="922"/>
    <tableColumn id="22" uniqueName="22" name="Languedoc-Roussillon" totalsRowFunction="sum" queryTableFieldId="22" dataDxfId="921" totalsRowDxfId="920"/>
    <tableColumn id="23" uniqueName="23" name="Limousin" totalsRowFunction="sum" queryTableFieldId="23" dataDxfId="919" totalsRowDxfId="918"/>
    <tableColumn id="24" uniqueName="24" name="Midi-Pyrénées" totalsRowFunction="sum" queryTableFieldId="24" dataDxfId="917" totalsRowDxfId="916"/>
    <tableColumn id="25" uniqueName="25" name="Rhône-Alpes" totalsRowFunction="sum" queryTableFieldId="25" dataDxfId="915" totalsRowDxfId="914"/>
    <tableColumn id="26" uniqueName="26" name="Total Etat" totalsRowFunction="sum" queryTableFieldId="26" dataDxfId="913" totalsRowDxfId="912"/>
    <tableColumn id="27" uniqueName="27" name="FNADT" totalsRowFunction="sum" queryTableFieldId="27" dataDxfId="911" totalsRowDxfId="910"/>
    <tableColumn id="28" uniqueName="28" name="Environnement" totalsRowFunction="sum" queryTableFieldId="28" dataDxfId="909" totalsRowDxfId="908"/>
    <tableColumn id="30" uniqueName="30" name="Agriculture" totalsRowFunction="sum" queryTableFieldId="30" dataDxfId="907" totalsRowDxfId="906"/>
    <tableColumn id="31" uniqueName="31" name="Autre Etat 3" totalsRowFunction="sum" queryTableFieldId="31" dataDxfId="905" totalsRowDxfId="904"/>
    <tableColumn id="32" uniqueName="32" name="Autre Etat Divers" totalsRowFunction="sum" queryTableFieldId="32" dataDxfId="903" totalsRowDxfId="902"/>
    <tableColumn id="33" uniqueName="33" name="Total CG" totalsRowFunction="sum" queryTableFieldId="33" dataDxfId="901" totalsRowDxfId="900"/>
    <tableColumn id="34" uniqueName="34" name="03" totalsRowFunction="sum" queryTableFieldId="34" dataDxfId="899" totalsRowDxfId="898"/>
    <tableColumn id="35" uniqueName="35" name="07" totalsRowFunction="sum" queryTableFieldId="35" dataDxfId="897" totalsRowDxfId="896"/>
    <tableColumn id="36" uniqueName="36" name="11" totalsRowFunction="sum" queryTableFieldId="36" dataDxfId="895" totalsRowDxfId="894"/>
    <tableColumn id="37" uniqueName="37" name="12" totalsRowFunction="sum" queryTableFieldId="37" dataDxfId="893" totalsRowDxfId="892"/>
    <tableColumn id="38" uniqueName="38" name="15" totalsRowFunction="sum" queryTableFieldId="38" dataDxfId="891" totalsRowDxfId="890"/>
    <tableColumn id="39" uniqueName="39" name="19" totalsRowFunction="sum" queryTableFieldId="39" dataDxfId="889" totalsRowDxfId="888"/>
    <tableColumn id="40" uniqueName="40" name="21" totalsRowFunction="sum" queryTableFieldId="40" dataDxfId="887" totalsRowDxfId="886"/>
    <tableColumn id="41" uniqueName="41" name="23" totalsRowFunction="sum" queryTableFieldId="41" dataDxfId="885" totalsRowDxfId="884"/>
    <tableColumn id="42" uniqueName="42" name="30" totalsRowFunction="sum" queryTableFieldId="42" dataDxfId="883" totalsRowDxfId="882"/>
    <tableColumn id="43" uniqueName="43" name="34" totalsRowFunction="sum" queryTableFieldId="43" dataDxfId="881" totalsRowDxfId="880"/>
    <tableColumn id="44" uniqueName="44" name="42" totalsRowFunction="sum" queryTableFieldId="44" dataDxfId="879" totalsRowDxfId="878"/>
    <tableColumn id="45" uniqueName="45" name="43" totalsRowFunction="sum" queryTableFieldId="45" dataDxfId="877" totalsRowDxfId="876"/>
    <tableColumn id="46" uniqueName="46" name="46" totalsRowFunction="sum" queryTableFieldId="46" dataDxfId="875" totalsRowDxfId="874"/>
    <tableColumn id="47" uniqueName="47" name="48" totalsRowFunction="sum" queryTableFieldId="47" dataDxfId="873" totalsRowDxfId="872"/>
    <tableColumn id="48" uniqueName="48" name="58" totalsRowFunction="sum" queryTableFieldId="48" dataDxfId="871" totalsRowDxfId="870"/>
    <tableColumn id="49" uniqueName="49" name="63" totalsRowFunction="sum" queryTableFieldId="49" dataDxfId="869" totalsRowDxfId="868"/>
    <tableColumn id="50" uniqueName="50" name="69" totalsRowFunction="sum" queryTableFieldId="50" dataDxfId="867" totalsRowDxfId="866"/>
    <tableColumn id="51" uniqueName="51" name="71" totalsRowFunction="sum" queryTableFieldId="51" dataDxfId="865" totalsRowDxfId="864"/>
    <tableColumn id="52" uniqueName="52" name="81" totalsRowFunction="sum" queryTableFieldId="52" dataDxfId="863" totalsRowDxfId="862"/>
    <tableColumn id="53" uniqueName="53" name="82" totalsRowFunction="sum" queryTableFieldId="53" dataDxfId="861" totalsRowDxfId="860"/>
    <tableColumn id="54" uniqueName="54" name="87" totalsRowFunction="sum" queryTableFieldId="54" dataDxfId="859" totalsRowDxfId="858"/>
    <tableColumn id="55" uniqueName="55" name="89" totalsRowFunction="sum" queryTableFieldId="55" dataDxfId="857" totalsRowDxfId="856"/>
    <tableColumn id="56" uniqueName="56" name="Autre Public" totalsRowFunction="sum" queryTableFieldId="56" dataDxfId="855" totalsRowDxfId="854"/>
    <tableColumn id="4" uniqueName="4" name="Motivation Cprog" queryTableFieldId="62" dataDxfId="853" totalsRowDxfId="852"/>
    <tableColumn id="57" uniqueName="57" name="Avis Cprog" totalsRowFunction="sum" queryTableFieldId="57" dataDxfId="851" totalsRowDxfId="850"/>
    <tableColumn id="58" uniqueName="58" name="NumDpt" queryTableFieldId="58" dataDxfId="849" totalsRowDxfId="848"/>
    <tableColumn id="59" uniqueName="59" name="NomReg" totalsRowFunction="count" queryTableFieldId="59" dataDxfId="847" totalsRowDxfId="846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6" name="Tableau_Lancer_la_requête_à_partir_de_Export_Bdossiers596151617" displayName="Tableau_Lancer_la_requête_à_partir_de_Export_Bdossiers596151617" ref="A84:BD86" tableType="queryTable" totalsRowCount="1" headerRowDxfId="114" dataDxfId="113" totalsRowDxfId="112">
  <autoFilter ref="A84:BD85"/>
  <tableColumns count="56">
    <tableColumn id="29" uniqueName="29" name="Programme" queryTableFieldId="64" dataDxfId="111" totalsRowDxfId="110"/>
    <tableColumn id="60" uniqueName="60" name="Thematique" queryTableFieldId="65" dataDxfId="109" totalsRowDxfId="108"/>
    <tableColumn id="1" uniqueName="1" name="ID_Synergie" totalsRowLabel="Total" queryTableFieldId="1" dataDxfId="107" totalsRowDxfId="106"/>
    <tableColumn id="2" uniqueName="2" name="Nom_MO" queryTableFieldId="2" dataDxfId="105" totalsRowDxfId="104"/>
    <tableColumn id="3" uniqueName="3" name="Intitule_Operation" queryTableFieldId="3" dataDxfId="103" totalsRowDxfId="102"/>
    <tableColumn id="9" uniqueName="9" name="Coût total Opération" totalsRowFunction="sum" queryTableFieldId="9" dataDxfId="101" totalsRowDxfId="100"/>
    <tableColumn id="10" uniqueName="10" name="Coût total Eligible FEDER" totalsRowFunction="sum" queryTableFieldId="10" dataDxfId="99" totalsRowDxfId="98"/>
    <tableColumn id="11" uniqueName="11" name="Part Publique" totalsRowFunction="sum" queryTableFieldId="11" dataDxfId="97" totalsRowDxfId="96"/>
    <tableColumn id="12" uniqueName="12" name="Tx Aide Publique" queryTableFieldId="12" dataDxfId="95" totalsRowDxfId="94"/>
    <tableColumn id="13" uniqueName="13" name="Part privée" totalsRowFunction="sum" queryTableFieldId="13" dataDxfId="93" totalsRowDxfId="92"/>
    <tableColumn id="14" uniqueName="14" name="Autofinancement" totalsRowFunction="sum" queryTableFieldId="14" dataDxfId="91" totalsRowDxfId="90"/>
    <tableColumn id="15" uniqueName="15" name="Tx Autofin" queryTableFieldId="15" dataDxfId="89" totalsRowDxfId="88"/>
    <tableColumn id="16" uniqueName="16" name="UE" totalsRowFunction="sum" queryTableFieldId="16" dataDxfId="87" totalsRowDxfId="86"/>
    <tableColumn id="17" uniqueName="17" name="Tx Aide FEDER" queryTableFieldId="17" dataDxfId="85" totalsRowDxfId="84"/>
    <tableColumn id="18" uniqueName="18" name="DPN" totalsRowFunction="sum" queryTableFieldId="18" dataDxfId="83" totalsRowDxfId="82"/>
    <tableColumn id="19" uniqueName="19" name="Total CR" totalsRowFunction="sum" queryTableFieldId="19" dataDxfId="81" totalsRowDxfId="80"/>
    <tableColumn id="20" uniqueName="20" name="Auvergne" totalsRowFunction="sum" queryTableFieldId="20" dataDxfId="79" totalsRowDxfId="78"/>
    <tableColumn id="21" uniqueName="21" name="Bourgogne" totalsRowFunction="sum" queryTableFieldId="21" dataDxfId="77" totalsRowDxfId="76"/>
    <tableColumn id="22" uniqueName="22" name="Languedoc-Roussillon" totalsRowFunction="sum" queryTableFieldId="22" dataDxfId="75" totalsRowDxfId="74"/>
    <tableColumn id="23" uniqueName="23" name="Limousin" totalsRowFunction="sum" queryTableFieldId="23" dataDxfId="73" totalsRowDxfId="72"/>
    <tableColumn id="24" uniqueName="24" name="Midi-Pyrénées" totalsRowFunction="sum" queryTableFieldId="24" dataDxfId="71" totalsRowDxfId="70"/>
    <tableColumn id="25" uniqueName="25" name="Rhône-Alpes" totalsRowFunction="sum" queryTableFieldId="25" dataDxfId="69" totalsRowDxfId="68"/>
    <tableColumn id="26" uniqueName="26" name="Total Etat" totalsRowFunction="sum" queryTableFieldId="26" dataDxfId="67" totalsRowDxfId="66"/>
    <tableColumn id="27" uniqueName="27" name="FNADT" totalsRowFunction="sum" queryTableFieldId="27" dataDxfId="65" totalsRowDxfId="64"/>
    <tableColumn id="28" uniqueName="28" name="Environnement" totalsRowFunction="sum" queryTableFieldId="28" dataDxfId="63" totalsRowDxfId="62"/>
    <tableColumn id="30" uniqueName="30" name="Agriculture" totalsRowFunction="sum" queryTableFieldId="30" dataDxfId="61" totalsRowDxfId="60"/>
    <tableColumn id="31" uniqueName="31" name="Autre Etat 3" totalsRowFunction="sum" queryTableFieldId="31" dataDxfId="59" totalsRowDxfId="58"/>
    <tableColumn id="32" uniqueName="32" name="Autre Etat Divers" totalsRowFunction="sum" queryTableFieldId="32" dataDxfId="57" totalsRowDxfId="56"/>
    <tableColumn id="33" uniqueName="33" name="Total CG" totalsRowFunction="sum" queryTableFieldId="33" dataDxfId="55" totalsRowDxfId="54"/>
    <tableColumn id="34" uniqueName="34" name="03" totalsRowFunction="sum" queryTableFieldId="34" dataDxfId="53" totalsRowDxfId="52"/>
    <tableColumn id="35" uniqueName="35" name="07" totalsRowFunction="sum" queryTableFieldId="35" dataDxfId="51" totalsRowDxfId="50"/>
    <tableColumn id="36" uniqueName="36" name="11" totalsRowFunction="sum" queryTableFieldId="36" dataDxfId="49" totalsRowDxfId="48"/>
    <tableColumn id="37" uniqueName="37" name="12" totalsRowFunction="sum" queryTableFieldId="37" dataDxfId="47" totalsRowDxfId="46"/>
    <tableColumn id="38" uniqueName="38" name="15" totalsRowFunction="sum" queryTableFieldId="38" dataDxfId="45" totalsRowDxfId="44"/>
    <tableColumn id="39" uniqueName="39" name="19" totalsRowFunction="sum" queryTableFieldId="39" dataDxfId="43" totalsRowDxfId="42"/>
    <tableColumn id="40" uniqueName="40" name="21" totalsRowFunction="sum" queryTableFieldId="40" dataDxfId="41" totalsRowDxfId="40"/>
    <tableColumn id="41" uniqueName="41" name="23" totalsRowFunction="sum" queryTableFieldId="41" dataDxfId="39" totalsRowDxfId="38"/>
    <tableColumn id="42" uniqueName="42" name="30" totalsRowFunction="sum" queryTableFieldId="42" dataDxfId="37" totalsRowDxfId="36"/>
    <tableColumn id="43" uniqueName="43" name="34" totalsRowFunction="sum" queryTableFieldId="43" dataDxfId="35" totalsRowDxfId="34"/>
    <tableColumn id="44" uniqueName="44" name="42" totalsRowFunction="sum" queryTableFieldId="44" dataDxfId="33" totalsRowDxfId="32"/>
    <tableColumn id="45" uniqueName="45" name="43" totalsRowFunction="sum" queryTableFieldId="45" dataDxfId="31" totalsRowDxfId="30"/>
    <tableColumn id="46" uniqueName="46" name="46" totalsRowFunction="sum" queryTableFieldId="46" dataDxfId="29" totalsRowDxfId="28"/>
    <tableColumn id="47" uniqueName="47" name="48" totalsRowFunction="sum" queryTableFieldId="47" dataDxfId="27" totalsRowDxfId="26"/>
    <tableColumn id="48" uniqueName="48" name="58" totalsRowFunction="sum" queryTableFieldId="48" dataDxfId="25" totalsRowDxfId="24"/>
    <tableColumn id="49" uniqueName="49" name="63" totalsRowFunction="sum" queryTableFieldId="49" dataDxfId="23" totalsRowDxfId="22"/>
    <tableColumn id="50" uniqueName="50" name="69" totalsRowFunction="sum" queryTableFieldId="50" dataDxfId="21" totalsRowDxfId="20"/>
    <tableColumn id="51" uniqueName="51" name="71" totalsRowFunction="sum" queryTableFieldId="51" dataDxfId="19" totalsRowDxfId="18"/>
    <tableColumn id="52" uniqueName="52" name="81" totalsRowFunction="sum" queryTableFieldId="52" dataDxfId="17" totalsRowDxfId="16"/>
    <tableColumn id="53" uniqueName="53" name="82" totalsRowFunction="sum" queryTableFieldId="53" dataDxfId="15" totalsRowDxfId="14"/>
    <tableColumn id="54" uniqueName="54" name="87" totalsRowFunction="sum" queryTableFieldId="54" dataDxfId="13" totalsRowDxfId="12"/>
    <tableColumn id="55" uniqueName="55" name="89" totalsRowFunction="sum" queryTableFieldId="55" dataDxfId="11" totalsRowDxfId="10"/>
    <tableColumn id="56" uniqueName="56" name="Autre Public" totalsRowFunction="sum" queryTableFieldId="56" dataDxfId="9" totalsRowDxfId="8"/>
    <tableColumn id="4" uniqueName="4" name="Motivation Cprog" queryTableFieldId="68" dataDxfId="7" totalsRowDxfId="6"/>
    <tableColumn id="57" uniqueName="57" name="Avis Cprog" queryTableFieldId="57" dataDxfId="5" totalsRowDxfId="4"/>
    <tableColumn id="58" uniqueName="58" name="NumDpt" queryTableFieldId="58" dataDxfId="3" totalsRowDxfId="2"/>
    <tableColumn id="59" uniqueName="59" name="NomReg" queryTableFieldId="59" dataDxfId="1" totalsRow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au_Lancer_la_requête_à_partir_de_Export_Bdossiers34" displayName="Tableau_Lancer_la_requête_à_partir_de_Export_Bdossiers34" ref="A43:BC47" tableType="queryTable" totalsRowCount="1" headerRowDxfId="845" dataDxfId="844" totalsRowDxfId="843">
  <autoFilter ref="A43:BC46"/>
  <sortState ref="A44:BC46">
    <sortCondition ref="AR5:AR38"/>
  </sortState>
  <tableColumns count="55">
    <tableColumn id="4" uniqueName="4" name="Programme" queryTableFieldId="61" dataDxfId="842" totalsRowDxfId="841"/>
    <tableColumn id="1" uniqueName="1" name="ID_Synergie" totalsRowLabel="Total" queryTableFieldId="1" dataDxfId="840" totalsRowDxfId="839"/>
    <tableColumn id="2" uniqueName="2" name="Nom_MO" queryTableFieldId="2" dataDxfId="838" totalsRowDxfId="837"/>
    <tableColumn id="3" uniqueName="3" name="Intitule_Operation" queryTableFieldId="3" dataDxfId="836" totalsRowDxfId="835"/>
    <tableColumn id="9" uniqueName="9" name="Coût total Opération" totalsRowFunction="sum" queryTableFieldId="9" dataDxfId="834" totalsRowDxfId="833"/>
    <tableColumn id="10" uniqueName="10" name="Coût total Eligible FEDER" totalsRowFunction="sum" queryTableFieldId="10" dataDxfId="832" totalsRowDxfId="831"/>
    <tableColumn id="11" uniqueName="11" name="Part Publique" totalsRowFunction="sum" queryTableFieldId="11" dataDxfId="830" totalsRowDxfId="829"/>
    <tableColumn id="12" uniqueName="12" name="Tx Aide Publique" queryTableFieldId="12" dataDxfId="828" totalsRowDxfId="827"/>
    <tableColumn id="13" uniqueName="13" name="Part privée" totalsRowFunction="sum" queryTableFieldId="13" dataDxfId="826" totalsRowDxfId="825"/>
    <tableColumn id="14" uniqueName="14" name="Autofinancement" totalsRowFunction="sum" queryTableFieldId="14" dataDxfId="824" totalsRowDxfId="823"/>
    <tableColumn id="15" uniqueName="15" name="Tx Autofin" queryTableFieldId="15" dataDxfId="822" totalsRowDxfId="821"/>
    <tableColumn id="16" uniqueName="16" name="UE" totalsRowFunction="sum" queryTableFieldId="16" dataDxfId="820" totalsRowDxfId="819"/>
    <tableColumn id="17" uniqueName="17" name="Tx Aide FEDER" queryTableFieldId="17" dataDxfId="818" totalsRowDxfId="817"/>
    <tableColumn id="18" uniqueName="18" name="DPN" totalsRowFunction="sum" queryTableFieldId="18" dataDxfId="816" totalsRowDxfId="815"/>
    <tableColumn id="19" uniqueName="19" name="Total CR" totalsRowFunction="sum" queryTableFieldId="19" dataDxfId="814" totalsRowDxfId="813"/>
    <tableColumn id="20" uniqueName="20" name="Auvergne" totalsRowFunction="sum" queryTableFieldId="20" dataDxfId="812" totalsRowDxfId="811"/>
    <tableColumn id="21" uniqueName="21" name="Bourgogne" totalsRowFunction="sum" queryTableFieldId="21" dataDxfId="810" totalsRowDxfId="809"/>
    <tableColumn id="22" uniqueName="22" name="Languedoc-Roussillon" totalsRowFunction="sum" queryTableFieldId="22" dataDxfId="808" totalsRowDxfId="807"/>
    <tableColumn id="23" uniqueName="23" name="Limousin" totalsRowFunction="sum" queryTableFieldId="23" dataDxfId="806" totalsRowDxfId="805"/>
    <tableColumn id="24" uniqueName="24" name="Midi-Pyrénées" totalsRowFunction="sum" queryTableFieldId="24" dataDxfId="804" totalsRowDxfId="803"/>
    <tableColumn id="25" uniqueName="25" name="Rhône-Alpes" totalsRowFunction="sum" queryTableFieldId="25" dataDxfId="802" totalsRowDxfId="801"/>
    <tableColumn id="26" uniqueName="26" name="Total Etat" totalsRowFunction="sum" queryTableFieldId="26" dataDxfId="800" totalsRowDxfId="799"/>
    <tableColumn id="27" uniqueName="27" name="FNADT" totalsRowFunction="sum" queryTableFieldId="27" dataDxfId="798" totalsRowDxfId="797"/>
    <tableColumn id="28" uniqueName="28" name="Environnement" totalsRowFunction="sum" queryTableFieldId="28" dataDxfId="796" totalsRowDxfId="795"/>
    <tableColumn id="30" uniqueName="30" name="Agriculture" totalsRowFunction="sum" queryTableFieldId="30" dataDxfId="794" totalsRowDxfId="793"/>
    <tableColumn id="31" uniqueName="31" name="Autre Etat 3" totalsRowFunction="sum" queryTableFieldId="31" dataDxfId="792" totalsRowDxfId="791"/>
    <tableColumn id="32" uniqueName="32" name="Autre Etat Divers" totalsRowFunction="sum" queryTableFieldId="32" dataDxfId="790" totalsRowDxfId="789"/>
    <tableColumn id="33" uniqueName="33" name="Total CG" totalsRowFunction="sum" queryTableFieldId="33" dataDxfId="788" totalsRowDxfId="787"/>
    <tableColumn id="34" uniqueName="34" name="03" totalsRowFunction="sum" queryTableFieldId="34" dataDxfId="786" totalsRowDxfId="785"/>
    <tableColumn id="35" uniqueName="35" name="07" totalsRowFunction="sum" queryTableFieldId="35" dataDxfId="784" totalsRowDxfId="783"/>
    <tableColumn id="36" uniqueName="36" name="11" totalsRowFunction="sum" queryTableFieldId="36" dataDxfId="782" totalsRowDxfId="781"/>
    <tableColumn id="37" uniqueName="37" name="12" totalsRowFunction="sum" queryTableFieldId="37" dataDxfId="780" totalsRowDxfId="779"/>
    <tableColumn id="38" uniqueName="38" name="15" totalsRowFunction="sum" queryTableFieldId="38" dataDxfId="778" totalsRowDxfId="777"/>
    <tableColumn id="39" uniqueName="39" name="19" totalsRowFunction="sum" queryTableFieldId="39" dataDxfId="776" totalsRowDxfId="775"/>
    <tableColumn id="40" uniqueName="40" name="21" totalsRowFunction="sum" queryTableFieldId="40" dataDxfId="774" totalsRowDxfId="773"/>
    <tableColumn id="41" uniqueName="41" name="23" totalsRowFunction="sum" queryTableFieldId="41" dataDxfId="772" totalsRowDxfId="771"/>
    <tableColumn id="42" uniqueName="42" name="30" totalsRowFunction="sum" queryTableFieldId="42" dataDxfId="770" totalsRowDxfId="769"/>
    <tableColumn id="43" uniqueName="43" name="34" totalsRowFunction="sum" queryTableFieldId="43" dataDxfId="768" totalsRowDxfId="767"/>
    <tableColumn id="44" uniqueName="44" name="42" totalsRowFunction="sum" queryTableFieldId="44" dataDxfId="766" totalsRowDxfId="765"/>
    <tableColumn id="45" uniqueName="45" name="43" totalsRowFunction="sum" queryTableFieldId="45" dataDxfId="764" totalsRowDxfId="763"/>
    <tableColumn id="46" uniqueName="46" name="46" totalsRowFunction="sum" queryTableFieldId="46" dataDxfId="762" totalsRowDxfId="761"/>
    <tableColumn id="47" uniqueName="47" name="48" totalsRowFunction="sum" queryTableFieldId="47" dataDxfId="760" totalsRowDxfId="759"/>
    <tableColumn id="48" uniqueName="48" name="58" totalsRowFunction="sum" queryTableFieldId="48" dataDxfId="758" totalsRowDxfId="757"/>
    <tableColumn id="49" uniqueName="49" name="63" totalsRowFunction="sum" queryTableFieldId="49" dataDxfId="756" totalsRowDxfId="755"/>
    <tableColumn id="50" uniqueName="50" name="69" totalsRowFunction="sum" queryTableFieldId="50" dataDxfId="754" totalsRowDxfId="753"/>
    <tableColumn id="51" uniqueName="51" name="71" totalsRowFunction="sum" queryTableFieldId="51" dataDxfId="752" totalsRowDxfId="751"/>
    <tableColumn id="52" uniqueName="52" name="81" totalsRowFunction="sum" queryTableFieldId="52" dataDxfId="750" totalsRowDxfId="749"/>
    <tableColumn id="53" uniqueName="53" name="82" totalsRowFunction="sum" queryTableFieldId="53" dataDxfId="748" totalsRowDxfId="747"/>
    <tableColumn id="54" uniqueName="54" name="87" totalsRowFunction="sum" queryTableFieldId="54" dataDxfId="746" totalsRowDxfId="745"/>
    <tableColumn id="55" uniqueName="55" name="89" totalsRowFunction="sum" queryTableFieldId="55" dataDxfId="744" totalsRowDxfId="743"/>
    <tableColumn id="56" uniqueName="56" name="Autre Public" totalsRowFunction="sum" queryTableFieldId="56" dataDxfId="742" totalsRowDxfId="741"/>
    <tableColumn id="5" uniqueName="5" name="Motivation Cprog" queryTableFieldId="62" dataDxfId="740" totalsRowDxfId="739"/>
    <tableColumn id="57" uniqueName="57" name="Avis Cprog" queryTableFieldId="57" dataDxfId="738" totalsRowDxfId="737"/>
    <tableColumn id="58" uniqueName="58" name="NumDpt" queryTableFieldId="58" dataDxfId="736" totalsRowDxfId="735"/>
    <tableColumn id="59" uniqueName="59" name="NomReg" totalsRowFunction="count" queryTableFieldId="59" dataDxfId="734" totalsRowDxfId="73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eau_Lancer_la_requête_à_partir_de_Export_Bdossiers56" displayName="Tableau_Lancer_la_requête_à_partir_de_Export_Bdossiers56" ref="A6:F14" tableType="queryTable" totalsRowCount="1" headerRowDxfId="730" dataDxfId="729" totalsRowDxfId="728">
  <autoFilter ref="A6:F13"/>
  <sortState ref="A7:F13">
    <sortCondition ref="A7"/>
  </sortState>
  <tableColumns count="6">
    <tableColumn id="1" uniqueName="1" name="ID_Synergie" totalsRowLabel="Total" queryTableFieldId="1" dataDxfId="727" totalsRowDxfId="726"/>
    <tableColumn id="2" uniqueName="2" name="Nom_MO" queryTableFieldId="2" dataDxfId="725" totalsRowDxfId="724"/>
    <tableColumn id="3" uniqueName="3" name="Intitule_Operation" queryTableFieldId="3" dataDxfId="723" totalsRowDxfId="722"/>
    <tableColumn id="58" uniqueName="58" name="NumDpt" queryTableFieldId="58" dataDxfId="721" totalsRowDxfId="720"/>
    <tableColumn id="59" uniqueName="59" name="NomReg" totalsRowFunction="count" queryTableFieldId="59" dataDxfId="719" totalsRowDxfId="718"/>
    <tableColumn id="4" uniqueName="4" name="commentaires" queryTableFieldId="64" dataDxfId="717" totalsRowDxfId="71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eau_Lancer_la_requête_à_partir_de_Export_Bdossiers5787" displayName="Tableau_Lancer_la_requête_à_partir_de_Export_Bdossiers5787" ref="A18:E25" tableType="queryTable" totalsRowCount="1" headerRowDxfId="715" dataDxfId="714" totalsRowDxfId="713">
  <autoFilter ref="A18:E24"/>
  <sortState ref="A19:BA29">
    <sortCondition ref="A25:A36"/>
  </sortState>
  <tableColumns count="5">
    <tableColumn id="1" uniqueName="1" name="ID_Synergie" totalsRowLabel="Total" queryTableFieldId="1" dataDxfId="712" totalsRowDxfId="711"/>
    <tableColumn id="2" uniqueName="2" name="Nom_MO" queryTableFieldId="2" dataDxfId="710" totalsRowDxfId="709"/>
    <tableColumn id="3" uniqueName="3" name="Intitule_Operation" queryTableFieldId="3" dataDxfId="708" totalsRowDxfId="707"/>
    <tableColumn id="58" uniqueName="58" name="NumDpt" queryTableFieldId="58" dataDxfId="706" totalsRowDxfId="705"/>
    <tableColumn id="59" uniqueName="59" name="NomReg" totalsRowFunction="count" queryTableFieldId="59" dataDxfId="704" totalsRowDxfId="70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Tableau_Lancer_la_requête_à_partir_de_Export_Bdossiers59" displayName="Tableau_Lancer_la_requête_à_partir_de_Export_Bdossiers59" ref="A8:BC20" tableType="queryTable" totalsRowCount="1" headerRowDxfId="700" dataDxfId="699" totalsRowDxfId="698">
  <autoFilter ref="A8:BC19"/>
  <sortState ref="A9:BC19">
    <sortCondition ref="BA5:BA20"/>
  </sortState>
  <tableColumns count="55">
    <tableColumn id="5" uniqueName="5" name="Programme" queryTableFieldId="66" dataDxfId="697" totalsRowDxfId="696"/>
    <tableColumn id="1" uniqueName="1" name="ID_Synergie" totalsRowLabel="Total" queryTableFieldId="1" dataDxfId="695" totalsRowDxfId="694"/>
    <tableColumn id="2" uniqueName="2" name="Nom_MO" queryTableFieldId="2" dataDxfId="693" totalsRowDxfId="692"/>
    <tableColumn id="3" uniqueName="3" name="Intitule_Operation" queryTableFieldId="3" dataDxfId="691" totalsRowDxfId="690"/>
    <tableColumn id="9" uniqueName="9" name="Coût total Opération" totalsRowFunction="sum" queryTableFieldId="9" dataDxfId="689" totalsRowDxfId="688"/>
    <tableColumn id="10" uniqueName="10" name="Coût total Eligible FEDER" totalsRowFunction="sum" queryTableFieldId="10" dataDxfId="687" totalsRowDxfId="686"/>
    <tableColumn id="11" uniqueName="11" name="Part Publique" totalsRowFunction="sum" queryTableFieldId="11" dataDxfId="685" totalsRowDxfId="684"/>
    <tableColumn id="12" uniqueName="12" name="Tx Aide Publique" queryTableFieldId="12" dataDxfId="683" totalsRowDxfId="682"/>
    <tableColumn id="13" uniqueName="13" name="Part privée" totalsRowFunction="sum" queryTableFieldId="13" dataDxfId="681" totalsRowDxfId="680"/>
    <tableColumn id="14" uniqueName="14" name="Autofinancement" totalsRowFunction="sum" queryTableFieldId="14" dataDxfId="679" totalsRowDxfId="678"/>
    <tableColumn id="15" uniqueName="15" name="Tx Autofin" queryTableFieldId="15" dataDxfId="677" totalsRowDxfId="676"/>
    <tableColumn id="16" uniqueName="16" name="UE" totalsRowFunction="sum" queryTableFieldId="16" dataDxfId="675" totalsRowDxfId="674"/>
    <tableColumn id="17" uniqueName="17" name="Tx Aide FEDER" totalsRowFunction="sum" queryTableFieldId="17" dataDxfId="673" totalsRowDxfId="672"/>
    <tableColumn id="18" uniqueName="18" name="DPN" totalsRowFunction="sum" queryTableFieldId="18" dataDxfId="671" totalsRowDxfId="670"/>
    <tableColumn id="19" uniqueName="19" name="Total CR" totalsRowFunction="sum" queryTableFieldId="19" dataDxfId="669" totalsRowDxfId="668"/>
    <tableColumn id="20" uniqueName="20" name="Auvergne" totalsRowFunction="sum" queryTableFieldId="20" dataDxfId="667" totalsRowDxfId="666"/>
    <tableColumn id="21" uniqueName="21" name="Bourgogne" totalsRowFunction="sum" queryTableFieldId="21" dataDxfId="665" totalsRowDxfId="664"/>
    <tableColumn id="22" uniqueName="22" name="Languedoc-Roussillon" totalsRowFunction="sum" queryTableFieldId="22" dataDxfId="663" totalsRowDxfId="662"/>
    <tableColumn id="23" uniqueName="23" name="Limousin" totalsRowFunction="sum" queryTableFieldId="23" dataDxfId="661" totalsRowDxfId="660"/>
    <tableColumn id="24" uniqueName="24" name="Midi-Pyrénées" totalsRowFunction="sum" queryTableFieldId="24" dataDxfId="659" totalsRowDxfId="658"/>
    <tableColumn id="25" uniqueName="25" name="Rhône-Alpes" totalsRowFunction="sum" queryTableFieldId="25" dataDxfId="657" totalsRowDxfId="656"/>
    <tableColumn id="26" uniqueName="26" name="Total Etat" totalsRowFunction="sum" queryTableFieldId="26" dataDxfId="655" totalsRowDxfId="654"/>
    <tableColumn id="27" uniqueName="27" name="FNADT" totalsRowFunction="sum" queryTableFieldId="27" dataDxfId="653" totalsRowDxfId="652"/>
    <tableColumn id="28" uniqueName="28" name="Environnement" totalsRowFunction="sum" queryTableFieldId="28" dataDxfId="651" totalsRowDxfId="650"/>
    <tableColumn id="30" uniqueName="30" name="Agriculture" totalsRowFunction="sum" queryTableFieldId="30" dataDxfId="649" totalsRowDxfId="648"/>
    <tableColumn id="31" uniqueName="31" name="Autre Etat 3" totalsRowFunction="sum" queryTableFieldId="31" dataDxfId="647" totalsRowDxfId="646"/>
    <tableColumn id="32" uniqueName="32" name="Autre Etat Divers" totalsRowFunction="sum" queryTableFieldId="32" dataDxfId="645" totalsRowDxfId="644"/>
    <tableColumn id="33" uniqueName="33" name="Total CG" totalsRowFunction="sum" queryTableFieldId="33" dataDxfId="643" totalsRowDxfId="642"/>
    <tableColumn id="34" uniqueName="34" name="03" totalsRowFunction="sum" queryTableFieldId="34" dataDxfId="641" totalsRowDxfId="640"/>
    <tableColumn id="35" uniqueName="35" name="07" totalsRowFunction="sum" queryTableFieldId="35" dataDxfId="639" totalsRowDxfId="638"/>
    <tableColumn id="36" uniqueName="36" name="11" totalsRowFunction="sum" queryTableFieldId="36" dataDxfId="637" totalsRowDxfId="636"/>
    <tableColumn id="37" uniqueName="37" name="12" totalsRowFunction="sum" queryTableFieldId="37" dataDxfId="635" totalsRowDxfId="634"/>
    <tableColumn id="38" uniqueName="38" name="15" totalsRowFunction="sum" queryTableFieldId="38" dataDxfId="633" totalsRowDxfId="632"/>
    <tableColumn id="39" uniqueName="39" name="19" totalsRowFunction="sum" queryTableFieldId="39" dataDxfId="631" totalsRowDxfId="630"/>
    <tableColumn id="40" uniqueName="40" name="21" totalsRowFunction="sum" queryTableFieldId="40" dataDxfId="629" totalsRowDxfId="628"/>
    <tableColumn id="41" uniqueName="41" name="23" totalsRowFunction="sum" queryTableFieldId="41" dataDxfId="627" totalsRowDxfId="626"/>
    <tableColumn id="42" uniqueName="42" name="30" totalsRowFunction="sum" queryTableFieldId="42" dataDxfId="625" totalsRowDxfId="624"/>
    <tableColumn id="43" uniqueName="43" name="34" totalsRowFunction="sum" queryTableFieldId="43" dataDxfId="623" totalsRowDxfId="622"/>
    <tableColumn id="44" uniqueName="44" name="42" totalsRowFunction="sum" queryTableFieldId="44" dataDxfId="621" totalsRowDxfId="620"/>
    <tableColumn id="45" uniqueName="45" name="43" totalsRowFunction="sum" queryTableFieldId="45" dataDxfId="619" totalsRowDxfId="618"/>
    <tableColumn id="46" uniqueName="46" name="46" totalsRowFunction="sum" queryTableFieldId="46" dataDxfId="617" totalsRowDxfId="616"/>
    <tableColumn id="47" uniqueName="47" name="48" totalsRowFunction="sum" queryTableFieldId="47" dataDxfId="615" totalsRowDxfId="614"/>
    <tableColumn id="48" uniqueName="48" name="58" totalsRowFunction="sum" queryTableFieldId="48" dataDxfId="613" totalsRowDxfId="612"/>
    <tableColumn id="49" uniqueName="49" name="63" totalsRowFunction="sum" queryTableFieldId="49" dataDxfId="611" totalsRowDxfId="610"/>
    <tableColumn id="50" uniqueName="50" name="69" totalsRowFunction="sum" queryTableFieldId="50" dataDxfId="609" totalsRowDxfId="608"/>
    <tableColumn id="51" uniqueName="51" name="71" totalsRowFunction="sum" queryTableFieldId="51" dataDxfId="607" totalsRowDxfId="606"/>
    <tableColumn id="52" uniqueName="52" name="81" totalsRowFunction="sum" queryTableFieldId="52" dataDxfId="605" totalsRowDxfId="604"/>
    <tableColumn id="53" uniqueName="53" name="82" totalsRowFunction="sum" queryTableFieldId="53" dataDxfId="603" totalsRowDxfId="602"/>
    <tableColumn id="54" uniqueName="54" name="87" totalsRowFunction="sum" queryTableFieldId="54" dataDxfId="601" totalsRowDxfId="600"/>
    <tableColumn id="55" uniqueName="55" name="89" totalsRowFunction="sum" queryTableFieldId="55" dataDxfId="599" totalsRowDxfId="598"/>
    <tableColumn id="56" uniqueName="56" name="Autre Public" totalsRowFunction="sum" queryTableFieldId="56" dataDxfId="597" totalsRowDxfId="596"/>
    <tableColumn id="4" uniqueName="4" name="Motivation Cprog" queryTableFieldId="64" dataDxfId="595" totalsRowDxfId="594"/>
    <tableColumn id="57" uniqueName="57" name="Avis Cprog" queryTableFieldId="57" dataDxfId="593" totalsRowDxfId="592"/>
    <tableColumn id="58" uniqueName="58" name="NumDpt" queryTableFieldId="58" dataDxfId="591" totalsRowDxfId="590"/>
    <tableColumn id="59" uniqueName="59" name="NomReg" totalsRowFunction="count" queryTableFieldId="59" dataDxfId="589" totalsRowDxfId="58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" name="Tableau_Lancer_la_requête_à_partir_de_Export_Bdossiers593" displayName="Tableau_Lancer_la_requête_à_partir_de_Export_Bdossiers593" ref="A23:BC28" tableType="queryTable" totalsRowCount="1" headerRowDxfId="587" dataDxfId="586" totalsRowDxfId="585">
  <autoFilter ref="A23:BC27"/>
  <sortState ref="A20:BC23">
    <sortCondition ref="BA5:BA20"/>
  </sortState>
  <tableColumns count="55">
    <tableColumn id="5" uniqueName="5" name="Programme" queryTableFieldId="66" dataDxfId="584" totalsRowDxfId="583"/>
    <tableColumn id="1" uniqueName="1" name="ID_Synergie" totalsRowLabel="Total" queryTableFieldId="1" dataDxfId="582" totalsRowDxfId="581"/>
    <tableColumn id="2" uniqueName="2" name="Nom_MO" queryTableFieldId="2" dataDxfId="580" totalsRowDxfId="579"/>
    <tableColumn id="3" uniqueName="3" name="Intitule_Operation" queryTableFieldId="3" dataDxfId="578" totalsRowDxfId="577"/>
    <tableColumn id="9" uniqueName="9" name="Coût total Opération" totalsRowFunction="sum" queryTableFieldId="9" dataDxfId="576" totalsRowDxfId="575"/>
    <tableColumn id="10" uniqueName="10" name="Coût total Eligible FEDER" totalsRowFunction="sum" queryTableFieldId="10" dataDxfId="574" totalsRowDxfId="573"/>
    <tableColumn id="11" uniqueName="11" name="Part Publique" totalsRowFunction="sum" queryTableFieldId="11" dataDxfId="572" totalsRowDxfId="571"/>
    <tableColumn id="12" uniqueName="12" name="Tx Aide Publique" queryTableFieldId="12" dataDxfId="570" totalsRowDxfId="569"/>
    <tableColumn id="13" uniqueName="13" name="Part privée" totalsRowFunction="sum" queryTableFieldId="13" dataDxfId="568" totalsRowDxfId="567"/>
    <tableColumn id="14" uniqueName="14" name="Autofinancement" totalsRowFunction="sum" queryTableFieldId="14" dataDxfId="566" totalsRowDxfId="565"/>
    <tableColumn id="15" uniqueName="15" name="Tx Autofin" queryTableFieldId="15" dataDxfId="564" totalsRowDxfId="563"/>
    <tableColumn id="16" uniqueName="16" name="UE" totalsRowFunction="sum" queryTableFieldId="16" dataDxfId="562" totalsRowDxfId="561"/>
    <tableColumn id="17" uniqueName="17" name="Tx Aide FEDER" totalsRowFunction="sum" queryTableFieldId="17" dataDxfId="560" totalsRowDxfId="559"/>
    <tableColumn id="18" uniqueName="18" name="DPN" totalsRowFunction="sum" queryTableFieldId="18" dataDxfId="558" totalsRowDxfId="557"/>
    <tableColumn id="19" uniqueName="19" name="Total CR" totalsRowFunction="sum" queryTableFieldId="19" dataDxfId="556" totalsRowDxfId="555"/>
    <tableColumn id="20" uniqueName="20" name="Auvergne" totalsRowFunction="sum" queryTableFieldId="20" dataDxfId="554" totalsRowDxfId="553"/>
    <tableColumn id="21" uniqueName="21" name="Bourgogne" totalsRowFunction="sum" queryTableFieldId="21" dataDxfId="552" totalsRowDxfId="551"/>
    <tableColumn id="22" uniqueName="22" name="Languedoc-Roussillon" totalsRowFunction="sum" queryTableFieldId="22" dataDxfId="550" totalsRowDxfId="549"/>
    <tableColumn id="23" uniqueName="23" name="Limousin" totalsRowFunction="sum" queryTableFieldId="23" dataDxfId="548" totalsRowDxfId="547"/>
    <tableColumn id="24" uniqueName="24" name="Midi-Pyrénées" totalsRowFunction="sum" queryTableFieldId="24" dataDxfId="546" totalsRowDxfId="545"/>
    <tableColumn id="25" uniqueName="25" name="Rhône-Alpes" totalsRowFunction="sum" queryTableFieldId="25" dataDxfId="544" totalsRowDxfId="543"/>
    <tableColumn id="26" uniqueName="26" name="Total Etat" totalsRowFunction="sum" queryTableFieldId="26" dataDxfId="542" totalsRowDxfId="541"/>
    <tableColumn id="27" uniqueName="27" name="FNADT" totalsRowFunction="sum" queryTableFieldId="27" dataDxfId="540" totalsRowDxfId="539"/>
    <tableColumn id="28" uniqueName="28" name="Environnement" totalsRowFunction="sum" queryTableFieldId="28" dataDxfId="538" totalsRowDxfId="537"/>
    <tableColumn id="30" uniqueName="30" name="Agriculture" totalsRowFunction="sum" queryTableFieldId="30" dataDxfId="536" totalsRowDxfId="535"/>
    <tableColumn id="31" uniqueName="31" name="Autre Etat 3" totalsRowFunction="sum" queryTableFieldId="31" dataDxfId="534" totalsRowDxfId="533"/>
    <tableColumn id="32" uniqueName="32" name="Autre Etat Divers" totalsRowFunction="sum" queryTableFieldId="32" dataDxfId="532" totalsRowDxfId="531"/>
    <tableColumn id="33" uniqueName="33" name="Total CG" totalsRowFunction="sum" queryTableFieldId="33" dataDxfId="530" totalsRowDxfId="529"/>
    <tableColumn id="34" uniqueName="34" name="03" totalsRowFunction="sum" queryTableFieldId="34" dataDxfId="528" totalsRowDxfId="527"/>
    <tableColumn id="35" uniqueName="35" name="07" totalsRowFunction="sum" queryTableFieldId="35" dataDxfId="526" totalsRowDxfId="525"/>
    <tableColumn id="36" uniqueName="36" name="11" totalsRowFunction="sum" queryTableFieldId="36" dataDxfId="524" totalsRowDxfId="523"/>
    <tableColumn id="37" uniqueName="37" name="12" totalsRowFunction="sum" queryTableFieldId="37" dataDxfId="522" totalsRowDxfId="521"/>
    <tableColumn id="38" uniqueName="38" name="15" totalsRowFunction="sum" queryTableFieldId="38" dataDxfId="520" totalsRowDxfId="519"/>
    <tableColumn id="39" uniqueName="39" name="19" totalsRowFunction="sum" queryTableFieldId="39" dataDxfId="518" totalsRowDxfId="517"/>
    <tableColumn id="40" uniqueName="40" name="21" totalsRowFunction="sum" queryTableFieldId="40" dataDxfId="516" totalsRowDxfId="515"/>
    <tableColumn id="41" uniqueName="41" name="23" totalsRowFunction="sum" queryTableFieldId="41" dataDxfId="514" totalsRowDxfId="513"/>
    <tableColumn id="42" uniqueName="42" name="30" totalsRowFunction="sum" queryTableFieldId="42" dataDxfId="512" totalsRowDxfId="511"/>
    <tableColumn id="43" uniqueName="43" name="34" totalsRowFunction="sum" queryTableFieldId="43" dataDxfId="510" totalsRowDxfId="509"/>
    <tableColumn id="44" uniqueName="44" name="42" totalsRowFunction="sum" queryTableFieldId="44" dataDxfId="508" totalsRowDxfId="507"/>
    <tableColumn id="45" uniqueName="45" name="43" totalsRowFunction="sum" queryTableFieldId="45" dataDxfId="506" totalsRowDxfId="505"/>
    <tableColumn id="46" uniqueName="46" name="46" totalsRowFunction="sum" queryTableFieldId="46" dataDxfId="504" totalsRowDxfId="503"/>
    <tableColumn id="47" uniqueName="47" name="48" totalsRowFunction="sum" queryTableFieldId="47" dataDxfId="502" totalsRowDxfId="501"/>
    <tableColumn id="48" uniqueName="48" name="58" totalsRowFunction="sum" queryTableFieldId="48" dataDxfId="500" totalsRowDxfId="499"/>
    <tableColumn id="49" uniqueName="49" name="63" totalsRowFunction="sum" queryTableFieldId="49" dataDxfId="498" totalsRowDxfId="497"/>
    <tableColumn id="50" uniqueName="50" name="69" totalsRowFunction="sum" queryTableFieldId="50" dataDxfId="496" totalsRowDxfId="495"/>
    <tableColumn id="51" uniqueName="51" name="71" totalsRowFunction="sum" queryTableFieldId="51" dataDxfId="494" totalsRowDxfId="493"/>
    <tableColumn id="52" uniqueName="52" name="81" totalsRowFunction="sum" queryTableFieldId="52" dataDxfId="492" totalsRowDxfId="491"/>
    <tableColumn id="53" uniqueName="53" name="82" totalsRowFunction="sum" queryTableFieldId="53" dataDxfId="490" totalsRowDxfId="489"/>
    <tableColumn id="54" uniqueName="54" name="87" totalsRowFunction="sum" queryTableFieldId="54" dataDxfId="488" totalsRowDxfId="487"/>
    <tableColumn id="55" uniqueName="55" name="89" totalsRowFunction="sum" queryTableFieldId="55" dataDxfId="486" totalsRowDxfId="485"/>
    <tableColumn id="56" uniqueName="56" name="Autre Public" totalsRowFunction="sum" queryTableFieldId="56" dataDxfId="484" totalsRowDxfId="483"/>
    <tableColumn id="4" uniqueName="4" name="Motivation Cprog" queryTableFieldId="64" dataDxfId="482" totalsRowDxfId="481"/>
    <tableColumn id="57" uniqueName="57" name="Avis Cprog" queryTableFieldId="57" dataDxfId="480" totalsRowDxfId="479"/>
    <tableColumn id="58" uniqueName="58" name="NumDpt" queryTableFieldId="58" dataDxfId="478" totalsRowDxfId="477"/>
    <tableColumn id="59" uniqueName="59" name="NomReg" totalsRowFunction="count" queryTableFieldId="59" dataDxfId="476" totalsRowDxfId="47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3" name="Tableau_Lancer_la_requête_à_partir_de_Export_Bdossiers59614" displayName="Tableau_Lancer_la_requête_à_partir_de_Export_Bdossiers59614" ref="A90:BD92" tableType="queryTable" insertRow="1" totalsRowCount="1" headerRowDxfId="459" dataDxfId="458" totalsRowDxfId="457">
  <autoFilter ref="A90:BD91"/>
  <sortState ref="A48:BD48">
    <sortCondition ref="C47:C92"/>
  </sortState>
  <tableColumns count="56">
    <tableColumn id="29" uniqueName="29" name="Programme" queryTableFieldId="64" dataDxfId="456" totalsRowDxfId="455"/>
    <tableColumn id="60" uniqueName="60" name="Thematique" queryTableFieldId="65" dataDxfId="454" totalsRowDxfId="453"/>
    <tableColumn id="1" uniqueName="1" name="ID_Synergie" totalsRowLabel="Total" queryTableFieldId="1" dataDxfId="452" totalsRowDxfId="451"/>
    <tableColumn id="2" uniqueName="2" name="Nom_MO" queryTableFieldId="2" dataDxfId="450" totalsRowDxfId="449"/>
    <tableColumn id="3" uniqueName="3" name="Intitule_Operation" queryTableFieldId="3" dataDxfId="448" totalsRowDxfId="447"/>
    <tableColumn id="9" uniqueName="9" name="Coût total Opération" totalsRowFunction="sum" queryTableFieldId="9" dataDxfId="446" totalsRowDxfId="445"/>
    <tableColumn id="10" uniqueName="10" name="Coût total Eligible FEDER" totalsRowFunction="sum" queryTableFieldId="10" dataDxfId="444" totalsRowDxfId="443"/>
    <tableColumn id="11" uniqueName="11" name="Part Publique" totalsRowFunction="sum" queryTableFieldId="11" dataDxfId="442" totalsRowDxfId="441"/>
    <tableColumn id="12" uniqueName="12" name="Tx Aide Publique" queryTableFieldId="12" dataDxfId="440" totalsRowDxfId="439"/>
    <tableColumn id="13" uniqueName="13" name="Part privée" totalsRowFunction="sum" queryTableFieldId="13" dataDxfId="438" totalsRowDxfId="437"/>
    <tableColumn id="14" uniqueName="14" name="Autofinancement" totalsRowFunction="sum" queryTableFieldId="14" dataDxfId="436" totalsRowDxfId="435"/>
    <tableColumn id="15" uniqueName="15" name="Tx Autofin" queryTableFieldId="15" dataDxfId="434" totalsRowDxfId="433"/>
    <tableColumn id="16" uniqueName="16" name="UE" totalsRowFunction="sum" queryTableFieldId="16" dataDxfId="432" totalsRowDxfId="431"/>
    <tableColumn id="17" uniqueName="17" name="Tx Aide FEDER" queryTableFieldId="17" dataDxfId="430" totalsRowDxfId="429"/>
    <tableColumn id="18" uniqueName="18" name="DPN" totalsRowFunction="sum" queryTableFieldId="18" dataDxfId="428" totalsRowDxfId="427"/>
    <tableColumn id="19" uniqueName="19" name="Total CR" totalsRowFunction="sum" queryTableFieldId="19" dataDxfId="426" totalsRowDxfId="425"/>
    <tableColumn id="20" uniqueName="20" name="Auvergne" totalsRowFunction="sum" queryTableFieldId="20" dataDxfId="424" totalsRowDxfId="423"/>
    <tableColumn id="21" uniqueName="21" name="Bourgogne" totalsRowFunction="sum" queryTableFieldId="21" dataDxfId="422" totalsRowDxfId="421"/>
    <tableColumn id="22" uniqueName="22" name="Languedoc-Roussillon" totalsRowFunction="sum" queryTableFieldId="22" dataDxfId="420" totalsRowDxfId="419"/>
    <tableColumn id="23" uniqueName="23" name="Limousin" totalsRowFunction="sum" queryTableFieldId="23" dataDxfId="418" totalsRowDxfId="417"/>
    <tableColumn id="24" uniqueName="24" name="Midi-Pyrénées" totalsRowFunction="sum" queryTableFieldId="24" dataDxfId="416" totalsRowDxfId="415"/>
    <tableColumn id="25" uniqueName="25" name="Rhône-Alpes" totalsRowFunction="sum" queryTableFieldId="25" dataDxfId="414" totalsRowDxfId="413"/>
    <tableColumn id="26" uniqueName="26" name="Total Etat" totalsRowFunction="sum" queryTableFieldId="26" dataDxfId="412" totalsRowDxfId="411"/>
    <tableColumn id="27" uniqueName="27" name="FNADT" totalsRowFunction="sum" queryTableFieldId="27" dataDxfId="410" totalsRowDxfId="409"/>
    <tableColumn id="28" uniqueName="28" name="Environnement" totalsRowFunction="sum" queryTableFieldId="28" dataDxfId="408" totalsRowDxfId="407"/>
    <tableColumn id="30" uniqueName="30" name="Agriculture" totalsRowFunction="sum" queryTableFieldId="30" dataDxfId="406" totalsRowDxfId="405"/>
    <tableColumn id="31" uniqueName="31" name="Autre Etat 3" totalsRowFunction="sum" queryTableFieldId="31" dataDxfId="404" totalsRowDxfId="403"/>
    <tableColumn id="32" uniqueName="32" name="Autre Etat Divers" totalsRowFunction="sum" queryTableFieldId="32" dataDxfId="402" totalsRowDxfId="401"/>
    <tableColumn id="33" uniqueName="33" name="Total CG" totalsRowFunction="sum" queryTableFieldId="33" dataDxfId="400" totalsRowDxfId="399"/>
    <tableColumn id="34" uniqueName="34" name="03" totalsRowFunction="sum" queryTableFieldId="34" dataDxfId="398" totalsRowDxfId="397"/>
    <tableColumn id="35" uniqueName="35" name="07" totalsRowFunction="sum" queryTableFieldId="35" dataDxfId="396" totalsRowDxfId="395"/>
    <tableColumn id="36" uniqueName="36" name="11" totalsRowFunction="sum" queryTableFieldId="36" dataDxfId="394" totalsRowDxfId="393"/>
    <tableColumn id="37" uniqueName="37" name="12" totalsRowFunction="sum" queryTableFieldId="37" dataDxfId="392" totalsRowDxfId="391"/>
    <tableColumn id="38" uniqueName="38" name="15" totalsRowFunction="sum" queryTableFieldId="38" dataDxfId="390" totalsRowDxfId="389"/>
    <tableColumn id="39" uniqueName="39" name="19" totalsRowFunction="sum" queryTableFieldId="39" dataDxfId="388" totalsRowDxfId="387"/>
    <tableColumn id="40" uniqueName="40" name="21" totalsRowFunction="sum" queryTableFieldId="40" dataDxfId="386" totalsRowDxfId="385"/>
    <tableColumn id="41" uniqueName="41" name="23" totalsRowFunction="sum" queryTableFieldId="41" dataDxfId="384" totalsRowDxfId="383"/>
    <tableColumn id="42" uniqueName="42" name="30" totalsRowFunction="sum" queryTableFieldId="42" dataDxfId="382" totalsRowDxfId="381"/>
    <tableColumn id="43" uniqueName="43" name="34" totalsRowFunction="sum" queryTableFieldId="43" dataDxfId="380" totalsRowDxfId="379"/>
    <tableColumn id="44" uniqueName="44" name="42" totalsRowFunction="sum" queryTableFieldId="44" dataDxfId="378" totalsRowDxfId="377"/>
    <tableColumn id="45" uniqueName="45" name="43" totalsRowFunction="sum" queryTableFieldId="45" dataDxfId="376" totalsRowDxfId="375"/>
    <tableColumn id="46" uniqueName="46" name="46" totalsRowFunction="sum" queryTableFieldId="46" dataDxfId="374" totalsRowDxfId="373"/>
    <tableColumn id="47" uniqueName="47" name="48" totalsRowFunction="sum" queryTableFieldId="47" dataDxfId="372" totalsRowDxfId="371"/>
    <tableColumn id="48" uniqueName="48" name="58" totalsRowFunction="sum" queryTableFieldId="48" dataDxfId="370" totalsRowDxfId="369"/>
    <tableColumn id="49" uniqueName="49" name="63" totalsRowFunction="sum" queryTableFieldId="49" dataDxfId="368" totalsRowDxfId="367"/>
    <tableColumn id="50" uniqueName="50" name="69" totalsRowFunction="sum" queryTableFieldId="50" dataDxfId="366" totalsRowDxfId="365"/>
    <tableColumn id="51" uniqueName="51" name="71" totalsRowFunction="sum" queryTableFieldId="51" dataDxfId="364" totalsRowDxfId="363"/>
    <tableColumn id="52" uniqueName="52" name="81" totalsRowFunction="sum" queryTableFieldId="52" dataDxfId="362" totalsRowDxfId="361"/>
    <tableColumn id="53" uniqueName="53" name="82" totalsRowFunction="sum" queryTableFieldId="53" dataDxfId="360" totalsRowDxfId="359"/>
    <tableColumn id="54" uniqueName="54" name="87" totalsRowFunction="sum" queryTableFieldId="54" dataDxfId="358" totalsRowDxfId="357"/>
    <tableColumn id="55" uniqueName="55" name="89" totalsRowFunction="sum" queryTableFieldId="55" dataDxfId="356" totalsRowDxfId="355"/>
    <tableColumn id="56" uniqueName="56" name="Autre Public" totalsRowFunction="sum" queryTableFieldId="56" dataDxfId="354" totalsRowDxfId="353"/>
    <tableColumn id="4" uniqueName="4" name="Motivation Cprog" queryTableFieldId="68" dataDxfId="352" totalsRowDxfId="351"/>
    <tableColumn id="57" uniqueName="57" name="Avis Cprog" queryTableFieldId="57" dataDxfId="350" totalsRowDxfId="349"/>
    <tableColumn id="58" uniqueName="58" name="NumDpt" queryTableFieldId="58" dataDxfId="348" totalsRowDxfId="347"/>
    <tableColumn id="59" uniqueName="59" name="NomReg" queryTableFieldId="59" dataDxfId="346" totalsRowDxfId="34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leau_Lancer_la_requête_à_partir_de_Export_Bdossiers59615" displayName="Tableau_Lancer_la_requête_à_partir_de_Export_Bdossiers59615" ref="A62:BD80" tableType="queryTable" totalsRowCount="1" headerRowDxfId="344" dataDxfId="343" totalsRowDxfId="342">
  <autoFilter ref="A62:BD79"/>
  <sortState ref="A62:BD78">
    <sortCondition ref="B17:B36"/>
  </sortState>
  <tableColumns count="56">
    <tableColumn id="29" uniqueName="29" name="Programme" queryTableFieldId="64" dataDxfId="341" totalsRowDxfId="340"/>
    <tableColumn id="60" uniqueName="60" name="Thematique" queryTableFieldId="65" dataDxfId="339" totalsRowDxfId="338"/>
    <tableColumn id="1" uniqueName="1" name="ID_Synergie" totalsRowLabel="Total" queryTableFieldId="1" dataDxfId="337" totalsRowDxfId="336"/>
    <tableColumn id="2" uniqueName="2" name="Nom_MO" queryTableFieldId="2" dataDxfId="335" totalsRowDxfId="334"/>
    <tableColumn id="3" uniqueName="3" name="Intitule_Operation" queryTableFieldId="3" dataDxfId="333" totalsRowDxfId="332"/>
    <tableColumn id="9" uniqueName="9" name="Coût total Opération" totalsRowFunction="custom" queryTableFieldId="9" dataDxfId="331" totalsRowDxfId="330">
      <totalsRowFormula>SUMIF(Tableau_Lancer_la_requête_à_partir_de_Export_Bdossiers59615[Avis Cprog],"1-Favorable",Tableau_Lancer_la_requête_à_partir_de_Export_Bdossiers59615[Coût total Opération])</totalsRowFormula>
    </tableColumn>
    <tableColumn id="10" uniqueName="10" name="Coût total Eligible FEDER" totalsRowFunction="custom" queryTableFieldId="10" dataDxfId="329" totalsRowDxfId="328">
      <totalsRowFormula>SUMIF(Tableau_Lancer_la_requête_à_partir_de_Export_Bdossiers59615[Avis Cprog],"1-Favorable",Tableau_Lancer_la_requête_à_partir_de_Export_Bdossiers59615[Coût total Eligible FEDER])</totalsRowFormula>
    </tableColumn>
    <tableColumn id="11" uniqueName="11" name="Part Publique" totalsRowFunction="custom" queryTableFieldId="11" dataDxfId="327" totalsRowDxfId="326">
      <totalsRowFormula>SUMIF(Tableau_Lancer_la_requête_à_partir_de_Export_Bdossiers59615[NumDpt],"1-Favorable",Tableau_Lancer_la_requête_à_partir_de_Export_Bdossiers59615[Part Publique])</totalsRowFormula>
    </tableColumn>
    <tableColumn id="12" uniqueName="12" name="Tx Aide Publique" queryTableFieldId="12" dataDxfId="325" totalsRowDxfId="324"/>
    <tableColumn id="13" uniqueName="13" name="Part privée" totalsRowFunction="custom" queryTableFieldId="13" dataDxfId="323" totalsRowDxfId="322">
      <totalsRowFormula>SUMIF(Tableau_Lancer_la_requête_à_partir_de_Export_Bdossiers59615[Avis Cprog],"1-Favorable",Tableau_Lancer_la_requête_à_partir_de_Export_Bdossiers59615[Part privée])</totalsRowFormula>
    </tableColumn>
    <tableColumn id="14" uniqueName="14" name="Autofinancement" totalsRowFunction="custom" queryTableFieldId="14" dataDxfId="321" totalsRowDxfId="320">
      <totalsRowFormula>SUMIF(Tableau_Lancer_la_requête_à_partir_de_Export_Bdossiers59615[Avis Cprog],"1-Favorable",Tableau_Lancer_la_requête_à_partir_de_Export_Bdossiers59615[Autofinancement])</totalsRowFormula>
    </tableColumn>
    <tableColumn id="15" uniqueName="15" name="Tx Autofin" queryTableFieldId="15" dataDxfId="319" totalsRowDxfId="318"/>
    <tableColumn id="16" uniqueName="16" name="UE" totalsRowFunction="custom" queryTableFieldId="16" dataDxfId="317" totalsRowDxfId="316">
      <totalsRowFormula>SUMIF(Tableau_Lancer_la_requête_à_partir_de_Export_Bdossiers59615[Avis Cprog],"1-Favorable",Tableau_Lancer_la_requête_à_partir_de_Export_Bdossiers59615[UE])</totalsRowFormula>
    </tableColumn>
    <tableColumn id="17" uniqueName="17" name="Tx Aide FEDER" queryTableFieldId="17" dataDxfId="315" totalsRowDxfId="314"/>
    <tableColumn id="18" uniqueName="18" name="DPN" totalsRowFunction="custom" queryTableFieldId="18" dataDxfId="313" totalsRowDxfId="312">
      <totalsRowFormula>SUMIF(Tableau_Lancer_la_requête_à_partir_de_Export_Bdossiers59615[Avis Cprog],"1-Favorable",Tableau_Lancer_la_requête_à_partir_de_Export_Bdossiers59615[DPN])</totalsRowFormula>
    </tableColumn>
    <tableColumn id="19" uniqueName="19" name="Total CR" totalsRowFunction="custom" queryTableFieldId="19" dataDxfId="311" totalsRowDxfId="310">
      <totalsRowFormula>SUMIF(Tableau_Lancer_la_requête_à_partir_de_Export_Bdossiers59615[Avis Cprog],"1-Favorable",Tableau_Lancer_la_requête_à_partir_de_Export_Bdossiers59615[Total CR])</totalsRowFormula>
    </tableColumn>
    <tableColumn id="20" uniqueName="20" name="Auvergne" totalsRowFunction="custom" queryTableFieldId="20" dataDxfId="309" totalsRowDxfId="308">
      <totalsRowFormula>SUMIF(Tableau_Lancer_la_requête_à_partir_de_Export_Bdossiers59615[Avis Cprog],"1-Favorable",Tableau_Lancer_la_requête_à_partir_de_Export_Bdossiers59615[Auvergne])</totalsRowFormula>
    </tableColumn>
    <tableColumn id="21" uniqueName="21" name="Bourgogne" totalsRowFunction="custom" queryTableFieldId="21" dataDxfId="307" totalsRowDxfId="306">
      <totalsRowFormula>SUMIF(Tableau_Lancer_la_requête_à_partir_de_Export_Bdossiers59615[Avis Cprog],"1-Favorable",Tableau_Lancer_la_requête_à_partir_de_Export_Bdossiers59615[Bourgogne])</totalsRowFormula>
    </tableColumn>
    <tableColumn id="22" uniqueName="22" name="Languedoc-Roussillon" totalsRowFunction="custom" queryTableFieldId="22" dataDxfId="305" totalsRowDxfId="304">
      <totalsRowFormula>SUMIF(Tableau_Lancer_la_requête_à_partir_de_Export_Bdossiers59615[Avis Cprog],"1-Favorable",Tableau_Lancer_la_requête_à_partir_de_Export_Bdossiers59615[Languedoc-Roussillon])</totalsRowFormula>
    </tableColumn>
    <tableColumn id="23" uniqueName="23" name="Limousin" totalsRowFunction="custom" queryTableFieldId="23" dataDxfId="303" totalsRowDxfId="302">
      <totalsRowFormula>SUMIF(Tableau_Lancer_la_requête_à_partir_de_Export_Bdossiers59615[Avis Cprog],"1-Favorable",Tableau_Lancer_la_requête_à_partir_de_Export_Bdossiers59615[Limousin])</totalsRowFormula>
    </tableColumn>
    <tableColumn id="24" uniqueName="24" name="Midi-Pyrénées" totalsRowFunction="custom" queryTableFieldId="24" dataDxfId="301" totalsRowDxfId="300">
      <totalsRowFormula>SUMIF(Tableau_Lancer_la_requête_à_partir_de_Export_Bdossiers59615[Avis Cprog],"1-Favorable",Tableau_Lancer_la_requête_à_partir_de_Export_Bdossiers59615[Midi-Pyrénées])</totalsRowFormula>
    </tableColumn>
    <tableColumn id="25" uniqueName="25" name="Rhône-Alpes" totalsRowFunction="custom" queryTableFieldId="25" dataDxfId="299" totalsRowDxfId="298">
      <totalsRowFormula>SUMIF(Tableau_Lancer_la_requête_à_partir_de_Export_Bdossiers59615[Avis Cprog],"1-Favorable",Tableau_Lancer_la_requête_à_partir_de_Export_Bdossiers59615[Rhône-Alpes])</totalsRowFormula>
    </tableColumn>
    <tableColumn id="26" uniqueName="26" name="Total Etat" totalsRowFunction="custom" queryTableFieldId="26" dataDxfId="297" totalsRowDxfId="296">
      <totalsRowFormula>SUMIF(Tableau_Lancer_la_requête_à_partir_de_Export_Bdossiers59615[Avis Cprog],"1-Favorable",Tableau_Lancer_la_requête_à_partir_de_Export_Bdossiers59615[Total Etat])</totalsRowFormula>
    </tableColumn>
    <tableColumn id="27" uniqueName="27" name="FNADT" totalsRowFunction="custom" queryTableFieldId="27" dataDxfId="295" totalsRowDxfId="294">
      <totalsRowFormula>SUMIF(Tableau_Lancer_la_requête_à_partir_de_Export_Bdossiers59615[Avis Cprog],"1-Favorable",Tableau_Lancer_la_requête_à_partir_de_Export_Bdossiers59615[FNADT])</totalsRowFormula>
    </tableColumn>
    <tableColumn id="28" uniqueName="28" name="Environnement" totalsRowFunction="custom" queryTableFieldId="28" dataDxfId="293" totalsRowDxfId="292">
      <totalsRowFormula>SUMIF(Tableau_Lancer_la_requête_à_partir_de_Export_Bdossiers59615[Avis Cprog],"1-Favorable",Tableau_Lancer_la_requête_à_partir_de_Export_Bdossiers59615[Environnement])</totalsRowFormula>
    </tableColumn>
    <tableColumn id="30" uniqueName="30" name="Agriculture" totalsRowFunction="custom" queryTableFieldId="30" dataDxfId="291" totalsRowDxfId="290">
      <totalsRowFormula>SUMIF(Tableau_Lancer_la_requête_à_partir_de_Export_Bdossiers59615[Avis Cprog],"1-Favorable",Tableau_Lancer_la_requête_à_partir_de_Export_Bdossiers59615[Agriculture])</totalsRowFormula>
    </tableColumn>
    <tableColumn id="31" uniqueName="31" name="Autre Etat 3" totalsRowFunction="custom" queryTableFieldId="31" dataDxfId="289" totalsRowDxfId="288">
      <totalsRowFormula>SUMIF(Tableau_Lancer_la_requête_à_partir_de_Export_Bdossiers59615[Avis Cprog],"1-Favorable",Tableau_Lancer_la_requête_à_partir_de_Export_Bdossiers59615[Autre Etat 3])</totalsRowFormula>
    </tableColumn>
    <tableColumn id="32" uniqueName="32" name="Autre Etat Divers" totalsRowFunction="custom" queryTableFieldId="32" dataDxfId="287" totalsRowDxfId="286">
      <totalsRowFormula>SUMIF(Tableau_Lancer_la_requête_à_partir_de_Export_Bdossiers59615[Avis Cprog],"1-Favorable",Tableau_Lancer_la_requête_à_partir_de_Export_Bdossiers59615[Autre Etat Divers])</totalsRowFormula>
    </tableColumn>
    <tableColumn id="33" uniqueName="33" name="Total CG" totalsRowFunction="custom" queryTableFieldId="33" dataDxfId="285" totalsRowDxfId="284">
      <totalsRowFormula>SUMIF(Tableau_Lancer_la_requête_à_partir_de_Export_Bdossiers59615[Avis Cprog],"1-Favorable",Tableau_Lancer_la_requête_à_partir_de_Export_Bdossiers59615[Total CG])</totalsRowFormula>
    </tableColumn>
    <tableColumn id="34" uniqueName="34" name="03" totalsRowFunction="custom" queryTableFieldId="34" dataDxfId="283" totalsRowDxfId="282">
      <totalsRowFormula>SUMIF(Tableau_Lancer_la_requête_à_partir_de_Export_Bdossiers59615[Avis Cprog],"1-Favorable",Tableau_Lancer_la_requête_à_partir_de_Export_Bdossiers59615[UE])</totalsRowFormula>
    </tableColumn>
    <tableColumn id="35" uniqueName="35" name="07" totalsRowFunction="custom" queryTableFieldId="35" dataDxfId="281" totalsRowDxfId="280">
      <totalsRowFormula>SUMIF(Tableau_Lancer_la_requête_à_partir_de_Export_Bdossiers59615[Avis Cprog],"1-Favorable",Tableau_Lancer_la_requête_à_partir_de_Export_Bdossiers59615[UE])</totalsRowFormula>
    </tableColumn>
    <tableColumn id="36" uniqueName="36" name="11" totalsRowFunction="custom" queryTableFieldId="36" dataDxfId="279" totalsRowDxfId="278">
      <totalsRowFormula>SUMIF(Tableau_Lancer_la_requête_à_partir_de_Export_Bdossiers59615[Avis Cprog],"1-Favorable",Tableau_Lancer_la_requête_à_partir_de_Export_Bdossiers59615[UE])</totalsRowFormula>
    </tableColumn>
    <tableColumn id="37" uniqueName="37" name="12" totalsRowFunction="custom" queryTableFieldId="37" dataDxfId="277" totalsRowDxfId="276">
      <totalsRowFormula>SUMIF(Tableau_Lancer_la_requête_à_partir_de_Export_Bdossiers59615[Avis Cprog],"1-Favorable",Tableau_Lancer_la_requête_à_partir_de_Export_Bdossiers59615[UE])</totalsRowFormula>
    </tableColumn>
    <tableColumn id="38" uniqueName="38" name="15" totalsRowFunction="custom" queryTableFieldId="38" dataDxfId="275" totalsRowDxfId="274">
      <totalsRowFormula>SUMIF(Tableau_Lancer_la_requête_à_partir_de_Export_Bdossiers59615[Avis Cprog],"1-Favorable",Tableau_Lancer_la_requête_à_partir_de_Export_Bdossiers59615[UE])</totalsRowFormula>
    </tableColumn>
    <tableColumn id="39" uniqueName="39" name="19" totalsRowFunction="custom" queryTableFieldId="39" dataDxfId="273" totalsRowDxfId="272">
      <totalsRowFormula>SUMIF(Tableau_Lancer_la_requête_à_partir_de_Export_Bdossiers59615[Avis Cprog],"1-Favorable",Tableau_Lancer_la_requête_à_partir_de_Export_Bdossiers59615[UE])</totalsRowFormula>
    </tableColumn>
    <tableColumn id="40" uniqueName="40" name="21" totalsRowFunction="custom" queryTableFieldId="40" dataDxfId="271" totalsRowDxfId="270">
      <totalsRowFormula>SUMIF(Tableau_Lancer_la_requête_à_partir_de_Export_Bdossiers59615[Avis Cprog],"1-Favorable",Tableau_Lancer_la_requête_à_partir_de_Export_Bdossiers59615[UE])</totalsRowFormula>
    </tableColumn>
    <tableColumn id="41" uniqueName="41" name="23" totalsRowFunction="custom" queryTableFieldId="41" dataDxfId="269" totalsRowDxfId="268">
      <totalsRowFormula>SUMIF(Tableau_Lancer_la_requête_à_partir_de_Export_Bdossiers59615[Avis Cprog],"1-Favorable",Tableau_Lancer_la_requête_à_partir_de_Export_Bdossiers59615[UE])</totalsRowFormula>
    </tableColumn>
    <tableColumn id="42" uniqueName="42" name="30" totalsRowFunction="custom" queryTableFieldId="42" dataDxfId="267" totalsRowDxfId="266">
      <totalsRowFormula>SUMIF(Tableau_Lancer_la_requête_à_partir_de_Export_Bdossiers59615[Avis Cprog],"1-Favorable",Tableau_Lancer_la_requête_à_partir_de_Export_Bdossiers59615[UE])</totalsRowFormula>
    </tableColumn>
    <tableColumn id="43" uniqueName="43" name="34" totalsRowFunction="custom" queryTableFieldId="43" dataDxfId="265" totalsRowDxfId="264">
      <totalsRowFormula>SUMIF(Tableau_Lancer_la_requête_à_partir_de_Export_Bdossiers59615[Avis Cprog],"1-Favorable",Tableau_Lancer_la_requête_à_partir_de_Export_Bdossiers59615[UE])</totalsRowFormula>
    </tableColumn>
    <tableColumn id="44" uniqueName="44" name="42" totalsRowFunction="custom" queryTableFieldId="44" dataDxfId="263" totalsRowDxfId="262">
      <totalsRowFormula>SUMIF(Tableau_Lancer_la_requête_à_partir_de_Export_Bdossiers59615[Avis Cprog],"1-Favorable",Tableau_Lancer_la_requête_à_partir_de_Export_Bdossiers59615[UE])</totalsRowFormula>
    </tableColumn>
    <tableColumn id="45" uniqueName="45" name="43" totalsRowFunction="custom" queryTableFieldId="45" dataDxfId="261" totalsRowDxfId="260">
      <totalsRowFormula>SUMIF(Tableau_Lancer_la_requête_à_partir_de_Export_Bdossiers59615[Avis Cprog],"1-Favorable",Tableau_Lancer_la_requête_à_partir_de_Export_Bdossiers59615[UE])</totalsRowFormula>
    </tableColumn>
    <tableColumn id="46" uniqueName="46" name="46" totalsRowFunction="custom" queryTableFieldId="46" dataDxfId="259" totalsRowDxfId="258">
      <totalsRowFormula>SUMIF(Tableau_Lancer_la_requête_à_partir_de_Export_Bdossiers59615[Avis Cprog],"1-Favorable",Tableau_Lancer_la_requête_à_partir_de_Export_Bdossiers59615[UE])</totalsRowFormula>
    </tableColumn>
    <tableColumn id="47" uniqueName="47" name="48" totalsRowFunction="custom" queryTableFieldId="47" dataDxfId="257" totalsRowDxfId="256">
      <totalsRowFormula>SUMIF(Tableau_Lancer_la_requête_à_partir_de_Export_Bdossiers59615[Avis Cprog],"1-Favorable",Tableau_Lancer_la_requête_à_partir_de_Export_Bdossiers59615[UE])</totalsRowFormula>
    </tableColumn>
    <tableColumn id="48" uniqueName="48" name="58" totalsRowFunction="custom" queryTableFieldId="48" dataDxfId="255" totalsRowDxfId="254">
      <totalsRowFormula>SUMIF(Tableau_Lancer_la_requête_à_partir_de_Export_Bdossiers59615[Avis Cprog],"1-Favorable",Tableau_Lancer_la_requête_à_partir_de_Export_Bdossiers59615[UE])</totalsRowFormula>
    </tableColumn>
    <tableColumn id="49" uniqueName="49" name="63" totalsRowFunction="custom" queryTableFieldId="49" dataDxfId="253" totalsRowDxfId="252">
      <totalsRowFormula>SUMIF(Tableau_Lancer_la_requête_à_partir_de_Export_Bdossiers59615[Avis Cprog],"1-Favorable",Tableau_Lancer_la_requête_à_partir_de_Export_Bdossiers59615[UE])</totalsRowFormula>
    </tableColumn>
    <tableColumn id="50" uniqueName="50" name="69" totalsRowFunction="custom" queryTableFieldId="50" dataDxfId="251" totalsRowDxfId="250">
      <totalsRowFormula>SUMIF(Tableau_Lancer_la_requête_à_partir_de_Export_Bdossiers59615[Avis Cprog],"1-Favorable",Tableau_Lancer_la_requête_à_partir_de_Export_Bdossiers59615[UE])</totalsRowFormula>
    </tableColumn>
    <tableColumn id="51" uniqueName="51" name="71" totalsRowFunction="custom" queryTableFieldId="51" dataDxfId="249" totalsRowDxfId="248">
      <totalsRowFormula>SUMIF(Tableau_Lancer_la_requête_à_partir_de_Export_Bdossiers59615[Avis Cprog],"1-Favorable",Tableau_Lancer_la_requête_à_partir_de_Export_Bdossiers59615[UE])</totalsRowFormula>
    </tableColumn>
    <tableColumn id="52" uniqueName="52" name="81" totalsRowFunction="custom" queryTableFieldId="52" dataDxfId="247" totalsRowDxfId="246">
      <totalsRowFormula>SUMIF(Tableau_Lancer_la_requête_à_partir_de_Export_Bdossiers59615[Avis Cprog],"1-Favorable",Tableau_Lancer_la_requête_à_partir_de_Export_Bdossiers59615[UE])</totalsRowFormula>
    </tableColumn>
    <tableColumn id="53" uniqueName="53" name="82" totalsRowFunction="custom" queryTableFieldId="53" dataDxfId="245" totalsRowDxfId="244">
      <totalsRowFormula>SUMIF(Tableau_Lancer_la_requête_à_partir_de_Export_Bdossiers59615[Avis Cprog],"1-Favorable",Tableau_Lancer_la_requête_à_partir_de_Export_Bdossiers59615[UE])</totalsRowFormula>
    </tableColumn>
    <tableColumn id="54" uniqueName="54" name="87" totalsRowFunction="custom" queryTableFieldId="54" dataDxfId="243" totalsRowDxfId="242">
      <totalsRowFormula>SUMIF(Tableau_Lancer_la_requête_à_partir_de_Export_Bdossiers59615[Avis Cprog],"1-Favorable",Tableau_Lancer_la_requête_à_partir_de_Export_Bdossiers59615[UE])</totalsRowFormula>
    </tableColumn>
    <tableColumn id="55" uniqueName="55" name="89" totalsRowFunction="custom" queryTableFieldId="55" dataDxfId="241" totalsRowDxfId="240">
      <totalsRowFormula>SUMIF(Tableau_Lancer_la_requête_à_partir_de_Export_Bdossiers59615[Avis Cprog],"1-Favorable",Tableau_Lancer_la_requête_à_partir_de_Export_Bdossiers59615[UE])</totalsRowFormula>
    </tableColumn>
    <tableColumn id="56" uniqueName="56" name="Autre Public" totalsRowFunction="custom" queryTableFieldId="56" dataDxfId="239" totalsRowDxfId="238">
      <totalsRowFormula>SUMIF(Tableau_Lancer_la_requête_à_partir_de_Export_Bdossiers59615[Avis Cprog],"1-Favorable",Tableau_Lancer_la_requête_à_partir_de_Export_Bdossiers59615[UE])</totalsRowFormula>
    </tableColumn>
    <tableColumn id="4" uniqueName="4" name="Motivation Cprog" queryTableFieldId="69" dataDxfId="237" totalsRowDxfId="236"/>
    <tableColumn id="57" uniqueName="57" name="Avis Cprog" queryTableFieldId="57" dataDxfId="235" totalsRowDxfId="234"/>
    <tableColumn id="58" uniqueName="58" name="NumDpt" queryTableFieldId="58" dataDxfId="233" totalsRowDxfId="232"/>
    <tableColumn id="59" uniqueName="59" name="NomReg" queryTableFieldId="59" dataDxfId="231" totalsRowDxfId="23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leau_Lancer_la_requête_à_partir_de_Export_Bdossiers5961516" displayName="Tableau_Lancer_la_requête_à_partir_de_Export_Bdossiers5961516" ref="A5:BD58" tableType="queryTable" totalsRowCount="1" headerRowDxfId="229" dataDxfId="228" totalsRowDxfId="227">
  <autoFilter ref="A5:BD57"/>
  <sortState ref="A6:BD56">
    <sortCondition ref="C5:C45"/>
  </sortState>
  <tableColumns count="56">
    <tableColumn id="29" uniqueName="29" name="Programme" queryTableFieldId="64" dataDxfId="226" totalsRowDxfId="225"/>
    <tableColumn id="60" uniqueName="60" name="Thematique" queryTableFieldId="65" dataDxfId="224" totalsRowDxfId="223"/>
    <tableColumn id="1" uniqueName="1" name="ID_Synergie" totalsRowLabel="Total" queryTableFieldId="1" dataDxfId="222" totalsRowDxfId="221"/>
    <tableColumn id="2" uniqueName="2" name="Nom_MO" queryTableFieldId="2" dataDxfId="220" totalsRowDxfId="219"/>
    <tableColumn id="3" uniqueName="3" name="Intitule_Operation" queryTableFieldId="3" dataDxfId="218" totalsRowDxfId="217"/>
    <tableColumn id="9" uniqueName="9" name="Coût total Opération" totalsRowFunction="custom" queryTableFieldId="9" dataDxfId="216" totalsRowDxfId="215">
      <totalsRowFormula>SUMIF(Tableau_Lancer_la_requête_à_partir_de_Export_Bdossiers5961516[Avis Cprog],"1-Favorable",Tableau_Lancer_la_requête_à_partir_de_Export_Bdossiers5961516[Coût total Opération])</totalsRowFormula>
    </tableColumn>
    <tableColumn id="10" uniqueName="10" name="Coût total Eligible FEDER" totalsRowFunction="custom" queryTableFieldId="10" dataDxfId="214" totalsRowDxfId="213">
      <totalsRowFormula>SUMIF(Tableau_Lancer_la_requête_à_partir_de_Export_Bdossiers5961516[Avis Cprog],"1-Favorable",Tableau_Lancer_la_requête_à_partir_de_Export_Bdossiers5961516[Coût total Eligible FEDER])</totalsRowFormula>
    </tableColumn>
    <tableColumn id="11" uniqueName="11" name="Part Publique" totalsRowFunction="custom" queryTableFieldId="11" dataDxfId="212" totalsRowDxfId="211">
      <totalsRowFormula>SUMIF(Tableau_Lancer_la_requête_à_partir_de_Export_Bdossiers5961516[Avis Cprog],"1-Favorable",Tableau_Lancer_la_requête_à_partir_de_Export_Bdossiers5961516[Part Publique])</totalsRowFormula>
    </tableColumn>
    <tableColumn id="12" uniqueName="12" name="Tx Aide Publique" queryTableFieldId="12" dataDxfId="210" totalsRowDxfId="209"/>
    <tableColumn id="13" uniqueName="13" name="Part privée" totalsRowFunction="custom" queryTableFieldId="13" dataDxfId="208" totalsRowDxfId="207">
      <totalsRowFormula>SUMIF(Tableau_Lancer_la_requête_à_partir_de_Export_Bdossiers5961516[Avis Cprog],"1-Favorable",Tableau_Lancer_la_requête_à_partir_de_Export_Bdossiers5961516[Part privée])</totalsRowFormula>
    </tableColumn>
    <tableColumn id="14" uniqueName="14" name="Autofinancement" totalsRowFunction="custom" queryTableFieldId="14" dataDxfId="206" totalsRowDxfId="205">
      <totalsRowFormula>SUMIF(Tableau_Lancer_la_requête_à_partir_de_Export_Bdossiers5961516[Avis Cprog],"1-Favorable",Tableau_Lancer_la_requête_à_partir_de_Export_Bdossiers5961516[Autofinancement])</totalsRowFormula>
    </tableColumn>
    <tableColumn id="15" uniqueName="15" name="Tx Autofin" queryTableFieldId="15" dataDxfId="204" totalsRowDxfId="203"/>
    <tableColumn id="16" uniqueName="16" name="UE" totalsRowFunction="custom" queryTableFieldId="16" dataDxfId="202" totalsRowDxfId="201">
      <totalsRowFormula>SUMIF(Tableau_Lancer_la_requête_à_partir_de_Export_Bdossiers5961516[Avis Cprog],"1-Favorable",Tableau_Lancer_la_requête_à_partir_de_Export_Bdossiers5961516[UE])</totalsRowFormula>
    </tableColumn>
    <tableColumn id="17" uniqueName="17" name="Tx Aide FEDER" queryTableFieldId="17" dataDxfId="200" totalsRowDxfId="199"/>
    <tableColumn id="18" uniqueName="18" name="DPN" totalsRowFunction="custom" queryTableFieldId="18" dataDxfId="198" totalsRowDxfId="197">
      <totalsRowFormula>SUMIF(Tableau_Lancer_la_requête_à_partir_de_Export_Bdossiers5961516[Avis Cprog],"1-Favorable",Tableau_Lancer_la_requête_à_partir_de_Export_Bdossiers5961516[DPN])</totalsRowFormula>
    </tableColumn>
    <tableColumn id="19" uniqueName="19" name="Total CR" totalsRowFunction="custom" queryTableFieldId="19" dataDxfId="196" totalsRowDxfId="195">
      <totalsRowFormula>SUMIF(Tableau_Lancer_la_requête_à_partir_de_Export_Bdossiers5961516[Avis Cprog],"1-Favorable",Tableau_Lancer_la_requête_à_partir_de_Export_Bdossiers5961516[Total CR])</totalsRowFormula>
    </tableColumn>
    <tableColumn id="20" uniqueName="20" name="Auvergne" totalsRowFunction="sum" queryTableFieldId="20" dataDxfId="194" totalsRowDxfId="193"/>
    <tableColumn id="21" uniqueName="21" name="Bourgogne" totalsRowFunction="sum" queryTableFieldId="21" dataDxfId="192" totalsRowDxfId="191"/>
    <tableColumn id="22" uniqueName="22" name="Languedoc-Roussillon" totalsRowFunction="sum" queryTableFieldId="22" dataDxfId="190" totalsRowDxfId="189"/>
    <tableColumn id="23" uniqueName="23" name="Limousin" totalsRowFunction="sum" queryTableFieldId="23" dataDxfId="188" totalsRowDxfId="187"/>
    <tableColumn id="24" uniqueName="24" name="Midi-Pyrénées" totalsRowFunction="sum" queryTableFieldId="24" dataDxfId="186" totalsRowDxfId="185"/>
    <tableColumn id="25" uniqueName="25" name="Rhône-Alpes" totalsRowFunction="sum" queryTableFieldId="25" dataDxfId="184" totalsRowDxfId="183"/>
    <tableColumn id="26" uniqueName="26" name="Total Etat" totalsRowFunction="custom" queryTableFieldId="26" dataDxfId="182" totalsRowDxfId="181">
      <totalsRowFormula>SUMIF(Tableau_Lancer_la_requête_à_partir_de_Export_Bdossiers5961516[Avis Cprog],"1-Favorable",Tableau_Lancer_la_requête_à_partir_de_Export_Bdossiers5961516[Total Etat])</totalsRowFormula>
    </tableColumn>
    <tableColumn id="27" uniqueName="27" name="FNADT" totalsRowFunction="sum" queryTableFieldId="27" dataDxfId="180" totalsRowDxfId="179"/>
    <tableColumn id="28" uniqueName="28" name="Environnement" totalsRowFunction="sum" queryTableFieldId="28" dataDxfId="178" totalsRowDxfId="177"/>
    <tableColumn id="30" uniqueName="30" name="Agriculture" totalsRowFunction="sum" queryTableFieldId="30" dataDxfId="176" totalsRowDxfId="175"/>
    <tableColumn id="31" uniqueName="31" name="Autre Etat 3" totalsRowFunction="sum" queryTableFieldId="31" dataDxfId="174" totalsRowDxfId="173"/>
    <tableColumn id="32" uniqueName="32" name="Autre Etat Divers" totalsRowFunction="sum" queryTableFieldId="32" dataDxfId="172" totalsRowDxfId="171"/>
    <tableColumn id="33" uniqueName="33" name="Total CG" totalsRowFunction="custom" queryTableFieldId="33" dataDxfId="170" totalsRowDxfId="169">
      <totalsRowFormula>SUMIF(Tableau_Lancer_la_requête_à_partir_de_Export_Bdossiers5961516[Avis Cprog],"1-Favorable",Tableau_Lancer_la_requête_à_partir_de_Export_Bdossiers5961516[Total CG])</totalsRowFormula>
    </tableColumn>
    <tableColumn id="34" uniqueName="34" name="03" totalsRowFunction="sum" queryTableFieldId="34" dataDxfId="168" totalsRowDxfId="167"/>
    <tableColumn id="35" uniqueName="35" name="07" totalsRowFunction="sum" queryTableFieldId="35" dataDxfId="166" totalsRowDxfId="165"/>
    <tableColumn id="36" uniqueName="36" name="11" totalsRowFunction="sum" queryTableFieldId="36" dataDxfId="164" totalsRowDxfId="163"/>
    <tableColumn id="37" uniqueName="37" name="12" totalsRowFunction="sum" queryTableFieldId="37" dataDxfId="162" totalsRowDxfId="161"/>
    <tableColumn id="38" uniqueName="38" name="15" totalsRowFunction="sum" queryTableFieldId="38" dataDxfId="160" totalsRowDxfId="159"/>
    <tableColumn id="39" uniqueName="39" name="19" totalsRowFunction="sum" queryTableFieldId="39" dataDxfId="158" totalsRowDxfId="157"/>
    <tableColumn id="40" uniqueName="40" name="21" totalsRowFunction="sum" queryTableFieldId="40" dataDxfId="156" totalsRowDxfId="155"/>
    <tableColumn id="41" uniqueName="41" name="23" totalsRowFunction="sum" queryTableFieldId="41" dataDxfId="154" totalsRowDxfId="153"/>
    <tableColumn id="42" uniqueName="42" name="30" totalsRowFunction="sum" queryTableFieldId="42" dataDxfId="152" totalsRowDxfId="151"/>
    <tableColumn id="43" uniqueName="43" name="34" totalsRowFunction="sum" queryTableFieldId="43" dataDxfId="150" totalsRowDxfId="149"/>
    <tableColumn id="44" uniqueName="44" name="42" totalsRowFunction="sum" queryTableFieldId="44" dataDxfId="148" totalsRowDxfId="147"/>
    <tableColumn id="45" uniqueName="45" name="43" totalsRowFunction="sum" queryTableFieldId="45" dataDxfId="146" totalsRowDxfId="145"/>
    <tableColumn id="46" uniqueName="46" name="46" totalsRowFunction="sum" queryTableFieldId="46" dataDxfId="144" totalsRowDxfId="143"/>
    <tableColumn id="47" uniqueName="47" name="48" totalsRowFunction="sum" queryTableFieldId="47" dataDxfId="142" totalsRowDxfId="141"/>
    <tableColumn id="48" uniqueName="48" name="58" totalsRowFunction="sum" queryTableFieldId="48" dataDxfId="140" totalsRowDxfId="139"/>
    <tableColumn id="49" uniqueName="49" name="63" totalsRowFunction="sum" queryTableFieldId="49" dataDxfId="138" totalsRowDxfId="137"/>
    <tableColumn id="50" uniqueName="50" name="69" totalsRowFunction="sum" queryTableFieldId="50" dataDxfId="136" totalsRowDxfId="135"/>
    <tableColumn id="51" uniqueName="51" name="71" totalsRowFunction="sum" queryTableFieldId="51" dataDxfId="134" totalsRowDxfId="133"/>
    <tableColumn id="52" uniqueName="52" name="81" totalsRowFunction="sum" queryTableFieldId="52" dataDxfId="132" totalsRowDxfId="131"/>
    <tableColumn id="53" uniqueName="53" name="82" totalsRowFunction="sum" queryTableFieldId="53" dataDxfId="130" totalsRowDxfId="129"/>
    <tableColumn id="54" uniqueName="54" name="87" totalsRowFunction="sum" queryTableFieldId="54" dataDxfId="128" totalsRowDxfId="127"/>
    <tableColumn id="55" uniqueName="55" name="89" totalsRowFunction="sum" queryTableFieldId="55" dataDxfId="126" totalsRowDxfId="125"/>
    <tableColumn id="56" uniqueName="56" name="Autre Public" totalsRowFunction="custom" queryTableFieldId="56" dataDxfId="124" totalsRowDxfId="123">
      <totalsRowFormula>SUMIF(Tableau_Lancer_la_requête_à_partir_de_Export_Bdossiers5961516[Avis Cprog],"1-Favorable",Tableau_Lancer_la_requête_à_partir_de_Export_Bdossiers5961516[Autre Public])</totalsRowFormula>
    </tableColumn>
    <tableColumn id="4" uniqueName="4" name="Motivation Cprog" queryTableFieldId="68" dataDxfId="122" totalsRowDxfId="121"/>
    <tableColumn id="57" uniqueName="57" name="Avis Cprog" queryTableFieldId="57" dataDxfId="120" totalsRowDxfId="119"/>
    <tableColumn id="58" uniqueName="58" name="NumDpt" queryTableFieldId="58" dataDxfId="118" totalsRowDxfId="117"/>
    <tableColumn id="59" uniqueName="59" name="NomReg" totalsRowFunction="count" queryTableFieldId="59" dataDxfId="116" totalsRowDxfId="1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BL47"/>
  <sheetViews>
    <sheetView tabSelected="1" zoomScaleNormal="100" workbookViewId="0">
      <selection activeCell="C12" sqref="C12"/>
    </sheetView>
  </sheetViews>
  <sheetFormatPr baseColWidth="10" defaultColWidth="16.5703125" defaultRowHeight="15.75" outlineLevelCol="1" x14ac:dyDescent="0.25"/>
  <cols>
    <col min="1" max="1" width="16.5703125" style="31"/>
    <col min="2" max="2" width="10.28515625" style="31" customWidth="1"/>
    <col min="3" max="3" width="57.28515625" style="31" customWidth="1"/>
    <col min="4" max="4" width="59.140625" style="31" customWidth="1"/>
    <col min="5" max="5" width="16.5703125" style="31" customWidth="1"/>
    <col min="6" max="6" width="16.5703125" style="32" customWidth="1"/>
    <col min="7" max="7" width="16.5703125" style="31" customWidth="1"/>
    <col min="8" max="8" width="16.5703125" style="32" customWidth="1"/>
    <col min="9" max="11" width="16.5703125" style="31" customWidth="1"/>
    <col min="12" max="12" width="16.5703125" style="32" customWidth="1"/>
    <col min="13" max="14" width="16.5703125" style="31"/>
    <col min="15" max="15" width="16.5703125" style="32"/>
    <col min="16" max="16" width="0" style="31" hidden="1" customWidth="1" outlineLevel="1"/>
    <col min="17" max="17" width="0" style="32" hidden="1" customWidth="1" outlineLevel="1"/>
    <col min="18" max="20" width="0" style="31" hidden="1" customWidth="1" outlineLevel="1"/>
    <col min="21" max="21" width="0" style="31" hidden="1" customWidth="1" outlineLevel="1" collapsed="1"/>
    <col min="22" max="22" width="16.5703125" style="31" collapsed="1"/>
    <col min="23" max="26" width="0" style="31" hidden="1" customWidth="1" outlineLevel="1"/>
    <col min="27" max="27" width="0" style="31" hidden="1" customWidth="1" outlineLevel="1" collapsed="1"/>
    <col min="28" max="28" width="16.5703125" style="31" collapsed="1"/>
    <col min="29" max="49" width="0" style="31" hidden="1" customWidth="1" outlineLevel="1"/>
    <col min="50" max="50" width="0" style="31" hidden="1" customWidth="1" outlineLevel="1" collapsed="1"/>
    <col min="51" max="51" width="16.5703125" style="31" collapsed="1"/>
    <col min="52" max="52" width="59.7109375" style="31" customWidth="1"/>
    <col min="53" max="53" width="31.85546875" style="31" customWidth="1"/>
    <col min="54" max="61" width="16.5703125" style="31"/>
    <col min="62" max="64" width="16.5703125" style="32"/>
    <col min="65" max="16384" width="16.5703125" style="31"/>
  </cols>
  <sheetData>
    <row r="1" spans="1:55" ht="28.5" x14ac:dyDescent="0.25">
      <c r="A1" s="142" t="s">
        <v>263</v>
      </c>
      <c r="B1" s="142"/>
      <c r="C1" s="142"/>
      <c r="D1" s="142"/>
      <c r="E1" s="142"/>
      <c r="F1" s="142"/>
    </row>
    <row r="2" spans="1:55" ht="21" x14ac:dyDescent="0.25">
      <c r="A2" s="143" t="s">
        <v>320</v>
      </c>
      <c r="B2" s="143"/>
      <c r="C2" s="143"/>
      <c r="D2" s="143"/>
      <c r="E2" s="143"/>
      <c r="F2" s="143"/>
      <c r="G2" s="143"/>
      <c r="H2" s="143"/>
      <c r="I2" s="143"/>
    </row>
    <row r="4" spans="1:55" x14ac:dyDescent="0.25">
      <c r="A4" s="141" t="s">
        <v>282</v>
      </c>
      <c r="B4" s="141"/>
      <c r="C4" s="141"/>
    </row>
    <row r="5" spans="1:55" s="32" customFormat="1" ht="31.5" x14ac:dyDescent="0.25">
      <c r="A5" s="32" t="s">
        <v>178</v>
      </c>
      <c r="B5" s="32" t="s">
        <v>0</v>
      </c>
      <c r="C5" s="32" t="s">
        <v>1</v>
      </c>
      <c r="D5" s="32" t="s">
        <v>2</v>
      </c>
      <c r="E5" s="32" t="s">
        <v>13</v>
      </c>
      <c r="F5" s="32" t="s">
        <v>14</v>
      </c>
      <c r="G5" s="32" t="s">
        <v>15</v>
      </c>
      <c r="H5" s="32" t="s">
        <v>16</v>
      </c>
      <c r="I5" s="32" t="s">
        <v>8</v>
      </c>
      <c r="J5" s="32" t="s">
        <v>17</v>
      </c>
      <c r="K5" s="32" t="s">
        <v>18</v>
      </c>
      <c r="L5" s="32" t="s">
        <v>3</v>
      </c>
      <c r="M5" s="33" t="s">
        <v>19</v>
      </c>
      <c r="N5" s="32" t="s">
        <v>20</v>
      </c>
      <c r="O5" s="32" t="s">
        <v>4</v>
      </c>
      <c r="P5" s="32" t="s">
        <v>11</v>
      </c>
      <c r="Q5" s="32" t="s">
        <v>21</v>
      </c>
      <c r="R5" s="32" t="s">
        <v>12</v>
      </c>
      <c r="S5" s="32" t="s">
        <v>22</v>
      </c>
      <c r="T5" s="32" t="s">
        <v>23</v>
      </c>
      <c r="U5" s="32" t="s">
        <v>10</v>
      </c>
      <c r="V5" s="32" t="s">
        <v>5</v>
      </c>
      <c r="W5" s="32" t="s">
        <v>24</v>
      </c>
      <c r="X5" s="32" t="s">
        <v>25</v>
      </c>
      <c r="Y5" s="32" t="s">
        <v>26</v>
      </c>
      <c r="Z5" s="32" t="s">
        <v>27</v>
      </c>
      <c r="AA5" s="32" t="s">
        <v>28</v>
      </c>
      <c r="AB5" s="32" t="s">
        <v>6</v>
      </c>
      <c r="AC5" s="32" t="s">
        <v>29</v>
      </c>
      <c r="AD5" s="32" t="s">
        <v>30</v>
      </c>
      <c r="AE5" s="32" t="s">
        <v>31</v>
      </c>
      <c r="AF5" s="32" t="s">
        <v>32</v>
      </c>
      <c r="AG5" s="32" t="s">
        <v>33</v>
      </c>
      <c r="AH5" s="32" t="s">
        <v>34</v>
      </c>
      <c r="AI5" s="32" t="s">
        <v>35</v>
      </c>
      <c r="AJ5" s="32" t="s">
        <v>36</v>
      </c>
      <c r="AK5" s="32" t="s">
        <v>37</v>
      </c>
      <c r="AL5" s="32" t="s">
        <v>38</v>
      </c>
      <c r="AM5" s="32" t="s">
        <v>39</v>
      </c>
      <c r="AN5" s="32" t="s">
        <v>40</v>
      </c>
      <c r="AO5" s="32" t="s">
        <v>41</v>
      </c>
      <c r="AP5" s="32" t="s">
        <v>42</v>
      </c>
      <c r="AQ5" s="32" t="s">
        <v>43</v>
      </c>
      <c r="AR5" s="32" t="s">
        <v>44</v>
      </c>
      <c r="AS5" s="32" t="s">
        <v>45</v>
      </c>
      <c r="AT5" s="32" t="s">
        <v>46</v>
      </c>
      <c r="AU5" s="32" t="s">
        <v>47</v>
      </c>
      <c r="AV5" s="32" t="s">
        <v>48</v>
      </c>
      <c r="AW5" s="32" t="s">
        <v>49</v>
      </c>
      <c r="AX5" s="32" t="s">
        <v>50</v>
      </c>
      <c r="AY5" s="32" t="s">
        <v>7</v>
      </c>
      <c r="AZ5" s="32" t="s">
        <v>326</v>
      </c>
      <c r="BA5" s="32" t="s">
        <v>51</v>
      </c>
      <c r="BB5" s="32" t="s">
        <v>52</v>
      </c>
      <c r="BC5" s="32" t="s">
        <v>9</v>
      </c>
    </row>
    <row r="6" spans="1:55" s="92" customFormat="1" x14ac:dyDescent="0.25">
      <c r="A6" s="103" t="s">
        <v>179</v>
      </c>
      <c r="B6" s="92" t="s">
        <v>331</v>
      </c>
      <c r="C6" s="92" t="s">
        <v>53</v>
      </c>
      <c r="D6" s="92" t="s">
        <v>54</v>
      </c>
      <c r="E6" s="96">
        <v>191800</v>
      </c>
      <c r="F6" s="96">
        <v>191800</v>
      </c>
      <c r="G6" s="96">
        <f>Tableau_Lancer_la_requête_à_partir_de_Export_Bdossiers[[#This Row],[UE]]+Tableau_Lancer_la_requête_à_partir_de_Export_Bdossiers[[#This Row],[DPN]]</f>
        <v>115080</v>
      </c>
      <c r="H6" s="97">
        <f>Tableau_Lancer_la_requête_à_partir_de_Export_Bdossiers[[#This Row],[Part Publique]]/Tableau_Lancer_la_requête_à_partir_de_Export_Bdossiers[[#This Row],[Coût total Eligible FEDER]]</f>
        <v>0.6</v>
      </c>
      <c r="I6" s="96">
        <v>0</v>
      </c>
      <c r="J6" s="138">
        <v>76720</v>
      </c>
      <c r="K6" s="97">
        <f>Tableau_Lancer_la_requête_à_partir_de_Export_Bdossiers[[#This Row],[Autofinancement]]/Tableau_Lancer_la_requête_à_partir_de_Export_Bdossiers[[#This Row],[Coût total Opération]]</f>
        <v>0.4</v>
      </c>
      <c r="L6" s="96">
        <v>71857</v>
      </c>
      <c r="M6" s="97" t="s">
        <v>269</v>
      </c>
      <c r="N6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43223</v>
      </c>
      <c r="O6" s="96">
        <v>0</v>
      </c>
      <c r="P6" s="96"/>
      <c r="Q6" s="96"/>
      <c r="R6" s="96"/>
      <c r="S6" s="96"/>
      <c r="T6" s="96"/>
      <c r="U6" s="96"/>
      <c r="V6" s="96">
        <v>43223</v>
      </c>
      <c r="W6" s="96">
        <v>43223</v>
      </c>
      <c r="X6" s="96"/>
      <c r="Y6" s="96"/>
      <c r="Z6" s="96"/>
      <c r="AA6" s="96"/>
      <c r="AB6" s="96">
        <v>0</v>
      </c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103"/>
      <c r="BA6" s="92" t="s">
        <v>107</v>
      </c>
      <c r="BB6" s="98" t="s">
        <v>40</v>
      </c>
      <c r="BC6" s="98" t="s">
        <v>11</v>
      </c>
    </row>
    <row r="7" spans="1:55" s="92" customFormat="1" x14ac:dyDescent="0.25">
      <c r="A7" s="103" t="s">
        <v>179</v>
      </c>
      <c r="B7" s="92" t="s">
        <v>332</v>
      </c>
      <c r="C7" s="92" t="s">
        <v>55</v>
      </c>
      <c r="D7" s="92" t="s">
        <v>56</v>
      </c>
      <c r="E7" s="96">
        <v>126317</v>
      </c>
      <c r="F7" s="96">
        <v>126317</v>
      </c>
      <c r="G7" s="96">
        <f>Tableau_Lancer_la_requête_à_partir_de_Export_Bdossiers[[#This Row],[UE]]+Tableau_Lancer_la_requête_à_partir_de_Export_Bdossiers[[#This Row],[DPN]]</f>
        <v>75790</v>
      </c>
      <c r="H7" s="97">
        <f>Tableau_Lancer_la_requête_à_partir_de_Export_Bdossiers[[#This Row],[Part Publique]]/Tableau_Lancer_la_requête_à_partir_de_Export_Bdossiers[[#This Row],[Coût total Eligible FEDER]]</f>
        <v>0.59999841668184017</v>
      </c>
      <c r="I7" s="96"/>
      <c r="J7" s="138">
        <v>50407</v>
      </c>
      <c r="K7" s="97">
        <f>Tableau_Lancer_la_requête_à_partir_de_Export_Bdossiers[[#This Row],[Autofinancement]]/Tableau_Lancer_la_requête_à_partir_de_Export_Bdossiers[[#This Row],[Coût total Opération]]</f>
        <v>0.39905159242223931</v>
      </c>
      <c r="L7" s="96">
        <v>50407</v>
      </c>
      <c r="M7" s="97" t="s">
        <v>268</v>
      </c>
      <c r="N7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25383</v>
      </c>
      <c r="O7" s="96">
        <v>25383</v>
      </c>
      <c r="P7" s="96">
        <v>25383</v>
      </c>
      <c r="Q7" s="96"/>
      <c r="R7" s="96"/>
      <c r="S7" s="96"/>
      <c r="T7" s="96"/>
      <c r="U7" s="96"/>
      <c r="V7" s="96">
        <v>0</v>
      </c>
      <c r="W7" s="96"/>
      <c r="X7" s="96"/>
      <c r="Y7" s="96"/>
      <c r="Z7" s="96"/>
      <c r="AA7" s="96"/>
      <c r="AB7" s="96">
        <v>0</v>
      </c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103"/>
      <c r="BA7" s="92" t="s">
        <v>107</v>
      </c>
      <c r="BB7" s="98" t="s">
        <v>33</v>
      </c>
      <c r="BC7" s="98" t="s">
        <v>11</v>
      </c>
    </row>
    <row r="8" spans="1:55" s="92" customFormat="1" x14ac:dyDescent="0.25">
      <c r="A8" s="103" t="s">
        <v>179</v>
      </c>
      <c r="B8" s="92" t="s">
        <v>333</v>
      </c>
      <c r="C8" s="92" t="s">
        <v>57</v>
      </c>
      <c r="D8" s="92" t="s">
        <v>58</v>
      </c>
      <c r="E8" s="96">
        <v>78519.02</v>
      </c>
      <c r="F8" s="96">
        <v>78519.02</v>
      </c>
      <c r="G8" s="96">
        <f>Tableau_Lancer_la_requête_à_partir_de_Export_Bdossiers[[#This Row],[UE]]+Tableau_Lancer_la_requête_à_partir_de_Export_Bdossiers[[#This Row],[DPN]]</f>
        <v>47111</v>
      </c>
      <c r="H8" s="97">
        <f>Tableau_Lancer_la_requête_à_partir_de_Export_Bdossiers[[#This Row],[Part Publique]]/Tableau_Lancer_la_requête_à_partir_de_Export_Bdossiers[[#This Row],[Coût total Eligible FEDER]]</f>
        <v>0.59999475286370096</v>
      </c>
      <c r="I8" s="96"/>
      <c r="J8" s="138">
        <v>31408.020000000004</v>
      </c>
      <c r="K8" s="97">
        <f>Tableau_Lancer_la_requête_à_partir_de_Export_Bdossiers[[#This Row],[Autofinancement]]/Tableau_Lancer_la_requête_à_partir_de_Export_Bdossiers[[#This Row],[Coût total Opération]]</f>
        <v>0.40000524713629898</v>
      </c>
      <c r="L8" s="96">
        <v>31407</v>
      </c>
      <c r="M8" s="97" t="s">
        <v>182</v>
      </c>
      <c r="N8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15704</v>
      </c>
      <c r="O8" s="96">
        <v>5230</v>
      </c>
      <c r="P8" s="96"/>
      <c r="Q8" s="96">
        <v>5230</v>
      </c>
      <c r="R8" s="96"/>
      <c r="S8" s="96"/>
      <c r="T8" s="96"/>
      <c r="U8" s="96"/>
      <c r="V8" s="96">
        <v>10474</v>
      </c>
      <c r="W8" s="96">
        <v>10474</v>
      </c>
      <c r="X8" s="96"/>
      <c r="Y8" s="96"/>
      <c r="Z8" s="96"/>
      <c r="AA8" s="96"/>
      <c r="AB8" s="96">
        <v>0</v>
      </c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103"/>
      <c r="BA8" s="92" t="s">
        <v>107</v>
      </c>
      <c r="BB8" s="98" t="s">
        <v>43</v>
      </c>
      <c r="BC8" s="98" t="s">
        <v>21</v>
      </c>
    </row>
    <row r="9" spans="1:55" s="92" customFormat="1" ht="31.5" x14ac:dyDescent="0.25">
      <c r="A9" s="103" t="s">
        <v>190</v>
      </c>
      <c r="B9" s="92" t="s">
        <v>336</v>
      </c>
      <c r="C9" s="92" t="s">
        <v>112</v>
      </c>
      <c r="D9" s="92" t="s">
        <v>113</v>
      </c>
      <c r="E9" s="96">
        <v>21810</v>
      </c>
      <c r="F9" s="96">
        <v>0</v>
      </c>
      <c r="G9" s="96">
        <f>Tableau_Lancer_la_requête_à_partir_de_Export_Bdossiers[[#This Row],[UE]]+Tableau_Lancer_la_requête_à_partir_de_Export_Bdossiers[[#This Row],[DPN]]</f>
        <v>13086</v>
      </c>
      <c r="H9" s="97" t="e">
        <f>Tableau_Lancer_la_requête_à_partir_de_Export_Bdossiers[[#This Row],[Part Publique]]/Tableau_Lancer_la_requête_à_partir_de_Export_Bdossiers[[#This Row],[Coût total Eligible FEDER]]</f>
        <v>#DIV/0!</v>
      </c>
      <c r="I9" s="96"/>
      <c r="J9" s="138">
        <v>8724</v>
      </c>
      <c r="K9" s="97">
        <f>Tableau_Lancer_la_requête_à_partir_de_Export_Bdossiers[[#This Row],[Autofinancement]]/Tableau_Lancer_la_requête_à_partir_de_Export_Bdossiers[[#This Row],[Coût total Opération]]</f>
        <v>0.4</v>
      </c>
      <c r="L9" s="96">
        <v>0</v>
      </c>
      <c r="M9" s="97" t="s">
        <v>59</v>
      </c>
      <c r="N9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13086</v>
      </c>
      <c r="O9" s="96">
        <v>4362</v>
      </c>
      <c r="P9" s="96"/>
      <c r="Q9" s="96"/>
      <c r="R9" s="96"/>
      <c r="S9" s="96"/>
      <c r="T9" s="96"/>
      <c r="U9" s="96">
        <v>4362</v>
      </c>
      <c r="V9" s="96">
        <v>8724</v>
      </c>
      <c r="W9" s="96">
        <v>8724</v>
      </c>
      <c r="X9" s="96"/>
      <c r="Y9" s="96"/>
      <c r="Z9" s="96"/>
      <c r="AA9" s="96"/>
      <c r="AB9" s="96">
        <v>0</v>
      </c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103" t="s">
        <v>486</v>
      </c>
      <c r="BA9" s="92" t="s">
        <v>107</v>
      </c>
      <c r="BB9" s="98" t="s">
        <v>30</v>
      </c>
      <c r="BC9" s="98" t="s">
        <v>10</v>
      </c>
    </row>
    <row r="10" spans="1:55" s="92" customFormat="1" ht="31.5" x14ac:dyDescent="0.25">
      <c r="A10" s="103" t="s">
        <v>179</v>
      </c>
      <c r="B10" s="92" t="s">
        <v>334</v>
      </c>
      <c r="C10" s="92" t="s">
        <v>60</v>
      </c>
      <c r="D10" s="92" t="s">
        <v>61</v>
      </c>
      <c r="E10" s="96">
        <v>146779.95000000001</v>
      </c>
      <c r="F10" s="96">
        <v>146779.95000000001</v>
      </c>
      <c r="G10" s="96">
        <f>Tableau_Lancer_la_requête_à_partir_de_Export_Bdossiers[[#This Row],[UE]]+Tableau_Lancer_la_requête_à_partir_de_Export_Bdossiers[[#This Row],[DPN]]</f>
        <v>88067</v>
      </c>
      <c r="H10" s="97">
        <f>Tableau_Lancer_la_requête_à_partir_de_Export_Bdossiers[[#This Row],[Part Publique]]/Tableau_Lancer_la_requête_à_partir_de_Export_Bdossiers[[#This Row],[Coût total Eligible FEDER]]</f>
        <v>0.59999339146797637</v>
      </c>
      <c r="I10" s="96"/>
      <c r="J10" s="138">
        <v>58712.950000000012</v>
      </c>
      <c r="K10" s="97">
        <f>Tableau_Lancer_la_requête_à_partir_de_Export_Bdossiers[[#This Row],[Autofinancement]]/Tableau_Lancer_la_requête_à_partir_de_Export_Bdossiers[[#This Row],[Coût total Opération]]</f>
        <v>0.40000660853202369</v>
      </c>
      <c r="L10" s="96">
        <v>56911</v>
      </c>
      <c r="M10" s="97" t="s">
        <v>270</v>
      </c>
      <c r="N10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31156</v>
      </c>
      <c r="O10" s="96">
        <v>31156</v>
      </c>
      <c r="P10" s="96">
        <v>31156</v>
      </c>
      <c r="Q10" s="96"/>
      <c r="R10" s="96"/>
      <c r="S10" s="96"/>
      <c r="T10" s="96"/>
      <c r="U10" s="96"/>
      <c r="V10" s="96">
        <v>0</v>
      </c>
      <c r="W10" s="96"/>
      <c r="X10" s="96"/>
      <c r="Y10" s="96"/>
      <c r="Z10" s="96"/>
      <c r="AA10" s="96"/>
      <c r="AB10" s="96">
        <v>0</v>
      </c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103"/>
      <c r="BA10" s="92" t="s">
        <v>107</v>
      </c>
      <c r="BB10" s="98" t="s">
        <v>40</v>
      </c>
      <c r="BC10" s="98" t="s">
        <v>11</v>
      </c>
    </row>
    <row r="11" spans="1:55" s="92" customFormat="1" x14ac:dyDescent="0.25">
      <c r="A11" s="103" t="s">
        <v>179</v>
      </c>
      <c r="B11" s="92" t="s">
        <v>335</v>
      </c>
      <c r="C11" s="92" t="s">
        <v>62</v>
      </c>
      <c r="D11" s="92" t="s">
        <v>63</v>
      </c>
      <c r="E11" s="96">
        <v>236300</v>
      </c>
      <c r="F11" s="96">
        <v>236300</v>
      </c>
      <c r="G11" s="96">
        <f>Tableau_Lancer_la_requête_à_partir_de_Export_Bdossiers[[#This Row],[UE]]+Tableau_Lancer_la_requête_à_partir_de_Export_Bdossiers[[#This Row],[DPN]]</f>
        <v>114558</v>
      </c>
      <c r="H11" s="97">
        <f>Tableau_Lancer_la_requête_à_partir_de_Export_Bdossiers[[#This Row],[Part Publique]]/Tableau_Lancer_la_requête_à_partir_de_Export_Bdossiers[[#This Row],[Coût total Eligible FEDER]]</f>
        <v>0.48479898434193819</v>
      </c>
      <c r="I11" s="96"/>
      <c r="J11" s="138">
        <v>121742</v>
      </c>
      <c r="K11" s="97">
        <f>Tableau_Lancer_la_requête_à_partir_de_Export_Bdossiers[[#This Row],[Autofinancement]]/Tableau_Lancer_la_requête_à_partir_de_Export_Bdossiers[[#This Row],[Coût total Opération]]</f>
        <v>0.51520101565806176</v>
      </c>
      <c r="L11" s="96">
        <v>67132</v>
      </c>
      <c r="M11" s="97" t="s">
        <v>318</v>
      </c>
      <c r="N11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47426</v>
      </c>
      <c r="O11" s="96">
        <v>20100</v>
      </c>
      <c r="P11" s="96"/>
      <c r="Q11" s="96"/>
      <c r="R11" s="96"/>
      <c r="S11" s="96">
        <v>20100</v>
      </c>
      <c r="T11" s="96"/>
      <c r="U11" s="96"/>
      <c r="V11" s="96">
        <v>27326</v>
      </c>
      <c r="W11" s="96">
        <v>27326</v>
      </c>
      <c r="X11" s="96"/>
      <c r="Y11" s="96"/>
      <c r="Z11" s="96"/>
      <c r="AA11" s="96"/>
      <c r="AB11" s="96">
        <v>0</v>
      </c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103"/>
      <c r="BA11" s="92" t="s">
        <v>107</v>
      </c>
      <c r="BB11" s="98" t="s">
        <v>49</v>
      </c>
      <c r="BC11" s="98" t="s">
        <v>22</v>
      </c>
    </row>
    <row r="12" spans="1:55" s="92" customFormat="1" x14ac:dyDescent="0.25">
      <c r="A12" s="103" t="s">
        <v>179</v>
      </c>
      <c r="B12" s="92" t="s">
        <v>337</v>
      </c>
      <c r="C12" s="92" t="s">
        <v>64</v>
      </c>
      <c r="D12" s="92" t="s">
        <v>65</v>
      </c>
      <c r="E12" s="96">
        <v>177016.5</v>
      </c>
      <c r="F12" s="96">
        <v>177016.5</v>
      </c>
      <c r="G12" s="96">
        <f>Tableau_Lancer_la_requête_à_partir_de_Export_Bdossiers[[#This Row],[UE]]+Tableau_Lancer_la_requête_à_partir_de_Export_Bdossiers[[#This Row],[DPN]]</f>
        <v>106209</v>
      </c>
      <c r="H12" s="97">
        <f>Tableau_Lancer_la_requête_à_partir_de_Export_Bdossiers[[#This Row],[Part Publique]]/Tableau_Lancer_la_requête_à_partir_de_Export_Bdossiers[[#This Row],[Coût total Eligible FEDER]]</f>
        <v>0.59999491572819486</v>
      </c>
      <c r="I12" s="96"/>
      <c r="J12" s="138">
        <v>70807.5</v>
      </c>
      <c r="K12" s="97">
        <f>Tableau_Lancer_la_requête_à_partir_de_Export_Bdossiers[[#This Row],[Autofinancement]]/Tableau_Lancer_la_requête_à_partir_de_Export_Bdossiers[[#This Row],[Coût total Opération]]</f>
        <v>0.40000508427180514</v>
      </c>
      <c r="L12" s="96">
        <v>70126</v>
      </c>
      <c r="M12" s="97" t="s">
        <v>309</v>
      </c>
      <c r="N12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36083</v>
      </c>
      <c r="O12" s="96">
        <v>36083</v>
      </c>
      <c r="P12" s="96">
        <v>36083</v>
      </c>
      <c r="Q12" s="96"/>
      <c r="R12" s="96"/>
      <c r="S12" s="96"/>
      <c r="T12" s="96"/>
      <c r="U12" s="96"/>
      <c r="V12" s="96">
        <v>0</v>
      </c>
      <c r="W12" s="96"/>
      <c r="X12" s="96"/>
      <c r="Y12" s="96"/>
      <c r="Z12" s="96"/>
      <c r="AA12" s="96"/>
      <c r="AB12" s="96">
        <v>0</v>
      </c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103"/>
      <c r="BA12" s="92" t="s">
        <v>107</v>
      </c>
      <c r="BB12" s="98" t="s">
        <v>44</v>
      </c>
      <c r="BC12" s="98" t="s">
        <v>11</v>
      </c>
    </row>
    <row r="13" spans="1:55" s="92" customFormat="1" ht="31.5" x14ac:dyDescent="0.25">
      <c r="A13" s="103" t="s">
        <v>179</v>
      </c>
      <c r="B13" s="103" t="s">
        <v>338</v>
      </c>
      <c r="C13" s="103" t="s">
        <v>66</v>
      </c>
      <c r="D13" s="103" t="s">
        <v>67</v>
      </c>
      <c r="E13" s="104">
        <v>145739.4</v>
      </c>
      <c r="F13" s="104">
        <v>145739.4</v>
      </c>
      <c r="G13" s="96">
        <f>Tableau_Lancer_la_requête_à_partir_de_Export_Bdossiers[[#This Row],[UE]]+Tableau_Lancer_la_requête_à_partir_de_Export_Bdossiers[[#This Row],[DPN]]</f>
        <v>87443</v>
      </c>
      <c r="H13" s="97">
        <f>Tableau_Lancer_la_requête_à_partir_de_Export_Bdossiers[[#This Row],[Part Publique]]/Tableau_Lancer_la_requête_à_partir_de_Export_Bdossiers[[#This Row],[Coût total Eligible FEDER]]</f>
        <v>0.599995608600008</v>
      </c>
      <c r="I13" s="104"/>
      <c r="J13" s="139">
        <v>58296.399999999994</v>
      </c>
      <c r="K13" s="97">
        <f>Tableau_Lancer_la_requête_à_partir_de_Export_Bdossiers[[#This Row],[Autofinancement]]/Tableau_Lancer_la_requête_à_partir_de_Export_Bdossiers[[#This Row],[Coût total Opération]]</f>
        <v>0.400004391399992</v>
      </c>
      <c r="L13" s="104">
        <v>58295</v>
      </c>
      <c r="M13" s="105" t="s">
        <v>182</v>
      </c>
      <c r="N13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29148</v>
      </c>
      <c r="O13" s="104">
        <v>0</v>
      </c>
      <c r="P13" s="104"/>
      <c r="Q13" s="104"/>
      <c r="R13" s="104"/>
      <c r="S13" s="104"/>
      <c r="T13" s="104"/>
      <c r="U13" s="104"/>
      <c r="V13" s="104">
        <v>29148</v>
      </c>
      <c r="W13" s="104">
        <v>29148</v>
      </c>
      <c r="X13" s="104"/>
      <c r="Y13" s="104"/>
      <c r="Z13" s="104"/>
      <c r="AA13" s="104"/>
      <c r="AB13" s="104">
        <v>0</v>
      </c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BA13" s="103" t="s">
        <v>107</v>
      </c>
      <c r="BB13" s="106" t="s">
        <v>44</v>
      </c>
      <c r="BC13" s="106" t="s">
        <v>11</v>
      </c>
    </row>
    <row r="14" spans="1:55" s="92" customFormat="1" x14ac:dyDescent="0.25">
      <c r="A14" s="103" t="s">
        <v>179</v>
      </c>
      <c r="B14" s="103" t="s">
        <v>339</v>
      </c>
      <c r="C14" s="103" t="s">
        <v>68</v>
      </c>
      <c r="D14" s="103" t="s">
        <v>69</v>
      </c>
      <c r="E14" s="104">
        <v>379249.95</v>
      </c>
      <c r="F14" s="104">
        <v>379249.95</v>
      </c>
      <c r="G14" s="96">
        <f>Tableau_Lancer_la_requête_à_partir_de_Export_Bdossiers[[#This Row],[UE]]+Tableau_Lancer_la_requête_à_partir_de_Export_Bdossiers[[#This Row],[DPN]]</f>
        <v>262390.52</v>
      </c>
      <c r="H14" s="97">
        <f>Tableau_Lancer_la_requête_à_partir_de_Export_Bdossiers[[#This Row],[Part Publique]]/Tableau_Lancer_la_requête_à_partir_de_Export_Bdossiers[[#This Row],[Coût total Eligible FEDER]]</f>
        <v>0.69186698640303057</v>
      </c>
      <c r="I14" s="104"/>
      <c r="J14" s="139">
        <v>116859.43</v>
      </c>
      <c r="K14" s="97">
        <f>Tableau_Lancer_la_requête_à_partir_de_Export_Bdossiers[[#This Row],[Autofinancement]]/Tableau_Lancer_la_requête_à_partir_de_Export_Bdossiers[[#This Row],[Coût total Opération]]</f>
        <v>0.30813301359696949</v>
      </c>
      <c r="L14" s="104">
        <v>100000</v>
      </c>
      <c r="M14" s="105" t="s">
        <v>325</v>
      </c>
      <c r="N14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162390.51999999999</v>
      </c>
      <c r="O14" s="104">
        <v>34593.120000000003</v>
      </c>
      <c r="P14" s="104"/>
      <c r="Q14" s="104"/>
      <c r="R14" s="104"/>
      <c r="S14" s="104"/>
      <c r="T14" s="104"/>
      <c r="U14" s="104">
        <v>34593.120000000003</v>
      </c>
      <c r="V14" s="104">
        <v>37872</v>
      </c>
      <c r="W14" s="104">
        <v>37872</v>
      </c>
      <c r="X14" s="104"/>
      <c r="Y14" s="104"/>
      <c r="Z14" s="104"/>
      <c r="AA14" s="104"/>
      <c r="AB14" s="104">
        <v>53020</v>
      </c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>
        <v>53020</v>
      </c>
      <c r="AT14" s="104"/>
      <c r="AU14" s="104"/>
      <c r="AV14" s="104"/>
      <c r="AW14" s="104"/>
      <c r="AX14" s="104"/>
      <c r="AY14" s="104">
        <v>36905.4</v>
      </c>
      <c r="AZ14" s="103"/>
      <c r="BA14" s="103" t="s">
        <v>107</v>
      </c>
      <c r="BB14" s="106" t="s">
        <v>45</v>
      </c>
      <c r="BC14" s="106" t="s">
        <v>10</v>
      </c>
    </row>
    <row r="15" spans="1:55" s="92" customFormat="1" ht="31.5" x14ac:dyDescent="0.25">
      <c r="A15" s="103" t="s">
        <v>179</v>
      </c>
      <c r="B15" s="92" t="s">
        <v>340</v>
      </c>
      <c r="C15" s="92" t="s">
        <v>70</v>
      </c>
      <c r="D15" s="92" t="s">
        <v>71</v>
      </c>
      <c r="E15" s="96">
        <v>173402</v>
      </c>
      <c r="F15" s="96">
        <v>173402</v>
      </c>
      <c r="G15" s="96">
        <f>Tableau_Lancer_la_requête_à_partir_de_Export_Bdossiers[[#This Row],[UE]]+Tableau_Lancer_la_requête_à_partir_de_Export_Bdossiers[[#This Row],[DPN]]</f>
        <v>121381</v>
      </c>
      <c r="H15" s="97">
        <f>Tableau_Lancer_la_requête_à_partir_de_Export_Bdossiers[[#This Row],[Part Publique]]/Tableau_Lancer_la_requête_à_partir_de_Export_Bdossiers[[#This Row],[Coût total Eligible FEDER]]</f>
        <v>0.69999769322153149</v>
      </c>
      <c r="I15" s="96"/>
      <c r="J15" s="138">
        <v>52021</v>
      </c>
      <c r="K15" s="97">
        <f>Tableau_Lancer_la_requête_à_partir_de_Export_Bdossiers[[#This Row],[Autofinancement]]/Tableau_Lancer_la_requête_à_partir_de_Export_Bdossiers[[#This Row],[Coût total Opération]]</f>
        <v>0.30000230677846851</v>
      </c>
      <c r="L15" s="96">
        <v>85078</v>
      </c>
      <c r="M15" s="97" t="s">
        <v>183</v>
      </c>
      <c r="N15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36303</v>
      </c>
      <c r="O15" s="96">
        <v>36303</v>
      </c>
      <c r="P15" s="96"/>
      <c r="Q15" s="96"/>
      <c r="R15" s="96"/>
      <c r="S15" s="96">
        <v>36303</v>
      </c>
      <c r="T15" s="96"/>
      <c r="U15" s="96"/>
      <c r="V15" s="96">
        <v>0</v>
      </c>
      <c r="W15" s="96"/>
      <c r="X15" s="96"/>
      <c r="Y15" s="96"/>
      <c r="Z15" s="96"/>
      <c r="AA15" s="96"/>
      <c r="AB15" s="96">
        <v>0</v>
      </c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103"/>
      <c r="BA15" s="92" t="s">
        <v>107</v>
      </c>
      <c r="BB15" s="98" t="s">
        <v>49</v>
      </c>
      <c r="BC15" s="98" t="s">
        <v>22</v>
      </c>
    </row>
    <row r="16" spans="1:55" s="92" customFormat="1" ht="31.5" x14ac:dyDescent="0.25">
      <c r="A16" s="103" t="s">
        <v>179</v>
      </c>
      <c r="B16" s="92" t="s">
        <v>341</v>
      </c>
      <c r="C16" s="92" t="s">
        <v>72</v>
      </c>
      <c r="D16" s="92" t="s">
        <v>73</v>
      </c>
      <c r="E16" s="96">
        <v>180977.6</v>
      </c>
      <c r="F16" s="96">
        <v>180977.6</v>
      </c>
      <c r="G16" s="96">
        <f>Tableau_Lancer_la_requête_à_partir_de_Export_Bdossiers[[#This Row],[UE]]+Tableau_Lancer_la_requête_à_partir_de_Export_Bdossiers[[#This Row],[DPN]]</f>
        <v>126684</v>
      </c>
      <c r="H16" s="97">
        <f>Tableau_Lancer_la_requête_à_partir_de_Export_Bdossiers[[#This Row],[Part Publique]]/Tableau_Lancer_la_requête_à_partir_de_Export_Bdossiers[[#This Row],[Coût total Eligible FEDER]]</f>
        <v>0.69999823182537502</v>
      </c>
      <c r="I16" s="96">
        <v>5739.8</v>
      </c>
      <c r="J16" s="138">
        <v>48553.8</v>
      </c>
      <c r="K16" s="97">
        <f>Tableau_Lancer_la_requête_à_partir_de_Export_Bdossiers[[#This Row],[Autofinancement]]/Tableau_Lancer_la_requête_à_partir_de_Export_Bdossiers[[#This Row],[Coût total Opération]]</f>
        <v>0.26828624094915615</v>
      </c>
      <c r="L16" s="96">
        <v>82878</v>
      </c>
      <c r="M16" s="97" t="s">
        <v>279</v>
      </c>
      <c r="N16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43806</v>
      </c>
      <c r="O16" s="96">
        <v>19500</v>
      </c>
      <c r="P16" s="96"/>
      <c r="Q16" s="96"/>
      <c r="R16" s="96"/>
      <c r="S16" s="96">
        <v>19500</v>
      </c>
      <c r="T16" s="96"/>
      <c r="U16" s="96"/>
      <c r="V16" s="96">
        <v>24306</v>
      </c>
      <c r="W16" s="96">
        <v>24306</v>
      </c>
      <c r="X16" s="96"/>
      <c r="Y16" s="96"/>
      <c r="Z16" s="96"/>
      <c r="AA16" s="96"/>
      <c r="AB16" s="96">
        <v>0</v>
      </c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103"/>
      <c r="BA16" s="92" t="s">
        <v>107</v>
      </c>
      <c r="BB16" s="98" t="s">
        <v>36</v>
      </c>
      <c r="BC16" s="98" t="s">
        <v>22</v>
      </c>
    </row>
    <row r="17" spans="1:55" s="92" customFormat="1" ht="31.5" x14ac:dyDescent="0.25">
      <c r="A17" s="103" t="s">
        <v>179</v>
      </c>
      <c r="B17" s="92" t="s">
        <v>342</v>
      </c>
      <c r="C17" s="92" t="s">
        <v>74</v>
      </c>
      <c r="D17" s="92" t="s">
        <v>75</v>
      </c>
      <c r="E17" s="96">
        <v>147120</v>
      </c>
      <c r="F17" s="96">
        <v>146129.26999999999</v>
      </c>
      <c r="G17" s="96">
        <f>Tableau_Lancer_la_requête_à_partir_de_Export_Bdossiers[[#This Row],[UE]]+Tableau_Lancer_la_requête_à_partir_de_Export_Bdossiers[[#This Row],[DPN]]</f>
        <v>88236</v>
      </c>
      <c r="H17" s="97">
        <f>Tableau_Lancer_la_requête_à_partir_de_Export_Bdossiers[[#This Row],[Part Publique]]/Tableau_Lancer_la_requête_à_partir_de_Export_Bdossiers[[#This Row],[Coût total Eligible FEDER]]</f>
        <v>0.60382153417997642</v>
      </c>
      <c r="I17" s="96"/>
      <c r="J17" s="138">
        <v>58884</v>
      </c>
      <c r="K17" s="97">
        <f>Tableau_Lancer_la_requête_à_partir_de_Export_Bdossiers[[#This Row],[Autofinancement]]/Tableau_Lancer_la_requête_à_partir_de_Export_Bdossiers[[#This Row],[Coût total Opération]]</f>
        <v>0.40024469820554648</v>
      </c>
      <c r="L17" s="96">
        <v>58236</v>
      </c>
      <c r="M17" s="97" t="s">
        <v>487</v>
      </c>
      <c r="N17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30000</v>
      </c>
      <c r="O17" s="96">
        <v>0</v>
      </c>
      <c r="P17" s="96"/>
      <c r="Q17" s="96"/>
      <c r="R17" s="96"/>
      <c r="S17" s="96"/>
      <c r="T17" s="96"/>
      <c r="U17" s="96"/>
      <c r="V17" s="96">
        <v>30000</v>
      </c>
      <c r="W17" s="96">
        <v>30000</v>
      </c>
      <c r="X17" s="96"/>
      <c r="Y17" s="96"/>
      <c r="Z17" s="96"/>
      <c r="AA17" s="96"/>
      <c r="AB17" s="96">
        <v>0</v>
      </c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BA17" s="92" t="s">
        <v>107</v>
      </c>
      <c r="BB17" s="98" t="s">
        <v>33</v>
      </c>
      <c r="BC17" s="98" t="s">
        <v>11</v>
      </c>
    </row>
    <row r="18" spans="1:55" s="92" customFormat="1" ht="30.75" customHeight="1" x14ac:dyDescent="0.25">
      <c r="A18" s="103" t="s">
        <v>179</v>
      </c>
      <c r="B18" s="92" t="s">
        <v>343</v>
      </c>
      <c r="C18" s="92" t="s">
        <v>76</v>
      </c>
      <c r="D18" s="92" t="s">
        <v>77</v>
      </c>
      <c r="E18" s="96">
        <v>102795</v>
      </c>
      <c r="F18" s="96">
        <v>102795</v>
      </c>
      <c r="G18" s="96">
        <f>Tableau_Lancer_la_requête_à_partir_de_Export_Bdossiers[[#This Row],[UE]]+Tableau_Lancer_la_requête_à_partir_de_Export_Bdossiers[[#This Row],[DPN]]</f>
        <v>61118</v>
      </c>
      <c r="H18" s="97">
        <f>Tableau_Lancer_la_requête_à_partir_de_Export_Bdossiers[[#This Row],[Part Publique]]/Tableau_Lancer_la_requête_à_partir_de_Export_Bdossiers[[#This Row],[Coût total Eligible FEDER]]</f>
        <v>0.59456199231480134</v>
      </c>
      <c r="I18" s="96">
        <v>7200</v>
      </c>
      <c r="J18" s="138">
        <v>34477</v>
      </c>
      <c r="K18" s="97">
        <f>Tableau_Lancer_la_requête_à_partir_de_Export_Bdossiers[[#This Row],[Autofinancement]]/Tableau_Lancer_la_requête_à_partir_de_Export_Bdossiers[[#This Row],[Coût total Opération]]</f>
        <v>0.33539569045187023</v>
      </c>
      <c r="L18" s="96">
        <v>41118</v>
      </c>
      <c r="M18" s="97" t="s">
        <v>182</v>
      </c>
      <c r="N18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20000</v>
      </c>
      <c r="O18" s="96">
        <v>0</v>
      </c>
      <c r="P18" s="96"/>
      <c r="Q18" s="96"/>
      <c r="R18" s="96"/>
      <c r="S18" s="96"/>
      <c r="T18" s="96"/>
      <c r="U18" s="96"/>
      <c r="V18" s="96">
        <v>20000</v>
      </c>
      <c r="W18" s="96">
        <v>20000</v>
      </c>
      <c r="X18" s="96"/>
      <c r="Y18" s="96"/>
      <c r="Z18" s="96"/>
      <c r="AA18" s="96"/>
      <c r="AB18" s="96">
        <v>0</v>
      </c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BA18" s="92" t="s">
        <v>107</v>
      </c>
      <c r="BB18" s="98" t="s">
        <v>33</v>
      </c>
      <c r="BC18" s="98" t="s">
        <v>11</v>
      </c>
    </row>
    <row r="19" spans="1:55" s="92" customFormat="1" ht="31.5" x14ac:dyDescent="0.25">
      <c r="A19" s="103" t="s">
        <v>179</v>
      </c>
      <c r="B19" s="92" t="s">
        <v>344</v>
      </c>
      <c r="C19" s="92" t="s">
        <v>78</v>
      </c>
      <c r="D19" s="92" t="s">
        <v>79</v>
      </c>
      <c r="E19" s="96">
        <v>222560</v>
      </c>
      <c r="F19" s="96">
        <v>222560</v>
      </c>
      <c r="G19" s="96">
        <f>Tableau_Lancer_la_requête_à_partir_de_Export_Bdossiers[[#This Row],[UE]]+Tableau_Lancer_la_requête_à_partir_de_Export_Bdossiers[[#This Row],[DPN]]</f>
        <v>133536</v>
      </c>
      <c r="H19" s="97">
        <f>Tableau_Lancer_la_requête_à_partir_de_Export_Bdossiers[[#This Row],[Part Publique]]/Tableau_Lancer_la_requête_à_partir_de_Export_Bdossiers[[#This Row],[Coût total Eligible FEDER]]</f>
        <v>0.6</v>
      </c>
      <c r="I19" s="96"/>
      <c r="J19" s="138">
        <v>89024</v>
      </c>
      <c r="K19" s="97">
        <f>Tableau_Lancer_la_requête_à_partir_de_Export_Bdossiers[[#This Row],[Autofinancement]]/Tableau_Lancer_la_requête_à_partir_de_Export_Bdossiers[[#This Row],[Coût total Opération]]</f>
        <v>0.4</v>
      </c>
      <c r="L19" s="96">
        <v>89024</v>
      </c>
      <c r="M19" s="97" t="s">
        <v>182</v>
      </c>
      <c r="N19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44512</v>
      </c>
      <c r="O19" s="96">
        <v>0</v>
      </c>
      <c r="P19" s="96"/>
      <c r="Q19" s="96"/>
      <c r="R19" s="96"/>
      <c r="S19" s="96"/>
      <c r="T19" s="96"/>
      <c r="U19" s="96"/>
      <c r="V19" s="96">
        <v>18256</v>
      </c>
      <c r="W19" s="96">
        <v>18256</v>
      </c>
      <c r="X19" s="96"/>
      <c r="Y19" s="96"/>
      <c r="Z19" s="96"/>
      <c r="AA19" s="96"/>
      <c r="AB19" s="96">
        <v>26256</v>
      </c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>
        <v>26256</v>
      </c>
      <c r="AW19" s="96"/>
      <c r="AX19" s="96"/>
      <c r="AY19" s="96"/>
      <c r="AZ19" s="103"/>
      <c r="BA19" s="92" t="s">
        <v>107</v>
      </c>
      <c r="BB19" s="98" t="s">
        <v>48</v>
      </c>
      <c r="BC19" s="98" t="s">
        <v>23</v>
      </c>
    </row>
    <row r="20" spans="1:55" s="92" customFormat="1" ht="31.5" x14ac:dyDescent="0.25">
      <c r="A20" s="103" t="s">
        <v>179</v>
      </c>
      <c r="B20" s="92" t="s">
        <v>345</v>
      </c>
      <c r="C20" s="92" t="s">
        <v>80</v>
      </c>
      <c r="D20" s="92" t="s">
        <v>81</v>
      </c>
      <c r="E20" s="96">
        <v>131679</v>
      </c>
      <c r="F20" s="96">
        <v>131679</v>
      </c>
      <c r="G20" s="96">
        <f>Tableau_Lancer_la_requête_à_partir_de_Export_Bdossiers[[#This Row],[UE]]+Tableau_Lancer_la_requête_à_partir_de_Export_Bdossiers[[#This Row],[DPN]]</f>
        <v>65839</v>
      </c>
      <c r="H20" s="97">
        <f>Tableau_Lancer_la_requête_à_partir_de_Export_Bdossiers[[#This Row],[Part Publique]]/Tableau_Lancer_la_requête_à_partir_de_Export_Bdossiers[[#This Row],[Coût total Eligible FEDER]]</f>
        <v>0.49999620288732449</v>
      </c>
      <c r="I20" s="96"/>
      <c r="J20" s="138">
        <v>65840</v>
      </c>
      <c r="K20" s="97">
        <f>Tableau_Lancer_la_requête_à_partir_de_Export_Bdossiers[[#This Row],[Autofinancement]]/Tableau_Lancer_la_requête_à_partir_de_Export_Bdossiers[[#This Row],[Coût total Opération]]</f>
        <v>0.50000379711267551</v>
      </c>
      <c r="L20" s="96">
        <v>52538</v>
      </c>
      <c r="M20" s="97" t="s">
        <v>271</v>
      </c>
      <c r="N20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13301</v>
      </c>
      <c r="O20" s="96">
        <v>6620</v>
      </c>
      <c r="P20" s="96"/>
      <c r="Q20" s="96">
        <v>6620</v>
      </c>
      <c r="R20" s="96"/>
      <c r="S20" s="96"/>
      <c r="T20" s="96"/>
      <c r="U20" s="96"/>
      <c r="V20" s="96">
        <v>6681</v>
      </c>
      <c r="W20" s="96">
        <v>6681</v>
      </c>
      <c r="X20" s="96"/>
      <c r="Y20" s="96"/>
      <c r="Z20" s="96"/>
      <c r="AA20" s="96"/>
      <c r="AB20" s="96">
        <v>0</v>
      </c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103"/>
      <c r="BA20" s="92" t="s">
        <v>107</v>
      </c>
      <c r="BB20" s="98" t="s">
        <v>46</v>
      </c>
      <c r="BC20" s="98" t="s">
        <v>21</v>
      </c>
    </row>
    <row r="21" spans="1:55" s="92" customFormat="1" ht="47.25" x14ac:dyDescent="0.25">
      <c r="A21" s="103" t="s">
        <v>179</v>
      </c>
      <c r="B21" s="103" t="s">
        <v>346</v>
      </c>
      <c r="C21" s="103" t="s">
        <v>82</v>
      </c>
      <c r="D21" s="103" t="s">
        <v>83</v>
      </c>
      <c r="E21" s="104">
        <v>235870.07999999999</v>
      </c>
      <c r="F21" s="104">
        <v>235870.07999999999</v>
      </c>
      <c r="G21" s="96">
        <f>Tableau_Lancer_la_requête_à_partir_de_Export_Bdossiers[[#This Row],[UE]]+Tableau_Lancer_la_requête_à_partir_de_Export_Bdossiers[[#This Row],[DPN]]</f>
        <v>139233</v>
      </c>
      <c r="H21" s="97">
        <f>Tableau_Lancer_la_requête_à_partir_de_Export_Bdossiers[[#This Row],[Part Publique]]/Tableau_Lancer_la_requête_à_partir_de_Export_Bdossiers[[#This Row],[Coût total Eligible FEDER]]</f>
        <v>0.59029530154905618</v>
      </c>
      <c r="I21" s="104"/>
      <c r="J21" s="139">
        <v>96637.079999999987</v>
      </c>
      <c r="K21" s="97">
        <f>Tableau_Lancer_la_requête_à_partir_de_Export_Bdossiers[[#This Row],[Autofinancement]]/Tableau_Lancer_la_requête_à_partir_de_Export_Bdossiers[[#This Row],[Coût total Opération]]</f>
        <v>0.40970469845094382</v>
      </c>
      <c r="L21" s="104">
        <v>94348</v>
      </c>
      <c r="M21" s="105" t="s">
        <v>182</v>
      </c>
      <c r="N21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44885</v>
      </c>
      <c r="O21" s="104">
        <v>44885</v>
      </c>
      <c r="P21" s="104">
        <v>44885</v>
      </c>
      <c r="Q21" s="104"/>
      <c r="R21" s="104"/>
      <c r="S21" s="104"/>
      <c r="T21" s="104"/>
      <c r="U21" s="104"/>
      <c r="V21" s="104">
        <v>0</v>
      </c>
      <c r="W21" s="104"/>
      <c r="X21" s="104"/>
      <c r="Y21" s="104"/>
      <c r="Z21" s="104"/>
      <c r="AA21" s="104"/>
      <c r="AB21" s="104">
        <v>0</v>
      </c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3"/>
      <c r="BA21" s="103" t="s">
        <v>107</v>
      </c>
      <c r="BB21" s="106" t="s">
        <v>40</v>
      </c>
      <c r="BC21" s="106" t="s">
        <v>11</v>
      </c>
    </row>
    <row r="22" spans="1:55" s="92" customFormat="1" ht="31.5" x14ac:dyDescent="0.25">
      <c r="A22" s="103" t="s">
        <v>179</v>
      </c>
      <c r="B22" s="92" t="s">
        <v>347</v>
      </c>
      <c r="C22" s="92" t="s">
        <v>84</v>
      </c>
      <c r="D22" s="92" t="s">
        <v>85</v>
      </c>
      <c r="E22" s="96">
        <v>184097.92000000001</v>
      </c>
      <c r="F22" s="96">
        <v>184097.17</v>
      </c>
      <c r="G22" s="96">
        <f>Tableau_Lancer_la_requête_à_partir_de_Export_Bdossiers[[#This Row],[UE]]+Tableau_Lancer_la_requête_à_partir_de_Export_Bdossiers[[#This Row],[DPN]]</f>
        <v>110458</v>
      </c>
      <c r="H22" s="97">
        <f>Tableau_Lancer_la_requête_à_partir_de_Export_Bdossiers[[#This Row],[Part Publique]]/Tableau_Lancer_la_requête_à_partir_de_Export_Bdossiers[[#This Row],[Coût total Eligible FEDER]]</f>
        <v>0.5999983595619639</v>
      </c>
      <c r="I22" s="96"/>
      <c r="J22" s="138">
        <v>73639.170000000013</v>
      </c>
      <c r="K22" s="97">
        <f>Tableau_Lancer_la_requête_à_partir_de_Export_Bdossiers[[#This Row],[Autofinancement]]/Tableau_Lancer_la_requête_à_partir_de_Export_Bdossiers[[#This Row],[Coût total Opération]]</f>
        <v>0.40000001086378384</v>
      </c>
      <c r="L22" s="96">
        <v>73389</v>
      </c>
      <c r="M22" s="97" t="s">
        <v>272</v>
      </c>
      <c r="N22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37069</v>
      </c>
      <c r="O22" s="96">
        <v>12128</v>
      </c>
      <c r="P22" s="96"/>
      <c r="Q22" s="96"/>
      <c r="R22" s="96">
        <v>12128</v>
      </c>
      <c r="S22" s="96"/>
      <c r="T22" s="96"/>
      <c r="U22" s="96"/>
      <c r="V22" s="96">
        <v>6531</v>
      </c>
      <c r="W22" s="96">
        <v>6531</v>
      </c>
      <c r="X22" s="96"/>
      <c r="Y22" s="96"/>
      <c r="Z22" s="96"/>
      <c r="AA22" s="96"/>
      <c r="AB22" s="96">
        <v>18410</v>
      </c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>
        <v>18410</v>
      </c>
      <c r="AQ22" s="96"/>
      <c r="AR22" s="96"/>
      <c r="AS22" s="96"/>
      <c r="AT22" s="96"/>
      <c r="AU22" s="96"/>
      <c r="AV22" s="96"/>
      <c r="AW22" s="96"/>
      <c r="AX22" s="96"/>
      <c r="AY22" s="96"/>
      <c r="BA22" s="92" t="s">
        <v>107</v>
      </c>
      <c r="BB22" s="98" t="s">
        <v>42</v>
      </c>
      <c r="BC22" s="98" t="s">
        <v>12</v>
      </c>
    </row>
    <row r="23" spans="1:55" s="92" customFormat="1" ht="31.5" x14ac:dyDescent="0.25">
      <c r="A23" s="103" t="s">
        <v>179</v>
      </c>
      <c r="B23" s="92" t="s">
        <v>348</v>
      </c>
      <c r="C23" s="92" t="s">
        <v>86</v>
      </c>
      <c r="D23" s="92" t="s">
        <v>87</v>
      </c>
      <c r="E23" s="96">
        <v>151875</v>
      </c>
      <c r="F23" s="96">
        <v>151875</v>
      </c>
      <c r="G23" s="96">
        <f>Tableau_Lancer_la_requête_à_partir_de_Export_Bdossiers[[#This Row],[UE]]+Tableau_Lancer_la_requête_à_partir_de_Export_Bdossiers[[#This Row],[DPN]]</f>
        <v>91125</v>
      </c>
      <c r="H23" s="97">
        <f>Tableau_Lancer_la_requête_à_partir_de_Export_Bdossiers[[#This Row],[Part Publique]]/Tableau_Lancer_la_requête_à_partir_de_Export_Bdossiers[[#This Row],[Coût total Eligible FEDER]]</f>
        <v>0.6</v>
      </c>
      <c r="I23" s="96"/>
      <c r="J23" s="138">
        <v>60750</v>
      </c>
      <c r="K23" s="97">
        <f>Tableau_Lancer_la_requête_à_partir_de_Export_Bdossiers[[#This Row],[Autofinancement]]/Tableau_Lancer_la_requête_à_partir_de_Export_Bdossiers[[#This Row],[Coût total Opération]]</f>
        <v>0.4</v>
      </c>
      <c r="L23" s="96">
        <v>48355</v>
      </c>
      <c r="M23" s="97" t="s">
        <v>319</v>
      </c>
      <c r="N23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42770</v>
      </c>
      <c r="O23" s="96">
        <v>42770</v>
      </c>
      <c r="P23" s="96">
        <v>42770</v>
      </c>
      <c r="Q23" s="96"/>
      <c r="R23" s="96"/>
      <c r="S23" s="96"/>
      <c r="T23" s="96"/>
      <c r="U23" s="96"/>
      <c r="V23" s="96">
        <v>0</v>
      </c>
      <c r="W23" s="96"/>
      <c r="X23" s="96"/>
      <c r="Y23" s="96"/>
      <c r="Z23" s="96"/>
      <c r="AA23" s="96"/>
      <c r="AB23" s="96">
        <v>0</v>
      </c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103"/>
      <c r="BA23" s="92" t="s">
        <v>107</v>
      </c>
      <c r="BB23" s="98" t="s">
        <v>29</v>
      </c>
      <c r="BC23" s="98" t="s">
        <v>11</v>
      </c>
    </row>
    <row r="24" spans="1:55" s="92" customFormat="1" x14ac:dyDescent="0.25">
      <c r="A24" s="103" t="s">
        <v>179</v>
      </c>
      <c r="B24" s="92" t="s">
        <v>349</v>
      </c>
      <c r="C24" s="92" t="s">
        <v>88</v>
      </c>
      <c r="D24" s="92" t="s">
        <v>89</v>
      </c>
      <c r="E24" s="96">
        <v>102790.7</v>
      </c>
      <c r="F24" s="96">
        <v>102790.7</v>
      </c>
      <c r="G24" s="96">
        <f>Tableau_Lancer_la_requête_à_partir_de_Export_Bdossiers[[#This Row],[UE]]+Tableau_Lancer_la_requête_à_partir_de_Export_Bdossiers[[#This Row],[DPN]]</f>
        <v>61674</v>
      </c>
      <c r="H24" s="97">
        <f>Tableau_Lancer_la_requête_à_partir_de_Export_Bdossiers[[#This Row],[Part Publique]]/Tableau_Lancer_la_requête_à_partir_de_Export_Bdossiers[[#This Row],[Coût total Eligible FEDER]]</f>
        <v>0.59999591402724173</v>
      </c>
      <c r="I24" s="96"/>
      <c r="J24" s="138">
        <v>41116.699999999997</v>
      </c>
      <c r="K24" s="97">
        <f>Tableau_Lancer_la_requête_à_partir_de_Export_Bdossiers[[#This Row],[Autofinancement]]/Tableau_Lancer_la_requête_à_partir_de_Export_Bdossiers[[#This Row],[Coût total Opération]]</f>
        <v>0.40000408597275822</v>
      </c>
      <c r="L24" s="96">
        <v>41116</v>
      </c>
      <c r="M24" s="97" t="s">
        <v>182</v>
      </c>
      <c r="N24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20558</v>
      </c>
      <c r="O24" s="96">
        <v>0</v>
      </c>
      <c r="P24" s="96"/>
      <c r="Q24" s="96"/>
      <c r="R24" s="96"/>
      <c r="S24" s="96"/>
      <c r="T24" s="96"/>
      <c r="U24" s="96"/>
      <c r="V24" s="96">
        <v>20558</v>
      </c>
      <c r="W24" s="96">
        <v>20558</v>
      </c>
      <c r="X24" s="96"/>
      <c r="Y24" s="96"/>
      <c r="Z24" s="96"/>
      <c r="AA24" s="96"/>
      <c r="AB24" s="96">
        <v>0</v>
      </c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BA24" s="92" t="s">
        <v>107</v>
      </c>
      <c r="BB24" s="98" t="s">
        <v>47</v>
      </c>
      <c r="BC24" s="98" t="s">
        <v>23</v>
      </c>
    </row>
    <row r="25" spans="1:55" s="92" customFormat="1" ht="31.5" x14ac:dyDescent="0.25">
      <c r="A25" s="103" t="s">
        <v>190</v>
      </c>
      <c r="B25" s="92" t="s">
        <v>351</v>
      </c>
      <c r="C25" s="92" t="s">
        <v>117</v>
      </c>
      <c r="D25" s="92" t="s">
        <v>118</v>
      </c>
      <c r="E25" s="96">
        <v>93909.359999999986</v>
      </c>
      <c r="F25" s="96">
        <v>93909</v>
      </c>
      <c r="G25" s="96">
        <f>Tableau_Lancer_la_requête_à_partir_de_Export_Bdossiers[[#This Row],[UE]]+Tableau_Lancer_la_requête_à_partir_de_Export_Bdossiers[[#This Row],[DPN]]</f>
        <v>20000</v>
      </c>
      <c r="H25" s="97">
        <f>Tableau_Lancer_la_requête_à_partir_de_Export_Bdossiers[[#This Row],[Part Publique]]/Tableau_Lancer_la_requête_à_partir_de_Export_Bdossiers[[#This Row],[Coût total Eligible FEDER]]</f>
        <v>0.21297213259644976</v>
      </c>
      <c r="I25" s="96"/>
      <c r="J25" s="138">
        <v>73909.359999999986</v>
      </c>
      <c r="K25" s="97">
        <f>Tableau_Lancer_la_requête_à_partir_de_Export_Bdossiers[[#This Row],[Autofinancement]]/Tableau_Lancer_la_requête_à_partir_de_Export_Bdossiers[[#This Row],[Coût total Opération]]</f>
        <v>0.78702868382874713</v>
      </c>
      <c r="L25" s="96">
        <v>0</v>
      </c>
      <c r="M25" s="97" t="s">
        <v>106</v>
      </c>
      <c r="N25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20000</v>
      </c>
      <c r="O25" s="96">
        <v>0</v>
      </c>
      <c r="P25" s="96"/>
      <c r="Q25" s="96"/>
      <c r="R25" s="96"/>
      <c r="S25" s="96"/>
      <c r="T25" s="96"/>
      <c r="U25" s="96"/>
      <c r="V25" s="96">
        <v>20000</v>
      </c>
      <c r="W25" s="96">
        <v>20000</v>
      </c>
      <c r="X25" s="96"/>
      <c r="Y25" s="96"/>
      <c r="Z25" s="96"/>
      <c r="AA25" s="96"/>
      <c r="AB25" s="96">
        <v>0</v>
      </c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103" t="s">
        <v>488</v>
      </c>
      <c r="BA25" s="92" t="s">
        <v>107</v>
      </c>
      <c r="BB25" s="98" t="s">
        <v>43</v>
      </c>
      <c r="BC25" s="98" t="s">
        <v>21</v>
      </c>
    </row>
    <row r="26" spans="1:55" s="92" customFormat="1" ht="31.5" x14ac:dyDescent="0.25">
      <c r="A26" s="103" t="s">
        <v>179</v>
      </c>
      <c r="B26" s="92" t="s">
        <v>350</v>
      </c>
      <c r="C26" s="92" t="s">
        <v>90</v>
      </c>
      <c r="D26" s="92" t="s">
        <v>91</v>
      </c>
      <c r="E26" s="96">
        <v>131168</v>
      </c>
      <c r="F26" s="96">
        <v>131168</v>
      </c>
      <c r="G26" s="96">
        <f>Tableau_Lancer_la_requête_à_partir_de_Export_Bdossiers[[#This Row],[UE]]+Tableau_Lancer_la_requête_à_partir_de_Export_Bdossiers[[#This Row],[DPN]]</f>
        <v>78700</v>
      </c>
      <c r="H26" s="97">
        <f>Tableau_Lancer_la_requête_à_partir_de_Export_Bdossiers[[#This Row],[Part Publique]]/Tableau_Lancer_la_requête_à_partir_de_Export_Bdossiers[[#This Row],[Coût total Eligible FEDER]]</f>
        <v>0.59999390095145155</v>
      </c>
      <c r="I26" s="96"/>
      <c r="J26" s="138">
        <v>52468</v>
      </c>
      <c r="K26" s="97">
        <f>Tableau_Lancer_la_requête_à_partir_de_Export_Bdossiers[[#This Row],[Autofinancement]]/Tableau_Lancer_la_requête_à_partir_de_Export_Bdossiers[[#This Row],[Coût total Opération]]</f>
        <v>0.40000609904854845</v>
      </c>
      <c r="L26" s="96">
        <v>42089</v>
      </c>
      <c r="M26" s="97" t="s">
        <v>273</v>
      </c>
      <c r="N26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36611</v>
      </c>
      <c r="O26" s="96">
        <v>15600</v>
      </c>
      <c r="P26" s="96"/>
      <c r="Q26" s="96">
        <v>15600</v>
      </c>
      <c r="R26" s="96"/>
      <c r="S26" s="96"/>
      <c r="T26" s="96"/>
      <c r="U26" s="96"/>
      <c r="V26" s="96">
        <v>21011</v>
      </c>
      <c r="W26" s="96">
        <v>21011</v>
      </c>
      <c r="X26" s="96"/>
      <c r="Y26" s="96"/>
      <c r="Z26" s="96"/>
      <c r="AA26" s="96"/>
      <c r="AB26" s="96">
        <v>0</v>
      </c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103"/>
      <c r="BA26" s="92" t="s">
        <v>107</v>
      </c>
      <c r="BB26" s="98" t="s">
        <v>46</v>
      </c>
      <c r="BC26" s="98" t="s">
        <v>21</v>
      </c>
    </row>
    <row r="27" spans="1:55" s="92" customFormat="1" ht="31.5" x14ac:dyDescent="0.25">
      <c r="A27" s="103" t="s">
        <v>179</v>
      </c>
      <c r="B27" s="92" t="s">
        <v>352</v>
      </c>
      <c r="C27" s="92" t="s">
        <v>92</v>
      </c>
      <c r="D27" s="92" t="s">
        <v>93</v>
      </c>
      <c r="E27" s="96">
        <v>213050</v>
      </c>
      <c r="F27" s="96">
        <v>213050</v>
      </c>
      <c r="G27" s="96">
        <f>Tableau_Lancer_la_requête_à_partir_de_Export_Bdossiers[[#This Row],[UE]]+Tableau_Lancer_la_requête_à_partir_de_Export_Bdossiers[[#This Row],[DPN]]</f>
        <v>127830</v>
      </c>
      <c r="H27" s="97">
        <f>Tableau_Lancer_la_requête_à_partir_de_Export_Bdossiers[[#This Row],[Part Publique]]/Tableau_Lancer_la_requête_à_partir_de_Export_Bdossiers[[#This Row],[Coût total Eligible FEDER]]</f>
        <v>0.6</v>
      </c>
      <c r="I27" s="96"/>
      <c r="J27" s="138">
        <v>85220</v>
      </c>
      <c r="K27" s="97">
        <f>Tableau_Lancer_la_requête_à_partir_de_Export_Bdossiers[[#This Row],[Autofinancement]]/Tableau_Lancer_la_requête_à_partir_de_Export_Bdossiers[[#This Row],[Coût total Opération]]</f>
        <v>0.4</v>
      </c>
      <c r="L27" s="96">
        <v>66460</v>
      </c>
      <c r="M27" s="97" t="s">
        <v>280</v>
      </c>
      <c r="N27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61370</v>
      </c>
      <c r="O27" s="96">
        <v>0</v>
      </c>
      <c r="P27" s="96"/>
      <c r="Q27" s="96"/>
      <c r="R27" s="96"/>
      <c r="S27" s="96"/>
      <c r="T27" s="96"/>
      <c r="U27" s="96"/>
      <c r="V27" s="96">
        <v>61370</v>
      </c>
      <c r="W27" s="96">
        <v>61370</v>
      </c>
      <c r="X27" s="96"/>
      <c r="Y27" s="96"/>
      <c r="Z27" s="96"/>
      <c r="AA27" s="96"/>
      <c r="AB27" s="96">
        <v>0</v>
      </c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103"/>
      <c r="BA27" s="92" t="s">
        <v>107</v>
      </c>
      <c r="BB27" s="98" t="s">
        <v>44</v>
      </c>
      <c r="BC27" s="98" t="s">
        <v>11</v>
      </c>
    </row>
    <row r="28" spans="1:55" s="92" customFormat="1" ht="31.5" x14ac:dyDescent="0.25">
      <c r="A28" s="103" t="s">
        <v>179</v>
      </c>
      <c r="B28" s="92" t="s">
        <v>353</v>
      </c>
      <c r="C28" s="92" t="s">
        <v>108</v>
      </c>
      <c r="D28" s="92" t="s">
        <v>109</v>
      </c>
      <c r="E28" s="96">
        <v>61403</v>
      </c>
      <c r="F28" s="96">
        <v>61403</v>
      </c>
      <c r="G28" s="96">
        <f>Tableau_Lancer_la_requête_à_partir_de_Export_Bdossiers[[#This Row],[UE]]+Tableau_Lancer_la_requête_à_partir_de_Export_Bdossiers[[#This Row],[DPN]]</f>
        <v>42982</v>
      </c>
      <c r="H28" s="97">
        <f>Tableau_Lancer_la_requête_à_partir_de_Export_Bdossiers[[#This Row],[Part Publique]]/Tableau_Lancer_la_requête_à_partir_de_Export_Bdossiers[[#This Row],[Coût total Eligible FEDER]]</f>
        <v>0.69999837141507748</v>
      </c>
      <c r="I28" s="96"/>
      <c r="J28" s="138">
        <v>18421</v>
      </c>
      <c r="K28" s="97">
        <f>Tableau_Lancer_la_requête_à_partir_de_Export_Bdossiers[[#This Row],[Autofinancement]]/Tableau_Lancer_la_requête_à_partir_de_Export_Bdossiers[[#This Row],[Coût total Opération]]</f>
        <v>0.30000162858492258</v>
      </c>
      <c r="L28" s="96">
        <v>30701</v>
      </c>
      <c r="M28" s="97" t="s">
        <v>175</v>
      </c>
      <c r="N28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12281</v>
      </c>
      <c r="O28" s="96">
        <v>0</v>
      </c>
      <c r="P28" s="96"/>
      <c r="Q28" s="96"/>
      <c r="R28" s="96"/>
      <c r="S28" s="96"/>
      <c r="T28" s="96"/>
      <c r="U28" s="96"/>
      <c r="V28" s="96">
        <v>12281</v>
      </c>
      <c r="W28" s="96">
        <v>12281</v>
      </c>
      <c r="X28" s="96"/>
      <c r="Y28" s="96"/>
      <c r="Z28" s="96"/>
      <c r="AA28" s="96"/>
      <c r="AB28" s="96">
        <v>0</v>
      </c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103" t="s">
        <v>489</v>
      </c>
      <c r="BA28" s="92" t="s">
        <v>107</v>
      </c>
      <c r="BB28" s="98" t="s">
        <v>30</v>
      </c>
      <c r="BC28" s="98" t="s">
        <v>10</v>
      </c>
    </row>
    <row r="29" spans="1:55" s="92" customFormat="1" ht="31.5" x14ac:dyDescent="0.25">
      <c r="A29" s="103" t="s">
        <v>179</v>
      </c>
      <c r="B29" s="92" t="s">
        <v>354</v>
      </c>
      <c r="C29" s="92" t="s">
        <v>94</v>
      </c>
      <c r="D29" s="92" t="s">
        <v>95</v>
      </c>
      <c r="E29" s="96">
        <v>152993.20000000001</v>
      </c>
      <c r="F29" s="96">
        <v>152993.20000000001</v>
      </c>
      <c r="G29" s="96">
        <f>Tableau_Lancer_la_requête_à_partir_de_Export_Bdossiers[[#This Row],[UE]]+Tableau_Lancer_la_requête_à_partir_de_Export_Bdossiers[[#This Row],[DPN]]</f>
        <v>91796</v>
      </c>
      <c r="H29" s="97">
        <f>Tableau_Lancer_la_requête_à_partir_de_Export_Bdossiers[[#This Row],[Part Publique]]/Tableau_Lancer_la_requête_à_partir_de_Export_Bdossiers[[#This Row],[Coût total Eligible FEDER]]</f>
        <v>0.60000052289905692</v>
      </c>
      <c r="I29" s="96"/>
      <c r="J29" s="138">
        <v>61197.200000000012</v>
      </c>
      <c r="K29" s="97">
        <f>Tableau_Lancer_la_requête_à_partir_de_Export_Bdossiers[[#This Row],[Autofinancement]]/Tableau_Lancer_la_requête_à_partir_de_Export_Bdossiers[[#This Row],[Coût total Opération]]</f>
        <v>0.39999947710094308</v>
      </c>
      <c r="L29" s="96">
        <v>61197</v>
      </c>
      <c r="M29" s="97" t="s">
        <v>182</v>
      </c>
      <c r="N29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30599</v>
      </c>
      <c r="O29" s="96">
        <v>15300</v>
      </c>
      <c r="P29" s="96"/>
      <c r="Q29" s="96"/>
      <c r="R29" s="96">
        <v>15300</v>
      </c>
      <c r="S29" s="96"/>
      <c r="T29" s="96"/>
      <c r="U29" s="96"/>
      <c r="V29" s="96">
        <v>0</v>
      </c>
      <c r="W29" s="96"/>
      <c r="X29" s="96"/>
      <c r="Y29" s="96"/>
      <c r="Z29" s="96"/>
      <c r="AA29" s="96"/>
      <c r="AB29" s="96">
        <v>15299</v>
      </c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>
        <v>15299</v>
      </c>
      <c r="AQ29" s="96"/>
      <c r="AR29" s="96"/>
      <c r="AS29" s="96"/>
      <c r="AT29" s="96"/>
      <c r="AU29" s="96"/>
      <c r="AV29" s="96"/>
      <c r="AW29" s="96"/>
      <c r="AX29" s="96"/>
      <c r="AY29" s="96"/>
      <c r="AZ29" s="103"/>
      <c r="BA29" s="92" t="s">
        <v>107</v>
      </c>
      <c r="BB29" s="98" t="s">
        <v>42</v>
      </c>
      <c r="BC29" s="98" t="s">
        <v>12</v>
      </c>
    </row>
    <row r="30" spans="1:55" s="92" customFormat="1" ht="31.5" x14ac:dyDescent="0.25">
      <c r="A30" s="103" t="s">
        <v>179</v>
      </c>
      <c r="B30" s="92" t="s">
        <v>355</v>
      </c>
      <c r="C30" s="92" t="s">
        <v>96</v>
      </c>
      <c r="D30" s="92" t="s">
        <v>97</v>
      </c>
      <c r="E30" s="96">
        <v>167626.16</v>
      </c>
      <c r="F30" s="96">
        <v>165568.16</v>
      </c>
      <c r="G30" s="96">
        <f>Tableau_Lancer_la_requête_à_partir_de_Export_Bdossiers[[#This Row],[UE]]+Tableau_Lancer_la_requête_à_partir_de_Export_Bdossiers[[#This Row],[DPN]]</f>
        <v>100575</v>
      </c>
      <c r="H30" s="97">
        <f>Tableau_Lancer_la_requête_à_partir_de_Export_Bdossiers[[#This Row],[Part Publique]]/Tableau_Lancer_la_requête_à_partir_de_Export_Bdossiers[[#This Row],[Coût total Eligible FEDER]]</f>
        <v>0.60745375197743334</v>
      </c>
      <c r="I30" s="96"/>
      <c r="J30" s="138">
        <v>67051.16</v>
      </c>
      <c r="K30" s="97">
        <f>Tableau_Lancer_la_requête_à_partir_de_Export_Bdossiers[[#This Row],[Autofinancement]]/Tableau_Lancer_la_requête_à_partir_de_Export_Bdossiers[[#This Row],[Coût total Opération]]</f>
        <v>0.40000415209654627</v>
      </c>
      <c r="L30" s="96">
        <v>66922</v>
      </c>
      <c r="M30" s="97" t="s">
        <v>281</v>
      </c>
      <c r="N30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33653</v>
      </c>
      <c r="O30" s="96">
        <v>16900</v>
      </c>
      <c r="P30" s="96"/>
      <c r="Q30" s="96"/>
      <c r="R30" s="96">
        <v>16900</v>
      </c>
      <c r="S30" s="96"/>
      <c r="T30" s="96"/>
      <c r="U30" s="96"/>
      <c r="V30" s="96">
        <v>0</v>
      </c>
      <c r="W30" s="96"/>
      <c r="X30" s="96"/>
      <c r="Y30" s="96"/>
      <c r="Z30" s="96"/>
      <c r="AA30" s="96"/>
      <c r="AB30" s="96">
        <v>16753</v>
      </c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>
        <v>16753</v>
      </c>
      <c r="AQ30" s="96"/>
      <c r="AR30" s="96"/>
      <c r="AS30" s="96"/>
      <c r="AT30" s="96"/>
      <c r="AU30" s="96"/>
      <c r="AV30" s="96"/>
      <c r="AW30" s="96"/>
      <c r="AX30" s="96"/>
      <c r="AY30" s="96"/>
      <c r="AZ30" s="103"/>
      <c r="BA30" s="92" t="s">
        <v>107</v>
      </c>
      <c r="BB30" s="98" t="s">
        <v>42</v>
      </c>
      <c r="BC30" s="98" t="s">
        <v>12</v>
      </c>
    </row>
    <row r="31" spans="1:55" s="92" customFormat="1" x14ac:dyDescent="0.25">
      <c r="A31" s="103" t="s">
        <v>179</v>
      </c>
      <c r="B31" s="103" t="s">
        <v>356</v>
      </c>
      <c r="C31" s="103" t="s">
        <v>98</v>
      </c>
      <c r="D31" s="103" t="s">
        <v>99</v>
      </c>
      <c r="E31" s="104">
        <v>100000</v>
      </c>
      <c r="F31" s="104">
        <v>100000</v>
      </c>
      <c r="G31" s="96">
        <f>Tableau_Lancer_la_requête_à_partir_de_Export_Bdossiers[[#This Row],[UE]]+Tableau_Lancer_la_requête_à_partir_de_Export_Bdossiers[[#This Row],[DPN]]</f>
        <v>70000</v>
      </c>
      <c r="H31" s="97">
        <f>Tableau_Lancer_la_requête_à_partir_de_Export_Bdossiers[[#This Row],[Part Publique]]/Tableau_Lancer_la_requête_à_partir_de_Export_Bdossiers[[#This Row],[Coût total Eligible FEDER]]</f>
        <v>0.7</v>
      </c>
      <c r="I31" s="104"/>
      <c r="J31" s="139">
        <v>30000</v>
      </c>
      <c r="K31" s="97">
        <f>Tableau_Lancer_la_requête_à_partir_de_Export_Bdossiers[[#This Row],[Autofinancement]]/Tableau_Lancer_la_requête_à_partir_de_Export_Bdossiers[[#This Row],[Coût total Opération]]</f>
        <v>0.3</v>
      </c>
      <c r="L31" s="104">
        <v>50000</v>
      </c>
      <c r="M31" s="105" t="s">
        <v>175</v>
      </c>
      <c r="N31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20000</v>
      </c>
      <c r="O31" s="104">
        <v>0</v>
      </c>
      <c r="P31" s="104"/>
      <c r="Q31" s="104"/>
      <c r="R31" s="104"/>
      <c r="S31" s="104"/>
      <c r="T31" s="104"/>
      <c r="U31" s="104"/>
      <c r="V31" s="104">
        <v>20000</v>
      </c>
      <c r="W31" s="104">
        <v>20000</v>
      </c>
      <c r="X31" s="104"/>
      <c r="Y31" s="104"/>
      <c r="Z31" s="104"/>
      <c r="AA31" s="104"/>
      <c r="AB31" s="104">
        <v>0</v>
      </c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3"/>
      <c r="BA31" s="103" t="s">
        <v>107</v>
      </c>
      <c r="BB31" s="106" t="s">
        <v>39</v>
      </c>
      <c r="BC31" s="106" t="s">
        <v>10</v>
      </c>
    </row>
    <row r="32" spans="1:55" s="92" customFormat="1" x14ac:dyDescent="0.25">
      <c r="A32" s="103" t="s">
        <v>179</v>
      </c>
      <c r="B32" s="92" t="s">
        <v>357</v>
      </c>
      <c r="C32" s="92" t="s">
        <v>100</v>
      </c>
      <c r="D32" s="92" t="s">
        <v>99</v>
      </c>
      <c r="E32" s="96">
        <v>100000</v>
      </c>
      <c r="F32" s="96">
        <v>100000</v>
      </c>
      <c r="G32" s="96">
        <f>Tableau_Lancer_la_requête_à_partir_de_Export_Bdossiers[[#This Row],[UE]]+Tableau_Lancer_la_requête_à_partir_de_Export_Bdossiers[[#This Row],[DPN]]</f>
        <v>67222</v>
      </c>
      <c r="H32" s="97">
        <f>Tableau_Lancer_la_requête_à_partir_de_Export_Bdossiers[[#This Row],[Part Publique]]/Tableau_Lancer_la_requête_à_partir_de_Export_Bdossiers[[#This Row],[Coût total Eligible FEDER]]</f>
        <v>0.67222000000000004</v>
      </c>
      <c r="I32" s="96"/>
      <c r="J32" s="138">
        <v>32778</v>
      </c>
      <c r="K32" s="97">
        <f>Tableau_Lancer_la_requête_à_partir_de_Export_Bdossiers[[#This Row],[Autofinancement]]/Tableau_Lancer_la_requête_à_partir_de_Export_Bdossiers[[#This Row],[Coût total Opération]]</f>
        <v>0.32778000000000002</v>
      </c>
      <c r="L32" s="96">
        <v>50000</v>
      </c>
      <c r="M32" s="97" t="s">
        <v>175</v>
      </c>
      <c r="N32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17222</v>
      </c>
      <c r="O32" s="96">
        <v>0</v>
      </c>
      <c r="P32" s="96"/>
      <c r="Q32" s="96"/>
      <c r="R32" s="96"/>
      <c r="S32" s="96"/>
      <c r="T32" s="96"/>
      <c r="U32" s="96"/>
      <c r="V32" s="96">
        <v>17222</v>
      </c>
      <c r="W32" s="96">
        <v>17222</v>
      </c>
      <c r="X32" s="96"/>
      <c r="Y32" s="96"/>
      <c r="Z32" s="96"/>
      <c r="AA32" s="96"/>
      <c r="AB32" s="96">
        <v>0</v>
      </c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103"/>
      <c r="BA32" s="92" t="s">
        <v>107</v>
      </c>
      <c r="BB32" s="98" t="s">
        <v>39</v>
      </c>
      <c r="BC32" s="98" t="s">
        <v>10</v>
      </c>
    </row>
    <row r="33" spans="1:64" s="92" customFormat="1" ht="47.25" x14ac:dyDescent="0.25">
      <c r="A33" s="103" t="s">
        <v>179</v>
      </c>
      <c r="B33" s="92" t="s">
        <v>358</v>
      </c>
      <c r="C33" s="92" t="s">
        <v>101</v>
      </c>
      <c r="D33" s="92" t="s">
        <v>102</v>
      </c>
      <c r="E33" s="96">
        <v>78066.7</v>
      </c>
      <c r="F33" s="96">
        <v>78066.7</v>
      </c>
      <c r="G33" s="96">
        <f>Tableau_Lancer_la_requête_à_partir_de_Export_Bdossiers[[#This Row],[UE]]+Tableau_Lancer_la_requête_à_partir_de_Export_Bdossiers[[#This Row],[DPN]]</f>
        <v>46839</v>
      </c>
      <c r="H33" s="97">
        <f>Tableau_Lancer_la_requête_à_partir_de_Export_Bdossiers[[#This Row],[Part Publique]]/Tableau_Lancer_la_requête_à_partir_de_Export_Bdossiers[[#This Row],[Coût total Eligible FEDER]]</f>
        <v>0.59998693424981464</v>
      </c>
      <c r="I33" s="96"/>
      <c r="J33" s="138">
        <v>31227.699999999997</v>
      </c>
      <c r="K33" s="97">
        <f>Tableau_Lancer_la_requête_à_partir_de_Export_Bdossiers[[#This Row],[Autofinancement]]/Tableau_Lancer_la_requête_à_partir_de_Export_Bdossiers[[#This Row],[Coût total Opération]]</f>
        <v>0.40001306575018541</v>
      </c>
      <c r="L33" s="96">
        <v>31226</v>
      </c>
      <c r="M33" s="97" t="s">
        <v>182</v>
      </c>
      <c r="N33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15613</v>
      </c>
      <c r="O33" s="96">
        <v>0</v>
      </c>
      <c r="P33" s="96"/>
      <c r="Q33" s="96"/>
      <c r="R33" s="96"/>
      <c r="S33" s="96"/>
      <c r="T33" s="96"/>
      <c r="U33" s="96"/>
      <c r="V33" s="96">
        <v>15613</v>
      </c>
      <c r="W33" s="96">
        <v>15613</v>
      </c>
      <c r="X33" s="96"/>
      <c r="Y33" s="96"/>
      <c r="Z33" s="96"/>
      <c r="AA33" s="96"/>
      <c r="AB33" s="96">
        <v>0</v>
      </c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103"/>
      <c r="BA33" s="92" t="s">
        <v>107</v>
      </c>
      <c r="BB33" s="98" t="s">
        <v>29</v>
      </c>
      <c r="BC33" s="98" t="s">
        <v>11</v>
      </c>
    </row>
    <row r="34" spans="1:64" s="92" customFormat="1" ht="47.25" x14ac:dyDescent="0.25">
      <c r="A34" s="103" t="s">
        <v>179</v>
      </c>
      <c r="B34" s="92" t="s">
        <v>359</v>
      </c>
      <c r="C34" s="92" t="s">
        <v>103</v>
      </c>
      <c r="D34" s="92" t="s">
        <v>102</v>
      </c>
      <c r="E34" s="96">
        <v>78198.7</v>
      </c>
      <c r="F34" s="96">
        <v>78190.7</v>
      </c>
      <c r="G34" s="96">
        <f>Tableau_Lancer_la_requête_à_partir_de_Export_Bdossiers[[#This Row],[UE]]+Tableau_Lancer_la_requête_à_partir_de_Export_Bdossiers[[#This Row],[DPN]]</f>
        <v>46918</v>
      </c>
      <c r="H34" s="97">
        <f>Tableau_Lancer_la_requête_à_partir_de_Export_Bdossiers[[#This Row],[Part Publique]]/Tableau_Lancer_la_requête_à_partir_de_Export_Bdossiers[[#This Row],[Coût total Eligible FEDER]]</f>
        <v>0.60004578549622911</v>
      </c>
      <c r="I34" s="96"/>
      <c r="J34" s="138">
        <v>31280.699999999997</v>
      </c>
      <c r="K34" s="97">
        <f>Tableau_Lancer_la_requête_à_partir_de_Export_Bdossiers[[#This Row],[Autofinancement]]/Tableau_Lancer_la_requête_à_partir_de_Export_Bdossiers[[#This Row],[Coût total Opération]]</f>
        <v>0.40001560128237423</v>
      </c>
      <c r="L34" s="96">
        <v>31279</v>
      </c>
      <c r="M34" s="97" t="s">
        <v>182</v>
      </c>
      <c r="N34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15639</v>
      </c>
      <c r="O34" s="96">
        <v>0</v>
      </c>
      <c r="P34" s="96"/>
      <c r="Q34" s="96"/>
      <c r="R34" s="96"/>
      <c r="S34" s="96"/>
      <c r="T34" s="96"/>
      <c r="U34" s="96"/>
      <c r="V34" s="96">
        <v>15639</v>
      </c>
      <c r="W34" s="96">
        <v>15639</v>
      </c>
      <c r="X34" s="96"/>
      <c r="Y34" s="96"/>
      <c r="Z34" s="96"/>
      <c r="AA34" s="96"/>
      <c r="AB34" s="96">
        <v>0</v>
      </c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103"/>
      <c r="BA34" s="92" t="s">
        <v>107</v>
      </c>
      <c r="BB34" s="98" t="s">
        <v>29</v>
      </c>
      <c r="BC34" s="98" t="s">
        <v>11</v>
      </c>
      <c r="BG34" s="98"/>
      <c r="BH34" s="98"/>
    </row>
    <row r="35" spans="1:64" s="92" customFormat="1" ht="47.25" x14ac:dyDescent="0.25">
      <c r="A35" s="103" t="s">
        <v>179</v>
      </c>
      <c r="B35" s="92" t="s">
        <v>360</v>
      </c>
      <c r="C35" s="92" t="s">
        <v>104</v>
      </c>
      <c r="D35" s="92" t="s">
        <v>105</v>
      </c>
      <c r="E35" s="96">
        <v>154042.31</v>
      </c>
      <c r="F35" s="96">
        <v>154042.34</v>
      </c>
      <c r="G35" s="96">
        <f>Tableau_Lancer_la_requête_à_partir_de_Export_Bdossiers[[#This Row],[UE]]+Tableau_Lancer_la_requête_à_partir_de_Export_Bdossiers[[#This Row],[DPN]]</f>
        <v>92425</v>
      </c>
      <c r="H35" s="97">
        <f>Tableau_Lancer_la_requête_à_partir_de_Export_Bdossiers[[#This Row],[Part Publique]]/Tableau_Lancer_la_requête_à_partir_de_Export_Bdossiers[[#This Row],[Coût total Eligible FEDER]]</f>
        <v>0.59999737734443659</v>
      </c>
      <c r="I35" s="96"/>
      <c r="J35" s="138">
        <v>61617.31</v>
      </c>
      <c r="K35" s="97">
        <f>Tableau_Lancer_la_requête_à_partir_de_Export_Bdossiers[[#This Row],[Autofinancement]]/Tableau_Lancer_la_requête_à_partir_de_Export_Bdossiers[[#This Row],[Coût total Opération]]</f>
        <v>0.40000250580506097</v>
      </c>
      <c r="L35" s="96">
        <v>61616</v>
      </c>
      <c r="M35" s="97" t="s">
        <v>182</v>
      </c>
      <c r="N35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30809</v>
      </c>
      <c r="O35" s="96">
        <v>8150</v>
      </c>
      <c r="P35" s="96"/>
      <c r="Q35" s="96">
        <v>8150</v>
      </c>
      <c r="R35" s="96"/>
      <c r="S35" s="96"/>
      <c r="T35" s="96"/>
      <c r="U35" s="96"/>
      <c r="V35" s="96">
        <v>22659</v>
      </c>
      <c r="W35" s="96">
        <v>22659</v>
      </c>
      <c r="X35" s="96"/>
      <c r="Y35" s="96"/>
      <c r="Z35" s="96"/>
      <c r="AA35" s="96"/>
      <c r="AB35" s="96">
        <v>0</v>
      </c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103"/>
      <c r="BA35" s="92" t="s">
        <v>107</v>
      </c>
      <c r="BB35" s="98" t="s">
        <v>43</v>
      </c>
      <c r="BC35" s="98" t="s">
        <v>21</v>
      </c>
      <c r="BG35" s="98"/>
      <c r="BH35" s="98"/>
    </row>
    <row r="36" spans="1:64" s="98" customFormat="1" x14ac:dyDescent="0.25">
      <c r="A36" s="103" t="s">
        <v>190</v>
      </c>
      <c r="B36" s="92" t="s">
        <v>362</v>
      </c>
      <c r="C36" s="92" t="s">
        <v>110</v>
      </c>
      <c r="D36" s="92" t="s">
        <v>111</v>
      </c>
      <c r="E36" s="96">
        <v>29388</v>
      </c>
      <c r="F36" s="96">
        <v>29388</v>
      </c>
      <c r="G36" s="96">
        <f>Tableau_Lancer_la_requête_à_partir_de_Export_Bdossiers[[#This Row],[UE]]+Tableau_Lancer_la_requête_à_partir_de_Export_Bdossiers[[#This Row],[DPN]]</f>
        <v>20570</v>
      </c>
      <c r="H36" s="97">
        <f>Tableau_Lancer_la_requête_à_partir_de_Export_Bdossiers[[#This Row],[Part Publique]]/Tableau_Lancer_la_requête_à_partir_de_Export_Bdossiers[[#This Row],[Coût total Eligible FEDER]]</f>
        <v>0.69994555600925545</v>
      </c>
      <c r="I36" s="96"/>
      <c r="J36" s="138">
        <v>8818</v>
      </c>
      <c r="K36" s="97">
        <f>Tableau_Lancer_la_requête_à_partir_de_Export_Bdossiers[[#This Row],[Autofinancement]]/Tableau_Lancer_la_requête_à_partir_de_Export_Bdossiers[[#This Row],[Coût total Opération]]</f>
        <v>0.30005444399074455</v>
      </c>
      <c r="L36" s="96"/>
      <c r="M36" s="97" t="s">
        <v>106</v>
      </c>
      <c r="N36" s="96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20570</v>
      </c>
      <c r="O36" s="96">
        <v>20570</v>
      </c>
      <c r="P36" s="96"/>
      <c r="Q36" s="96">
        <v>20570</v>
      </c>
      <c r="R36" s="96"/>
      <c r="S36" s="96"/>
      <c r="T36" s="96"/>
      <c r="U36" s="96"/>
      <c r="V36" s="96">
        <v>0</v>
      </c>
      <c r="W36" s="96"/>
      <c r="X36" s="96"/>
      <c r="Y36" s="96"/>
      <c r="Z36" s="96"/>
      <c r="AA36" s="96"/>
      <c r="AB36" s="96">
        <v>0</v>
      </c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103" t="s">
        <v>489</v>
      </c>
      <c r="BA36" s="92" t="s">
        <v>107</v>
      </c>
      <c r="BB36" s="98" t="s">
        <v>43</v>
      </c>
      <c r="BC36" s="98" t="s">
        <v>21</v>
      </c>
      <c r="BD36" s="92"/>
      <c r="BE36" s="92"/>
      <c r="BF36" s="92"/>
    </row>
    <row r="37" spans="1:64" ht="47.25" x14ac:dyDescent="0.25">
      <c r="A37" s="69" t="s">
        <v>179</v>
      </c>
      <c r="B37" s="31" t="s">
        <v>361</v>
      </c>
      <c r="C37" s="31" t="s">
        <v>184</v>
      </c>
      <c r="D37" s="31" t="s">
        <v>185</v>
      </c>
      <c r="E37" s="34">
        <v>159919.76</v>
      </c>
      <c r="F37" s="34">
        <v>159919.76</v>
      </c>
      <c r="G37" s="34">
        <f>Tableau_Lancer_la_requête_à_partir_de_Export_Bdossiers[[#This Row],[UE]]+Tableau_Lancer_la_requête_à_partir_de_Export_Bdossiers[[#This Row],[DPN]]</f>
        <v>95951</v>
      </c>
      <c r="H37" s="33">
        <f>Tableau_Lancer_la_requête_à_partir_de_Export_Bdossiers[[#This Row],[Part Publique]]/Tableau_Lancer_la_requête_à_partir_de_Export_Bdossiers[[#This Row],[Coût total Eligible FEDER]]</f>
        <v>0.59999464731562879</v>
      </c>
      <c r="I37" s="34"/>
      <c r="J37" s="35">
        <v>63968.760000000009</v>
      </c>
      <c r="K37" s="33">
        <f>Tableau_Lancer_la_requête_à_partir_de_Export_Bdossiers[[#This Row],[Autofinancement]]/Tableau_Lancer_la_requête_à_partir_de_Export_Bdossiers[[#This Row],[Coût total Opération]]</f>
        <v>0.40000535268437126</v>
      </c>
      <c r="L37" s="34">
        <v>63642</v>
      </c>
      <c r="M37" s="33" t="s">
        <v>274</v>
      </c>
      <c r="N37" s="34">
        <f>Tableau_Lancer_la_requête_à_partir_de_Export_Bdossiers[[#This Row],[Total CR]]+Tableau_Lancer_la_requête_à_partir_de_Export_Bdossiers[[#This Row],[Total Etat]]+Tableau_Lancer_la_requête_à_partir_de_Export_Bdossiers[[#This Row],[Total CG]]+Tableau_Lancer_la_requête_à_partir_de_Export_Bdossiers[[#This Row],[Autre Public]]</f>
        <v>32309</v>
      </c>
      <c r="O37" s="34">
        <v>32309</v>
      </c>
      <c r="P37" s="34">
        <v>32309</v>
      </c>
      <c r="Q37" s="34"/>
      <c r="R37" s="34"/>
      <c r="S37" s="34"/>
      <c r="T37" s="34"/>
      <c r="U37" s="34"/>
      <c r="V37" s="34">
        <v>0</v>
      </c>
      <c r="W37" s="34"/>
      <c r="X37" s="34"/>
      <c r="Y37" s="34"/>
      <c r="Z37" s="34"/>
      <c r="AA37" s="34"/>
      <c r="AB37" s="34">
        <v>0</v>
      </c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69"/>
      <c r="BA37" s="31" t="s">
        <v>107</v>
      </c>
      <c r="BB37" s="32" t="s">
        <v>44</v>
      </c>
      <c r="BC37" s="32" t="s">
        <v>11</v>
      </c>
      <c r="BD37" s="32"/>
      <c r="BJ37" s="31"/>
      <c r="BK37" s="31"/>
      <c r="BL37" s="31"/>
    </row>
    <row r="38" spans="1:64" x14ac:dyDescent="0.25">
      <c r="A38" s="113"/>
      <c r="B38" s="114" t="s">
        <v>181</v>
      </c>
      <c r="C38" s="113"/>
      <c r="D38" s="113"/>
      <c r="E38" s="115">
        <f>SUBTOTAL(109,Tableau_Lancer_la_requête_à_partir_de_Export_Bdossiers[Coût total Opération])</f>
        <v>4656464.3099999996</v>
      </c>
      <c r="F38" s="115">
        <f>SUBTOTAL(109,Tableau_Lancer_la_requête_à_partir_de_Export_Bdossiers[Coût total Eligible FEDER])</f>
        <v>4631596.5</v>
      </c>
      <c r="G38" s="115">
        <f>SUBTOTAL(109,Tableau_Lancer_la_requête_à_partir_de_Export_Bdossiers[Part Publique])</f>
        <v>2810826.52</v>
      </c>
      <c r="H38" s="115"/>
      <c r="I38" s="115">
        <f>SUBTOTAL(109,Tableau_Lancer_la_requête_à_partir_de_Export_Bdossiers[Part privée])</f>
        <v>12939.8</v>
      </c>
      <c r="J38" s="115">
        <f>SUBTOTAL(109,Tableau_Lancer_la_requête_à_partir_de_Export_Bdossiers[Autofinancement])</f>
        <v>1832577.24</v>
      </c>
      <c r="K38" s="115"/>
      <c r="L38" s="115">
        <f>SUBTOTAL(109,Tableau_Lancer_la_requête_à_partir_de_Export_Bdossiers[UE])</f>
        <v>1727347</v>
      </c>
      <c r="M38" s="115"/>
      <c r="N38" s="115">
        <f>SUBTOTAL(109,Tableau_Lancer_la_requête_à_partir_de_Export_Bdossiers[DPN])</f>
        <v>1083479.52</v>
      </c>
      <c r="O38" s="115">
        <f>SUBTOTAL(109,Tableau_Lancer_la_requête_à_partir_de_Export_Bdossiers[Total CR])</f>
        <v>427942.12</v>
      </c>
      <c r="P38" s="115">
        <f>SUBTOTAL(109,Tableau_Lancer_la_requête_à_partir_de_Export_Bdossiers[Auvergne])</f>
        <v>212586</v>
      </c>
      <c r="Q38" s="115">
        <f>SUBTOTAL(109,Tableau_Lancer_la_requête_à_partir_de_Export_Bdossiers[Bourgogne])</f>
        <v>56170</v>
      </c>
      <c r="R38" s="115">
        <f>SUBTOTAL(109,Tableau_Lancer_la_requête_à_partir_de_Export_Bdossiers[Languedoc-Roussillon])</f>
        <v>44328</v>
      </c>
      <c r="S38" s="115">
        <f>SUBTOTAL(109,Tableau_Lancer_la_requête_à_partir_de_Export_Bdossiers[Limousin])</f>
        <v>75903</v>
      </c>
      <c r="T38" s="115">
        <f>SUBTOTAL(109,Tableau_Lancer_la_requête_à_partir_de_Export_Bdossiers[Midi-Pyrénées])</f>
        <v>0</v>
      </c>
      <c r="U38" s="115">
        <f>SUBTOTAL(109,Tableau_Lancer_la_requête_à_partir_de_Export_Bdossiers[Rhône-Alpes])</f>
        <v>38955.120000000003</v>
      </c>
      <c r="V38" s="115">
        <f>SUBTOTAL(109,Tableau_Lancer_la_requête_à_partir_de_Export_Bdossiers[Total Etat])</f>
        <v>488894</v>
      </c>
      <c r="W38" s="115">
        <f>SUBTOTAL(109,Tableau_Lancer_la_requête_à_partir_de_Export_Bdossiers[FNADT])</f>
        <v>488894</v>
      </c>
      <c r="X38" s="115">
        <f>SUBTOTAL(109,Tableau_Lancer_la_requête_à_partir_de_Export_Bdossiers[Environnement])</f>
        <v>0</v>
      </c>
      <c r="Y38" s="115">
        <f>SUBTOTAL(109,Tableau_Lancer_la_requête_à_partir_de_Export_Bdossiers[Agriculture])</f>
        <v>0</v>
      </c>
      <c r="Z38" s="115">
        <f>SUBTOTAL(109,Tableau_Lancer_la_requête_à_partir_de_Export_Bdossiers[Autre Etat 3])</f>
        <v>0</v>
      </c>
      <c r="AA38" s="115">
        <f>SUBTOTAL(109,Tableau_Lancer_la_requête_à_partir_de_Export_Bdossiers[Autre Etat Divers])</f>
        <v>0</v>
      </c>
      <c r="AB38" s="115">
        <f>SUBTOTAL(109,Tableau_Lancer_la_requête_à_partir_de_Export_Bdossiers[Total CG])</f>
        <v>129738</v>
      </c>
      <c r="AC38" s="115">
        <f>SUBTOTAL(109,Tableau_Lancer_la_requête_à_partir_de_Export_Bdossiers[03])</f>
        <v>0</v>
      </c>
      <c r="AD38" s="115">
        <f>SUBTOTAL(109,Tableau_Lancer_la_requête_à_partir_de_Export_Bdossiers[07])</f>
        <v>0</v>
      </c>
      <c r="AE38" s="115">
        <f>SUBTOTAL(109,Tableau_Lancer_la_requête_à_partir_de_Export_Bdossiers[11])</f>
        <v>0</v>
      </c>
      <c r="AF38" s="115">
        <f>SUBTOTAL(109,Tableau_Lancer_la_requête_à_partir_de_Export_Bdossiers[12])</f>
        <v>0</v>
      </c>
      <c r="AG38" s="115">
        <f>SUBTOTAL(109,Tableau_Lancer_la_requête_à_partir_de_Export_Bdossiers[15])</f>
        <v>0</v>
      </c>
      <c r="AH38" s="115">
        <f>SUBTOTAL(109,Tableau_Lancer_la_requête_à_partir_de_Export_Bdossiers[19])</f>
        <v>0</v>
      </c>
      <c r="AI38" s="115">
        <f>SUBTOTAL(109,Tableau_Lancer_la_requête_à_partir_de_Export_Bdossiers[21])</f>
        <v>0</v>
      </c>
      <c r="AJ38" s="115">
        <f>SUBTOTAL(109,Tableau_Lancer_la_requête_à_partir_de_Export_Bdossiers[23])</f>
        <v>0</v>
      </c>
      <c r="AK38" s="115">
        <f>SUBTOTAL(109,Tableau_Lancer_la_requête_à_partir_de_Export_Bdossiers[30])</f>
        <v>0</v>
      </c>
      <c r="AL38" s="115">
        <f>SUBTOTAL(109,Tableau_Lancer_la_requête_à_partir_de_Export_Bdossiers[34])</f>
        <v>0</v>
      </c>
      <c r="AM38" s="115">
        <f>SUBTOTAL(109,Tableau_Lancer_la_requête_à_partir_de_Export_Bdossiers[42])</f>
        <v>0</v>
      </c>
      <c r="AN38" s="115">
        <f>SUBTOTAL(109,Tableau_Lancer_la_requête_à_partir_de_Export_Bdossiers[43])</f>
        <v>0</v>
      </c>
      <c r="AO38" s="115">
        <f>SUBTOTAL(109,Tableau_Lancer_la_requête_à_partir_de_Export_Bdossiers[46])</f>
        <v>0</v>
      </c>
      <c r="AP38" s="115">
        <f>SUBTOTAL(109,Tableau_Lancer_la_requête_à_partir_de_Export_Bdossiers[48])</f>
        <v>50462</v>
      </c>
      <c r="AQ38" s="115">
        <f>SUBTOTAL(109,Tableau_Lancer_la_requête_à_partir_de_Export_Bdossiers[58])</f>
        <v>0</v>
      </c>
      <c r="AR38" s="115">
        <f>SUBTOTAL(109,Tableau_Lancer_la_requête_à_partir_de_Export_Bdossiers[63])</f>
        <v>0</v>
      </c>
      <c r="AS38" s="115">
        <f>SUBTOTAL(109,Tableau_Lancer_la_requête_à_partir_de_Export_Bdossiers[69])</f>
        <v>53020</v>
      </c>
      <c r="AT38" s="115">
        <f>SUBTOTAL(109,Tableau_Lancer_la_requête_à_partir_de_Export_Bdossiers[71])</f>
        <v>0</v>
      </c>
      <c r="AU38" s="115">
        <f>SUBTOTAL(109,Tableau_Lancer_la_requête_à_partir_de_Export_Bdossiers[81])</f>
        <v>0</v>
      </c>
      <c r="AV38" s="115">
        <f>SUBTOTAL(109,Tableau_Lancer_la_requête_à_partir_de_Export_Bdossiers[82])</f>
        <v>26256</v>
      </c>
      <c r="AW38" s="115">
        <f>SUBTOTAL(109,Tableau_Lancer_la_requête_à_partir_de_Export_Bdossiers[87])</f>
        <v>0</v>
      </c>
      <c r="AX38" s="115">
        <f>SUBTOTAL(109,Tableau_Lancer_la_requête_à_partir_de_Export_Bdossiers[89])</f>
        <v>0</v>
      </c>
      <c r="AY38" s="115">
        <f>SUBTOTAL(109,Tableau_Lancer_la_requête_à_partir_de_Export_Bdossiers[Autre Public])</f>
        <v>36905.4</v>
      </c>
      <c r="AZ38" s="113"/>
      <c r="BA38" s="115">
        <f>SUBTOTAL(109,Tableau_Lancer_la_requête_à_partir_de_Export_Bdossiers[Avis Cprog])</f>
        <v>0</v>
      </c>
      <c r="BB38" s="116"/>
      <c r="BC38" s="116">
        <f>SUBTOTAL(103,Tableau_Lancer_la_requête_à_partir_de_Export_Bdossiers[NomReg])</f>
        <v>32</v>
      </c>
      <c r="BJ38" s="31"/>
      <c r="BK38" s="31"/>
      <c r="BL38" s="31"/>
    </row>
    <row r="39" spans="1:64" x14ac:dyDescent="0.25">
      <c r="K39" s="66">
        <f>SUBTOTAL(2,Tableau_Lancer_la_requête_à_partir_de_Export_Bdossiers[UE])</f>
        <v>31</v>
      </c>
      <c r="BJ39" s="31"/>
      <c r="BK39" s="31"/>
      <c r="BL39" s="31"/>
    </row>
    <row r="40" spans="1:64" x14ac:dyDescent="0.25">
      <c r="F40" s="31"/>
      <c r="H40" s="31"/>
      <c r="L40" s="31"/>
      <c r="O40" s="31"/>
      <c r="Q40" s="31"/>
      <c r="BL40" s="31"/>
    </row>
    <row r="41" spans="1:64" x14ac:dyDescent="0.25">
      <c r="K41" s="65" t="e">
        <f>SUBTOTAL(2,#REF!)</f>
        <v>#REF!</v>
      </c>
      <c r="BL41" s="31"/>
    </row>
    <row r="42" spans="1:64" x14ac:dyDescent="0.25">
      <c r="A42" s="141" t="s">
        <v>283</v>
      </c>
      <c r="B42" s="141"/>
      <c r="C42" s="141"/>
    </row>
    <row r="43" spans="1:64" ht="31.5" x14ac:dyDescent="0.25">
      <c r="A43" s="32" t="s">
        <v>178</v>
      </c>
      <c r="B43" s="32" t="s">
        <v>0</v>
      </c>
      <c r="C43" s="32" t="s">
        <v>1</v>
      </c>
      <c r="D43" s="32" t="s">
        <v>2</v>
      </c>
      <c r="E43" s="32" t="s">
        <v>13</v>
      </c>
      <c r="F43" s="32" t="s">
        <v>14</v>
      </c>
      <c r="G43" s="32" t="s">
        <v>15</v>
      </c>
      <c r="H43" s="32" t="s">
        <v>16</v>
      </c>
      <c r="I43" s="32" t="s">
        <v>8</v>
      </c>
      <c r="J43" s="32" t="s">
        <v>17</v>
      </c>
      <c r="K43" s="32" t="s">
        <v>18</v>
      </c>
      <c r="L43" s="32" t="s">
        <v>3</v>
      </c>
      <c r="M43" s="33" t="s">
        <v>19</v>
      </c>
      <c r="N43" s="32" t="s">
        <v>20</v>
      </c>
      <c r="O43" s="32" t="s">
        <v>4</v>
      </c>
      <c r="P43" s="32" t="s">
        <v>11</v>
      </c>
      <c r="Q43" s="32" t="s">
        <v>21</v>
      </c>
      <c r="R43" s="32" t="s">
        <v>12</v>
      </c>
      <c r="S43" s="32" t="s">
        <v>22</v>
      </c>
      <c r="T43" s="32" t="s">
        <v>23</v>
      </c>
      <c r="U43" s="32" t="s">
        <v>10</v>
      </c>
      <c r="V43" s="32" t="s">
        <v>5</v>
      </c>
      <c r="W43" s="32" t="s">
        <v>24</v>
      </c>
      <c r="X43" s="32" t="s">
        <v>25</v>
      </c>
      <c r="Y43" s="32" t="s">
        <v>26</v>
      </c>
      <c r="Z43" s="32" t="s">
        <v>27</v>
      </c>
      <c r="AA43" s="32" t="s">
        <v>28</v>
      </c>
      <c r="AB43" s="32" t="s">
        <v>6</v>
      </c>
      <c r="AC43" s="32" t="s">
        <v>29</v>
      </c>
      <c r="AD43" s="32" t="s">
        <v>30</v>
      </c>
      <c r="AE43" s="32" t="s">
        <v>31</v>
      </c>
      <c r="AF43" s="32" t="s">
        <v>32</v>
      </c>
      <c r="AG43" s="32" t="s">
        <v>33</v>
      </c>
      <c r="AH43" s="32" t="s">
        <v>34</v>
      </c>
      <c r="AI43" s="32" t="s">
        <v>35</v>
      </c>
      <c r="AJ43" s="32" t="s">
        <v>36</v>
      </c>
      <c r="AK43" s="32" t="s">
        <v>37</v>
      </c>
      <c r="AL43" s="32" t="s">
        <v>38</v>
      </c>
      <c r="AM43" s="32" t="s">
        <v>39</v>
      </c>
      <c r="AN43" s="32" t="s">
        <v>40</v>
      </c>
      <c r="AO43" s="32" t="s">
        <v>41</v>
      </c>
      <c r="AP43" s="32" t="s">
        <v>42</v>
      </c>
      <c r="AQ43" s="32" t="s">
        <v>43</v>
      </c>
      <c r="AR43" s="32" t="s">
        <v>44</v>
      </c>
      <c r="AS43" s="32" t="s">
        <v>45</v>
      </c>
      <c r="AT43" s="32" t="s">
        <v>46</v>
      </c>
      <c r="AU43" s="32" t="s">
        <v>47</v>
      </c>
      <c r="AV43" s="32" t="s">
        <v>48</v>
      </c>
      <c r="AW43" s="32" t="s">
        <v>49</v>
      </c>
      <c r="AX43" s="32" t="s">
        <v>50</v>
      </c>
      <c r="AY43" s="32" t="s">
        <v>7</v>
      </c>
      <c r="AZ43" s="32" t="s">
        <v>326</v>
      </c>
      <c r="BA43" s="32" t="s">
        <v>51</v>
      </c>
      <c r="BB43" s="32" t="s">
        <v>52</v>
      </c>
      <c r="BC43" s="32" t="s">
        <v>9</v>
      </c>
      <c r="BD43" s="32"/>
      <c r="BE43" s="32"/>
      <c r="BI43" s="32"/>
      <c r="BL43" s="31"/>
    </row>
    <row r="44" spans="1:64" ht="72" customHeight="1" x14ac:dyDescent="0.25">
      <c r="A44" s="69" t="s">
        <v>179</v>
      </c>
      <c r="B44" s="31" t="s">
        <v>374</v>
      </c>
      <c r="C44" s="31" t="s">
        <v>115</v>
      </c>
      <c r="D44" s="31" t="s">
        <v>116</v>
      </c>
      <c r="E44" s="34">
        <v>56580</v>
      </c>
      <c r="F44" s="34"/>
      <c r="G44" s="34">
        <v>0</v>
      </c>
      <c r="H44" s="33">
        <v>0</v>
      </c>
      <c r="I44" s="34"/>
      <c r="J44" s="34"/>
      <c r="K44" s="33"/>
      <c r="L44" s="34"/>
      <c r="M44" s="33" t="s">
        <v>59</v>
      </c>
      <c r="N44" s="34">
        <v>0</v>
      </c>
      <c r="O44" s="34">
        <v>0</v>
      </c>
      <c r="P44" s="34"/>
      <c r="Q44" s="34"/>
      <c r="R44" s="34"/>
      <c r="S44" s="34"/>
      <c r="T44" s="34"/>
      <c r="U44" s="34"/>
      <c r="V44" s="34">
        <v>0</v>
      </c>
      <c r="W44" s="34"/>
      <c r="X44" s="34"/>
      <c r="Y44" s="34"/>
      <c r="Z44" s="34"/>
      <c r="AA44" s="34"/>
      <c r="AB44" s="34">
        <v>0</v>
      </c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69" t="s">
        <v>387</v>
      </c>
      <c r="BA44" s="31" t="s">
        <v>114</v>
      </c>
      <c r="BB44" s="32" t="s">
        <v>43</v>
      </c>
      <c r="BC44" s="32" t="s">
        <v>21</v>
      </c>
      <c r="BI44" s="32"/>
      <c r="BL44" s="31"/>
    </row>
    <row r="45" spans="1:64" ht="102" customHeight="1" x14ac:dyDescent="0.25">
      <c r="A45" s="69" t="s">
        <v>179</v>
      </c>
      <c r="B45" s="31" t="s">
        <v>351</v>
      </c>
      <c r="C45" s="31" t="s">
        <v>117</v>
      </c>
      <c r="D45" s="31" t="s">
        <v>118</v>
      </c>
      <c r="E45" s="34">
        <v>93909.359999999986</v>
      </c>
      <c r="F45" s="34"/>
      <c r="G45" s="34">
        <v>0</v>
      </c>
      <c r="H45" s="33">
        <v>0</v>
      </c>
      <c r="I45" s="34"/>
      <c r="J45" s="34"/>
      <c r="K45" s="33"/>
      <c r="L45" s="34"/>
      <c r="M45" s="33" t="s">
        <v>59</v>
      </c>
      <c r="N45" s="34">
        <v>0</v>
      </c>
      <c r="O45" s="34">
        <v>0</v>
      </c>
      <c r="P45" s="34"/>
      <c r="Q45" s="34"/>
      <c r="R45" s="34"/>
      <c r="S45" s="34"/>
      <c r="T45" s="34"/>
      <c r="U45" s="34"/>
      <c r="V45" s="34">
        <v>0</v>
      </c>
      <c r="W45" s="34"/>
      <c r="X45" s="34"/>
      <c r="Y45" s="34"/>
      <c r="Z45" s="34"/>
      <c r="AA45" s="34"/>
      <c r="AB45" s="34">
        <v>0</v>
      </c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1" t="s">
        <v>364</v>
      </c>
      <c r="BA45" s="31" t="s">
        <v>114</v>
      </c>
      <c r="BB45" s="32" t="s">
        <v>43</v>
      </c>
      <c r="BC45" s="32" t="s">
        <v>21</v>
      </c>
      <c r="BI45" s="32"/>
      <c r="BL45" s="31"/>
    </row>
    <row r="46" spans="1:64" ht="80.25" customHeight="1" x14ac:dyDescent="0.25">
      <c r="A46" s="69" t="s">
        <v>179</v>
      </c>
      <c r="B46" s="31" t="s">
        <v>375</v>
      </c>
      <c r="C46" s="31" t="s">
        <v>119</v>
      </c>
      <c r="D46" s="31" t="s">
        <v>120</v>
      </c>
      <c r="E46" s="34">
        <v>44100</v>
      </c>
      <c r="F46" s="34"/>
      <c r="G46" s="34">
        <v>0</v>
      </c>
      <c r="H46" s="33">
        <v>0</v>
      </c>
      <c r="I46" s="34"/>
      <c r="J46" s="34"/>
      <c r="K46" s="33"/>
      <c r="L46" s="34"/>
      <c r="M46" s="33" t="s">
        <v>59</v>
      </c>
      <c r="N46" s="34">
        <v>0</v>
      </c>
      <c r="O46" s="34">
        <v>0</v>
      </c>
      <c r="P46" s="34"/>
      <c r="Q46" s="34"/>
      <c r="R46" s="34"/>
      <c r="S46" s="34"/>
      <c r="T46" s="34"/>
      <c r="U46" s="34"/>
      <c r="V46" s="34">
        <v>0</v>
      </c>
      <c r="W46" s="34"/>
      <c r="X46" s="34"/>
      <c r="Y46" s="34"/>
      <c r="Z46" s="34"/>
      <c r="AA46" s="34"/>
      <c r="AB46" s="34">
        <v>0</v>
      </c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69" t="s">
        <v>388</v>
      </c>
      <c r="BA46" s="31" t="s">
        <v>114</v>
      </c>
      <c r="BB46" s="32" t="s">
        <v>35</v>
      </c>
      <c r="BC46" s="32" t="s">
        <v>21</v>
      </c>
      <c r="BI46" s="32"/>
      <c r="BL46" s="31"/>
    </row>
    <row r="47" spans="1:64" x14ac:dyDescent="0.25">
      <c r="B47" s="31" t="s">
        <v>181</v>
      </c>
      <c r="E47" s="34">
        <f>SUBTOTAL(109,Tableau_Lancer_la_requête_à_partir_de_Export_Bdossiers34[Coût total Opération])</f>
        <v>194589.36</v>
      </c>
      <c r="F47" s="34">
        <f>SUBTOTAL(109,Tableau_Lancer_la_requête_à_partir_de_Export_Bdossiers34[Coût total Eligible FEDER])</f>
        <v>0</v>
      </c>
      <c r="G47" s="34">
        <f>SUBTOTAL(109,Tableau_Lancer_la_requête_à_partir_de_Export_Bdossiers34[Part Publique])</f>
        <v>0</v>
      </c>
      <c r="H47" s="34"/>
      <c r="I47" s="34">
        <f>SUBTOTAL(109,Tableau_Lancer_la_requête_à_partir_de_Export_Bdossiers34[Part privée])</f>
        <v>0</v>
      </c>
      <c r="J47" s="34">
        <f>SUBTOTAL(109,Tableau_Lancer_la_requête_à_partir_de_Export_Bdossiers34[Autofinancement])</f>
        <v>0</v>
      </c>
      <c r="K47" s="34"/>
      <c r="L47" s="34">
        <f>SUBTOTAL(109,Tableau_Lancer_la_requête_à_partir_de_Export_Bdossiers34[UE])</f>
        <v>0</v>
      </c>
      <c r="M47" s="34"/>
      <c r="N47" s="34">
        <f>SUBTOTAL(109,Tableau_Lancer_la_requête_à_partir_de_Export_Bdossiers34[DPN])</f>
        <v>0</v>
      </c>
      <c r="O47" s="34">
        <f>SUBTOTAL(109,Tableau_Lancer_la_requête_à_partir_de_Export_Bdossiers34[Total CR])</f>
        <v>0</v>
      </c>
      <c r="P47" s="34">
        <f>SUBTOTAL(109,Tableau_Lancer_la_requête_à_partir_de_Export_Bdossiers34[Auvergne])</f>
        <v>0</v>
      </c>
      <c r="Q47" s="34">
        <f>SUBTOTAL(109,Tableau_Lancer_la_requête_à_partir_de_Export_Bdossiers34[Bourgogne])</f>
        <v>0</v>
      </c>
      <c r="R47" s="34">
        <f>SUBTOTAL(109,Tableau_Lancer_la_requête_à_partir_de_Export_Bdossiers34[Languedoc-Roussillon])</f>
        <v>0</v>
      </c>
      <c r="S47" s="34">
        <f>SUBTOTAL(109,Tableau_Lancer_la_requête_à_partir_de_Export_Bdossiers34[Limousin])</f>
        <v>0</v>
      </c>
      <c r="T47" s="34">
        <f>SUBTOTAL(109,Tableau_Lancer_la_requête_à_partir_de_Export_Bdossiers34[Midi-Pyrénées])</f>
        <v>0</v>
      </c>
      <c r="U47" s="34">
        <f>SUBTOTAL(109,Tableau_Lancer_la_requête_à_partir_de_Export_Bdossiers34[Rhône-Alpes])</f>
        <v>0</v>
      </c>
      <c r="V47" s="34">
        <f>SUBTOTAL(109,Tableau_Lancer_la_requête_à_partir_de_Export_Bdossiers34[Total Etat])</f>
        <v>0</v>
      </c>
      <c r="W47" s="34">
        <f>SUBTOTAL(109,Tableau_Lancer_la_requête_à_partir_de_Export_Bdossiers34[FNADT])</f>
        <v>0</v>
      </c>
      <c r="X47" s="34">
        <f>SUBTOTAL(109,Tableau_Lancer_la_requête_à_partir_de_Export_Bdossiers34[Environnement])</f>
        <v>0</v>
      </c>
      <c r="Y47" s="34">
        <f>SUBTOTAL(109,Tableau_Lancer_la_requête_à_partir_de_Export_Bdossiers34[Agriculture])</f>
        <v>0</v>
      </c>
      <c r="Z47" s="34">
        <f>SUBTOTAL(109,Tableau_Lancer_la_requête_à_partir_de_Export_Bdossiers34[Autre Etat 3])</f>
        <v>0</v>
      </c>
      <c r="AA47" s="34">
        <f>SUBTOTAL(109,Tableau_Lancer_la_requête_à_partir_de_Export_Bdossiers34[Autre Etat Divers])</f>
        <v>0</v>
      </c>
      <c r="AB47" s="34">
        <f>SUBTOTAL(109,Tableau_Lancer_la_requête_à_partir_de_Export_Bdossiers34[Total CG])</f>
        <v>0</v>
      </c>
      <c r="AC47" s="34">
        <f>SUBTOTAL(109,Tableau_Lancer_la_requête_à_partir_de_Export_Bdossiers34[03])</f>
        <v>0</v>
      </c>
      <c r="AD47" s="34">
        <f>SUBTOTAL(109,Tableau_Lancer_la_requête_à_partir_de_Export_Bdossiers34[07])</f>
        <v>0</v>
      </c>
      <c r="AE47" s="34">
        <f>SUBTOTAL(109,Tableau_Lancer_la_requête_à_partir_de_Export_Bdossiers34[11])</f>
        <v>0</v>
      </c>
      <c r="AF47" s="34">
        <f>SUBTOTAL(109,Tableau_Lancer_la_requête_à_partir_de_Export_Bdossiers34[12])</f>
        <v>0</v>
      </c>
      <c r="AG47" s="34">
        <f>SUBTOTAL(109,Tableau_Lancer_la_requête_à_partir_de_Export_Bdossiers34[15])</f>
        <v>0</v>
      </c>
      <c r="AH47" s="34">
        <f>SUBTOTAL(109,Tableau_Lancer_la_requête_à_partir_de_Export_Bdossiers34[19])</f>
        <v>0</v>
      </c>
      <c r="AI47" s="34">
        <f>SUBTOTAL(109,Tableau_Lancer_la_requête_à_partir_de_Export_Bdossiers34[21])</f>
        <v>0</v>
      </c>
      <c r="AJ47" s="34">
        <f>SUBTOTAL(109,Tableau_Lancer_la_requête_à_partir_de_Export_Bdossiers34[23])</f>
        <v>0</v>
      </c>
      <c r="AK47" s="34">
        <f>SUBTOTAL(109,Tableau_Lancer_la_requête_à_partir_de_Export_Bdossiers34[30])</f>
        <v>0</v>
      </c>
      <c r="AL47" s="34">
        <f>SUBTOTAL(109,Tableau_Lancer_la_requête_à_partir_de_Export_Bdossiers34[34])</f>
        <v>0</v>
      </c>
      <c r="AM47" s="34">
        <f>SUBTOTAL(109,Tableau_Lancer_la_requête_à_partir_de_Export_Bdossiers34[42])</f>
        <v>0</v>
      </c>
      <c r="AN47" s="34">
        <f>SUBTOTAL(109,Tableau_Lancer_la_requête_à_partir_de_Export_Bdossiers34[43])</f>
        <v>0</v>
      </c>
      <c r="AO47" s="34">
        <f>SUBTOTAL(109,Tableau_Lancer_la_requête_à_partir_de_Export_Bdossiers34[46])</f>
        <v>0</v>
      </c>
      <c r="AP47" s="34">
        <f>SUBTOTAL(109,Tableau_Lancer_la_requête_à_partir_de_Export_Bdossiers34[48])</f>
        <v>0</v>
      </c>
      <c r="AQ47" s="34">
        <f>SUBTOTAL(109,Tableau_Lancer_la_requête_à_partir_de_Export_Bdossiers34[58])</f>
        <v>0</v>
      </c>
      <c r="AR47" s="34">
        <f>SUBTOTAL(109,Tableau_Lancer_la_requête_à_partir_de_Export_Bdossiers34[63])</f>
        <v>0</v>
      </c>
      <c r="AS47" s="34">
        <f>SUBTOTAL(109,Tableau_Lancer_la_requête_à_partir_de_Export_Bdossiers34[69])</f>
        <v>0</v>
      </c>
      <c r="AT47" s="34">
        <f>SUBTOTAL(109,Tableau_Lancer_la_requête_à_partir_de_Export_Bdossiers34[71])</f>
        <v>0</v>
      </c>
      <c r="AU47" s="34">
        <f>SUBTOTAL(109,Tableau_Lancer_la_requête_à_partir_de_Export_Bdossiers34[81])</f>
        <v>0</v>
      </c>
      <c r="AV47" s="34">
        <f>SUBTOTAL(109,Tableau_Lancer_la_requête_à_partir_de_Export_Bdossiers34[82])</f>
        <v>0</v>
      </c>
      <c r="AW47" s="34">
        <f>SUBTOTAL(109,Tableau_Lancer_la_requête_à_partir_de_Export_Bdossiers34[87])</f>
        <v>0</v>
      </c>
      <c r="AX47" s="34">
        <f>SUBTOTAL(109,Tableau_Lancer_la_requête_à_partir_de_Export_Bdossiers34[89])</f>
        <v>0</v>
      </c>
      <c r="AY47" s="34">
        <f>SUBTOTAL(109,Tableau_Lancer_la_requête_à_partir_de_Export_Bdossiers34[Autre Public])</f>
        <v>0</v>
      </c>
      <c r="BA47" s="34"/>
      <c r="BB47" s="32"/>
      <c r="BC47" s="32">
        <f>SUBTOTAL(103,Tableau_Lancer_la_requête_à_partir_de_Export_Bdossiers34[NomReg])</f>
        <v>3</v>
      </c>
      <c r="BD47" s="69"/>
      <c r="BE47" s="69"/>
      <c r="BI47" s="32"/>
      <c r="BL47" s="31"/>
    </row>
  </sheetData>
  <dataConsolidate/>
  <mergeCells count="4">
    <mergeCell ref="A4:C4"/>
    <mergeCell ref="A1:F1"/>
    <mergeCell ref="A42:C42"/>
    <mergeCell ref="A2:I2"/>
  </mergeCells>
  <conditionalFormatting sqref="AZ1:AZ4 BA5:BA38 AZ39:AZ42 AZ48:AZ1048576 BA43:BA47">
    <cfRule type="cellIs" dxfId="960" priority="1" operator="equal">
      <formula>"5-Défavorable"</formula>
    </cfRule>
    <cfRule type="cellIs" dxfId="959" priority="2" operator="equal">
      <formula>"1-Favorable"</formula>
    </cfRule>
  </conditionalFormatting>
  <printOptions horizontalCentered="1" verticalCentered="1"/>
  <pageMargins left="0.11811023622047245" right="0.11811023622047245" top="0.15748031496062992" bottom="0.15748031496062992" header="0.31496062992125984" footer="0.31496062992125984"/>
  <pageSetup paperSize="8" scale="41" fitToHeight="16" orientation="landscape" r:id="rId1"/>
  <rowBreaks count="1" manualBreakCount="1">
    <brk id="36" max="1638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30"/>
  <sheetViews>
    <sheetView view="pageBreakPreview" zoomScale="60" zoomScaleNormal="75" workbookViewId="0">
      <selection activeCell="H9" sqref="H9"/>
    </sheetView>
  </sheetViews>
  <sheetFormatPr baseColWidth="10" defaultRowHeight="15.75" outlineLevelCol="1" x14ac:dyDescent="0.25"/>
  <cols>
    <col min="1" max="1" width="16.140625" style="31" customWidth="1"/>
    <col min="2" max="2" width="46" style="31" customWidth="1"/>
    <col min="3" max="3" width="59.140625" style="31" customWidth="1"/>
    <col min="4" max="4" width="22.5703125" style="31" bestFit="1" customWidth="1"/>
    <col min="5" max="5" width="22.140625" style="31" customWidth="1"/>
    <col min="6" max="6" width="66.85546875" style="32" customWidth="1"/>
    <col min="7" max="7" width="13.5703125" style="31" bestFit="1" customWidth="1"/>
    <col min="8" max="8" width="11.28515625" style="32" bestFit="1" customWidth="1"/>
    <col min="9" max="9" width="18.140625" style="31" bestFit="1" customWidth="1"/>
    <col min="10" max="10" width="14.7109375" style="31" bestFit="1" customWidth="1"/>
    <col min="11" max="11" width="8" style="31" bestFit="1" customWidth="1"/>
    <col min="12" max="12" width="18" style="32" bestFit="1" customWidth="1"/>
    <col min="13" max="13" width="9.42578125" style="31" bestFit="1" customWidth="1"/>
    <col min="14" max="14" width="12.7109375" style="31" bestFit="1" customWidth="1"/>
    <col min="15" max="15" width="14.140625" style="32" hidden="1" customWidth="1" outlineLevel="1"/>
    <col min="16" max="16" width="11.85546875" style="31" hidden="1" customWidth="1" outlineLevel="1"/>
    <col min="17" max="17" width="15.7109375" style="32" hidden="1" customWidth="1" outlineLevel="1"/>
    <col min="18" max="18" width="13.5703125" style="31" hidden="1" customWidth="1" outlineLevel="1"/>
    <col min="19" max="19" width="13.85546875" style="31" hidden="1" customWidth="1" outlineLevel="1"/>
    <col min="20" max="20" width="17" style="31" hidden="1" customWidth="1" outlineLevel="1"/>
    <col min="21" max="21" width="13.85546875" style="31" bestFit="1" customWidth="1" collapsed="1"/>
    <col min="22" max="22" width="11.5703125" style="31" hidden="1" customWidth="1" outlineLevel="1"/>
    <col min="23" max="23" width="17.42578125" style="31" hidden="1" customWidth="1" outlineLevel="1"/>
    <col min="24" max="24" width="15.42578125" style="31" hidden="1" customWidth="1" outlineLevel="1"/>
    <col min="25" max="25" width="15.85546875" style="31" hidden="1" customWidth="1" outlineLevel="1"/>
    <col min="26" max="26" width="14.42578125" style="31" hidden="1" customWidth="1" outlineLevel="1"/>
    <col min="27" max="27" width="13" style="31" bestFit="1" customWidth="1" collapsed="1"/>
    <col min="28" max="49" width="7.5703125" style="31" hidden="1" customWidth="1" outlineLevel="1"/>
    <col min="50" max="50" width="11" style="31" bestFit="1" customWidth="1" collapsed="1"/>
    <col min="51" max="51" width="23.7109375" style="31" bestFit="1" customWidth="1"/>
    <col min="52" max="52" width="13" style="31" bestFit="1" customWidth="1"/>
    <col min="53" max="53" width="13.140625" style="31" bestFit="1" customWidth="1"/>
    <col min="54" max="54" width="12.7109375" style="31" bestFit="1" customWidth="1"/>
    <col min="55" max="55" width="16.42578125" style="31" customWidth="1"/>
    <col min="56" max="56" width="14.85546875" style="31" customWidth="1"/>
    <col min="57" max="57" width="13" style="31" customWidth="1"/>
    <col min="58" max="58" width="13.140625" style="32" customWidth="1"/>
    <col min="59" max="59" width="14" style="32" hidden="1" customWidth="1"/>
    <col min="60" max="60" width="16.85546875" style="39" customWidth="1"/>
    <col min="61" max="61" width="11.5703125" style="32" hidden="1" customWidth="1"/>
    <col min="62" max="62" width="10" style="32" hidden="1" customWidth="1"/>
    <col min="63" max="63" width="0" style="31" hidden="1" customWidth="1"/>
    <col min="64" max="16384" width="11.42578125" style="31"/>
  </cols>
  <sheetData>
    <row r="1" spans="1:62" ht="28.5" x14ac:dyDescent="0.25">
      <c r="A1" s="142" t="s">
        <v>264</v>
      </c>
      <c r="B1" s="142"/>
      <c r="C1" s="142"/>
      <c r="D1" s="142"/>
      <c r="E1" s="142"/>
      <c r="F1" s="142"/>
      <c r="G1" s="142"/>
      <c r="H1" s="142"/>
    </row>
    <row r="2" spans="1:62" ht="21" x14ac:dyDescent="0.25">
      <c r="A2" s="143" t="s">
        <v>320</v>
      </c>
      <c r="B2" s="143"/>
      <c r="C2" s="143"/>
      <c r="D2" s="143"/>
      <c r="E2" s="143"/>
      <c r="F2" s="143"/>
      <c r="G2" s="143"/>
      <c r="H2" s="143"/>
    </row>
    <row r="4" spans="1:62" ht="31.5" customHeight="1" x14ac:dyDescent="0.25">
      <c r="B4" s="144" t="s">
        <v>403</v>
      </c>
      <c r="C4" s="144"/>
    </row>
    <row r="5" spans="1:62" x14ac:dyDescent="0.25">
      <c r="A5" s="141" t="s">
        <v>389</v>
      </c>
      <c r="B5" s="141"/>
      <c r="C5" s="141"/>
    </row>
    <row r="6" spans="1:62" s="32" customFormat="1" x14ac:dyDescent="0.25">
      <c r="A6" s="32" t="s">
        <v>0</v>
      </c>
      <c r="B6" s="32" t="s">
        <v>1</v>
      </c>
      <c r="C6" s="32" t="s">
        <v>2</v>
      </c>
      <c r="D6" s="32" t="s">
        <v>52</v>
      </c>
      <c r="E6" s="32" t="s">
        <v>9</v>
      </c>
      <c r="F6" s="32" t="s">
        <v>390</v>
      </c>
    </row>
    <row r="7" spans="1:62" ht="57" customHeight="1" x14ac:dyDescent="0.25">
      <c r="A7" s="92" t="s">
        <v>391</v>
      </c>
      <c r="B7" s="92" t="s">
        <v>129</v>
      </c>
      <c r="C7" s="92" t="s">
        <v>392</v>
      </c>
      <c r="D7" s="98" t="s">
        <v>48</v>
      </c>
      <c r="E7" s="98" t="s">
        <v>23</v>
      </c>
      <c r="F7" s="31" t="s">
        <v>393</v>
      </c>
      <c r="H7" s="31"/>
      <c r="L7" s="31"/>
      <c r="O7" s="31"/>
      <c r="Q7" s="31"/>
      <c r="BF7" s="31"/>
      <c r="BG7" s="31"/>
      <c r="BH7" s="31"/>
      <c r="BI7" s="31"/>
      <c r="BJ7" s="31"/>
    </row>
    <row r="8" spans="1:62" ht="27" customHeight="1" x14ac:dyDescent="0.25">
      <c r="A8" s="92" t="s">
        <v>394</v>
      </c>
      <c r="B8" s="92" t="s">
        <v>122</v>
      </c>
      <c r="C8" s="92" t="s">
        <v>123</v>
      </c>
      <c r="D8" s="98" t="s">
        <v>44</v>
      </c>
      <c r="E8" s="98" t="s">
        <v>11</v>
      </c>
      <c r="F8" s="31"/>
      <c r="H8" s="31"/>
      <c r="L8" s="31"/>
      <c r="O8" s="31"/>
      <c r="Q8" s="31"/>
      <c r="BF8" s="31"/>
      <c r="BG8" s="31"/>
      <c r="BH8" s="31"/>
      <c r="BI8" s="31"/>
      <c r="BJ8" s="31"/>
    </row>
    <row r="9" spans="1:62" ht="31.5" x14ac:dyDescent="0.25">
      <c r="A9" s="92" t="s">
        <v>395</v>
      </c>
      <c r="B9" s="92" t="s">
        <v>121</v>
      </c>
      <c r="C9" s="92" t="s">
        <v>396</v>
      </c>
      <c r="D9" s="98" t="s">
        <v>44</v>
      </c>
      <c r="E9" s="98" t="s">
        <v>11</v>
      </c>
      <c r="F9" s="31"/>
      <c r="H9" s="31"/>
      <c r="L9" s="31"/>
      <c r="O9" s="31"/>
      <c r="Q9" s="31"/>
      <c r="BF9" s="31"/>
      <c r="BG9" s="31"/>
      <c r="BH9" s="31"/>
      <c r="BI9" s="31"/>
      <c r="BJ9" s="31"/>
    </row>
    <row r="10" spans="1:62" ht="31.5" x14ac:dyDescent="0.25">
      <c r="A10" s="31" t="s">
        <v>366</v>
      </c>
      <c r="B10" s="31" t="s">
        <v>124</v>
      </c>
      <c r="C10" s="31" t="s">
        <v>397</v>
      </c>
      <c r="D10" s="32" t="s">
        <v>37</v>
      </c>
      <c r="E10" s="32" t="s">
        <v>12</v>
      </c>
      <c r="F10" s="31"/>
      <c r="H10" s="31"/>
      <c r="L10" s="31"/>
      <c r="O10" s="31"/>
      <c r="Q10" s="31"/>
      <c r="BF10" s="31"/>
      <c r="BG10" s="31"/>
      <c r="BH10" s="31"/>
      <c r="BI10" s="31"/>
      <c r="BJ10" s="31"/>
    </row>
    <row r="11" spans="1:62" x14ac:dyDescent="0.25">
      <c r="A11" s="31" t="s">
        <v>365</v>
      </c>
      <c r="B11" s="31" t="s">
        <v>127</v>
      </c>
      <c r="C11" s="31" t="s">
        <v>128</v>
      </c>
      <c r="D11" s="32" t="s">
        <v>39</v>
      </c>
      <c r="E11" s="32" t="s">
        <v>10</v>
      </c>
      <c r="F11" s="31"/>
      <c r="H11" s="31"/>
      <c r="I11" s="32"/>
      <c r="J11" s="32"/>
      <c r="K11" s="39"/>
      <c r="M11" s="32"/>
      <c r="O11" s="31"/>
      <c r="Q11" s="31"/>
      <c r="BF11" s="31"/>
      <c r="BG11" s="31"/>
      <c r="BH11" s="31"/>
      <c r="BI11" s="31"/>
      <c r="BJ11" s="31"/>
    </row>
    <row r="12" spans="1:62" ht="47.25" x14ac:dyDescent="0.25">
      <c r="A12" s="31" t="s">
        <v>367</v>
      </c>
      <c r="B12" s="31" t="s">
        <v>125</v>
      </c>
      <c r="C12" s="31" t="s">
        <v>126</v>
      </c>
      <c r="D12" s="32" t="s">
        <v>30</v>
      </c>
      <c r="E12" s="32" t="s">
        <v>10</v>
      </c>
      <c r="F12" s="31"/>
      <c r="H12" s="31"/>
      <c r="J12" s="32"/>
      <c r="K12" s="32"/>
      <c r="L12" s="39"/>
      <c r="M12" s="32"/>
      <c r="N12" s="32"/>
      <c r="O12" s="31"/>
      <c r="Q12" s="31"/>
      <c r="BF12" s="31"/>
      <c r="BG12" s="31"/>
      <c r="BH12" s="31"/>
      <c r="BI12" s="31"/>
      <c r="BJ12" s="31"/>
    </row>
    <row r="13" spans="1:62" s="32" customFormat="1" ht="44.25" customHeight="1" x14ac:dyDescent="0.25">
      <c r="A13" s="92" t="s">
        <v>398</v>
      </c>
      <c r="B13" s="92" t="s">
        <v>130</v>
      </c>
      <c r="C13" s="92" t="s">
        <v>399</v>
      </c>
      <c r="D13" s="98" t="s">
        <v>43</v>
      </c>
      <c r="E13" s="98" t="s">
        <v>21</v>
      </c>
      <c r="F13" s="31" t="s">
        <v>400</v>
      </c>
    </row>
    <row r="14" spans="1:62" x14ac:dyDescent="0.25">
      <c r="A14" s="31" t="s">
        <v>181</v>
      </c>
      <c r="D14" s="32"/>
      <c r="E14" s="32">
        <f>SUBTOTAL(103,Tableau_Lancer_la_requête_à_partir_de_Export_Bdossiers56[NomReg])</f>
        <v>7</v>
      </c>
      <c r="F14" s="31"/>
      <c r="H14" s="31"/>
      <c r="L14" s="31"/>
      <c r="O14" s="31"/>
      <c r="Q14" s="31"/>
      <c r="BF14" s="31"/>
      <c r="BG14" s="31"/>
      <c r="BH14" s="31"/>
      <c r="BI14" s="31"/>
      <c r="BJ14" s="31"/>
    </row>
    <row r="15" spans="1:62" x14ac:dyDescent="0.25">
      <c r="BF15" s="31"/>
      <c r="BG15" s="31"/>
      <c r="BH15" s="31"/>
      <c r="BI15" s="31"/>
      <c r="BJ15" s="31"/>
    </row>
    <row r="16" spans="1:62" x14ac:dyDescent="0.25">
      <c r="D16" s="34"/>
      <c r="E16" s="34"/>
      <c r="F16" s="33"/>
      <c r="G16" s="34"/>
      <c r="H16" s="33"/>
      <c r="I16" s="34"/>
      <c r="J16" s="34"/>
      <c r="K16" s="34"/>
      <c r="M16" s="34"/>
      <c r="N16" s="34"/>
      <c r="P16" s="34"/>
      <c r="Q16" s="41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F16" s="31"/>
      <c r="BG16" s="31"/>
      <c r="BH16" s="31"/>
      <c r="BI16" s="31"/>
      <c r="BJ16" s="31"/>
    </row>
    <row r="17" spans="1:62" x14ac:dyDescent="0.25">
      <c r="A17" s="141" t="s">
        <v>401</v>
      </c>
      <c r="B17" s="141"/>
      <c r="C17" s="141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F17" s="31"/>
      <c r="BG17" s="31"/>
      <c r="BH17" s="31"/>
      <c r="BI17" s="31"/>
      <c r="BJ17" s="31"/>
    </row>
    <row r="18" spans="1:62" x14ac:dyDescent="0.25">
      <c r="A18" s="32" t="s">
        <v>0</v>
      </c>
      <c r="B18" s="32" t="s">
        <v>1</v>
      </c>
      <c r="C18" s="32" t="s">
        <v>2</v>
      </c>
      <c r="D18" s="32" t="s">
        <v>52</v>
      </c>
      <c r="E18" s="32" t="s">
        <v>9</v>
      </c>
      <c r="F18" s="31"/>
      <c r="H18" s="31"/>
      <c r="L18" s="31"/>
      <c r="O18" s="31"/>
      <c r="Q18" s="31"/>
      <c r="BF18" s="31"/>
      <c r="BG18" s="31"/>
      <c r="BH18" s="31"/>
      <c r="BI18" s="31"/>
      <c r="BJ18" s="31"/>
    </row>
    <row r="19" spans="1:62" ht="31.5" x14ac:dyDescent="0.25">
      <c r="A19" s="31" t="s">
        <v>372</v>
      </c>
      <c r="B19" s="31" t="s">
        <v>137</v>
      </c>
      <c r="C19" s="31" t="s">
        <v>138</v>
      </c>
      <c r="D19" s="32" t="s">
        <v>44</v>
      </c>
      <c r="E19" s="32" t="s">
        <v>11</v>
      </c>
      <c r="F19" s="31"/>
      <c r="H19" s="31"/>
      <c r="L19" s="31"/>
      <c r="O19" s="31"/>
      <c r="Q19" s="31"/>
      <c r="BF19" s="31"/>
      <c r="BG19" s="31"/>
      <c r="BH19" s="31"/>
      <c r="BI19" s="31"/>
      <c r="BJ19" s="31"/>
    </row>
    <row r="20" spans="1:62" ht="31.5" x14ac:dyDescent="0.25">
      <c r="A20" s="31" t="s">
        <v>369</v>
      </c>
      <c r="B20" s="31" t="s">
        <v>133</v>
      </c>
      <c r="C20" s="31" t="s">
        <v>134</v>
      </c>
      <c r="D20" s="32" t="s">
        <v>40</v>
      </c>
      <c r="E20" s="32" t="s">
        <v>11</v>
      </c>
      <c r="F20" s="31"/>
      <c r="H20" s="31"/>
      <c r="L20" s="31"/>
      <c r="O20" s="31"/>
      <c r="Q20" s="31"/>
      <c r="BF20" s="31"/>
      <c r="BG20" s="31"/>
      <c r="BH20" s="31"/>
      <c r="BI20" s="31"/>
      <c r="BJ20" s="31"/>
    </row>
    <row r="21" spans="1:62" s="32" customFormat="1" ht="31.5" x14ac:dyDescent="0.25">
      <c r="A21" s="31" t="s">
        <v>368</v>
      </c>
      <c r="B21" s="31" t="s">
        <v>131</v>
      </c>
      <c r="C21" s="31" t="s">
        <v>132</v>
      </c>
      <c r="D21" s="32" t="s">
        <v>33</v>
      </c>
      <c r="E21" s="32" t="s">
        <v>11</v>
      </c>
      <c r="F21" s="31"/>
    </row>
    <row r="22" spans="1:62" ht="31.5" x14ac:dyDescent="0.25">
      <c r="A22" s="31" t="s">
        <v>370</v>
      </c>
      <c r="B22" s="31" t="s">
        <v>76</v>
      </c>
      <c r="C22" s="31" t="s">
        <v>135</v>
      </c>
      <c r="D22" s="32" t="s">
        <v>33</v>
      </c>
      <c r="E22" s="32" t="s">
        <v>11</v>
      </c>
      <c r="H22" s="31"/>
      <c r="L22" s="31"/>
      <c r="O22" s="31"/>
      <c r="Q22" s="31"/>
      <c r="BF22" s="31"/>
      <c r="BG22" s="31"/>
      <c r="BH22" s="31"/>
      <c r="BI22" s="31"/>
      <c r="BJ22" s="31"/>
    </row>
    <row r="23" spans="1:62" ht="31.5" x14ac:dyDescent="0.25">
      <c r="A23" s="31" t="s">
        <v>373</v>
      </c>
      <c r="B23" s="31" t="s">
        <v>139</v>
      </c>
      <c r="C23" s="31" t="s">
        <v>140</v>
      </c>
      <c r="D23" s="32" t="s">
        <v>29</v>
      </c>
      <c r="E23" s="32" t="s">
        <v>11</v>
      </c>
      <c r="F23" s="31"/>
      <c r="H23" s="31"/>
      <c r="L23" s="31"/>
      <c r="O23" s="31"/>
      <c r="Q23" s="31"/>
      <c r="BF23" s="31"/>
      <c r="BG23" s="31"/>
      <c r="BH23" s="31"/>
      <c r="BI23" s="31"/>
      <c r="BJ23" s="31"/>
    </row>
    <row r="24" spans="1:62" x14ac:dyDescent="0.25">
      <c r="A24" s="92" t="s">
        <v>371</v>
      </c>
      <c r="B24" s="92" t="s">
        <v>136</v>
      </c>
      <c r="C24" s="92" t="s">
        <v>402</v>
      </c>
      <c r="D24" s="98" t="s">
        <v>40</v>
      </c>
      <c r="E24" s="98" t="s">
        <v>11</v>
      </c>
      <c r="F24" s="31"/>
      <c r="H24" s="31"/>
      <c r="L24" s="31"/>
      <c r="O24" s="31"/>
      <c r="Q24" s="31"/>
      <c r="BF24" s="31"/>
      <c r="BG24" s="31"/>
      <c r="BH24" s="31"/>
      <c r="BI24" s="31"/>
      <c r="BJ24" s="31"/>
    </row>
    <row r="25" spans="1:62" x14ac:dyDescent="0.25">
      <c r="A25" s="31" t="s">
        <v>181</v>
      </c>
      <c r="D25" s="32"/>
      <c r="E25" s="32">
        <f>SUBTOTAL(103,Tableau_Lancer_la_requête_à_partir_de_Export_Bdossiers5787[NomReg])</f>
        <v>6</v>
      </c>
      <c r="F25" s="31"/>
      <c r="H25" s="31"/>
      <c r="L25" s="31"/>
      <c r="O25" s="31"/>
      <c r="Q25" s="31"/>
      <c r="BF25" s="31"/>
      <c r="BG25" s="31"/>
      <c r="BH25" s="31"/>
      <c r="BI25" s="31"/>
      <c r="BJ25" s="31"/>
    </row>
    <row r="26" spans="1:62" x14ac:dyDescent="0.25">
      <c r="F26" s="31"/>
      <c r="H26" s="31"/>
      <c r="J26" s="32"/>
      <c r="K26" s="32"/>
      <c r="L26" s="39"/>
      <c r="M26" s="32"/>
      <c r="N26" s="32"/>
      <c r="O26" s="31"/>
      <c r="Q26" s="31"/>
      <c r="BF26" s="31"/>
      <c r="BG26" s="31"/>
      <c r="BH26" s="31"/>
      <c r="BI26" s="31"/>
      <c r="BJ26" s="31"/>
    </row>
    <row r="27" spans="1:62" x14ac:dyDescent="0.25">
      <c r="F27" s="31"/>
      <c r="H27" s="31"/>
      <c r="J27" s="32"/>
      <c r="K27" s="32"/>
      <c r="L27" s="39"/>
      <c r="M27" s="32"/>
      <c r="N27" s="32"/>
      <c r="O27" s="31"/>
      <c r="Q27" s="31"/>
      <c r="BF27" s="31"/>
      <c r="BG27" s="31"/>
      <c r="BH27" s="31"/>
      <c r="BI27" s="31"/>
      <c r="BJ27" s="31"/>
    </row>
    <row r="28" spans="1:62" x14ac:dyDescent="0.25">
      <c r="F28" s="31"/>
      <c r="H28" s="31"/>
      <c r="J28" s="32"/>
      <c r="K28" s="32"/>
      <c r="L28" s="39"/>
      <c r="M28" s="32"/>
      <c r="N28" s="32"/>
      <c r="O28" s="31"/>
      <c r="Q28" s="31"/>
      <c r="BF28" s="31"/>
      <c r="BG28" s="31"/>
      <c r="BH28" s="31"/>
      <c r="BI28" s="31"/>
      <c r="BJ28" s="31"/>
    </row>
    <row r="29" spans="1:62" x14ac:dyDescent="0.25">
      <c r="F29" s="31"/>
      <c r="H29" s="31"/>
      <c r="J29" s="32"/>
      <c r="K29" s="32"/>
      <c r="L29" s="39"/>
      <c r="M29" s="32"/>
      <c r="N29" s="32"/>
      <c r="O29" s="31"/>
      <c r="Q29" s="31"/>
      <c r="BF29" s="31"/>
      <c r="BG29" s="31"/>
      <c r="BH29" s="31"/>
      <c r="BI29" s="31"/>
      <c r="BJ29" s="31"/>
    </row>
    <row r="30" spans="1:62" x14ac:dyDescent="0.25">
      <c r="F30" s="31"/>
      <c r="H30" s="31"/>
      <c r="J30" s="32"/>
      <c r="K30" s="32"/>
      <c r="L30" s="39"/>
      <c r="M30" s="32"/>
      <c r="N30" s="32"/>
      <c r="O30" s="31"/>
      <c r="Q30" s="31"/>
      <c r="BF30" s="31"/>
      <c r="BG30" s="31"/>
      <c r="BH30" s="31"/>
      <c r="BI30" s="31"/>
      <c r="BJ30" s="31"/>
    </row>
  </sheetData>
  <mergeCells count="5">
    <mergeCell ref="A1:H1"/>
    <mergeCell ref="A2:H2"/>
    <mergeCell ref="B4:C4"/>
    <mergeCell ref="A5:C5"/>
    <mergeCell ref="A17:C17"/>
  </mergeCells>
  <conditionalFormatting sqref="AY1:AY1048576">
    <cfRule type="cellIs" dxfId="732" priority="1" operator="equal">
      <formula>"5-Défavorable"</formula>
    </cfRule>
    <cfRule type="cellIs" dxfId="731" priority="2" operator="equal">
      <formula>"1-Favorable"</formula>
    </cfRule>
  </conditionalFormatting>
  <printOptions horizontalCentered="1" verticalCentered="1"/>
  <pageMargins left="0.11811023622047245" right="0.11811023622047245" top="0.15748031496062992" bottom="0.15748031496062992" header="0.31496062992125984" footer="0.31496062992125984"/>
  <pageSetup paperSize="8" scale="48" fitToHeight="16" orientation="landscape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8"/>
  <sheetViews>
    <sheetView view="pageBreakPreview" topLeftCell="A4" zoomScale="60" zoomScaleNormal="75" workbookViewId="0">
      <selection activeCell="AZ13" sqref="AZ13"/>
    </sheetView>
  </sheetViews>
  <sheetFormatPr baseColWidth="10" defaultRowHeight="15.75" outlineLevelCol="1" x14ac:dyDescent="0.25"/>
  <cols>
    <col min="1" max="1" width="16.140625" style="31" customWidth="1"/>
    <col min="2" max="2" width="13.85546875" style="31" customWidth="1"/>
    <col min="3" max="3" width="41.42578125" style="31" customWidth="1"/>
    <col min="4" max="4" width="47.140625" style="31" customWidth="1"/>
    <col min="5" max="5" width="19.42578125" style="31" customWidth="1"/>
    <col min="6" max="6" width="20.140625" style="32" customWidth="1"/>
    <col min="7" max="7" width="27.7109375" style="31" bestFit="1" customWidth="1"/>
    <col min="8" max="8" width="13.85546875" style="32" customWidth="1"/>
    <col min="9" max="9" width="18.28515625" style="31" bestFit="1" customWidth="1"/>
    <col min="10" max="10" width="14.28515625" style="31" customWidth="1"/>
    <col min="11" max="11" width="21.5703125" style="31" customWidth="1"/>
    <col min="12" max="12" width="18.140625" style="32" bestFit="1" customWidth="1"/>
    <col min="13" max="13" width="14" style="31" bestFit="1" customWidth="1"/>
    <col min="14" max="14" width="12.85546875" style="31" bestFit="1" customWidth="1"/>
    <col min="15" max="15" width="18.85546875" style="32" customWidth="1"/>
    <col min="16" max="16" width="8" style="31" hidden="1" customWidth="1" outlineLevel="1"/>
    <col min="17" max="17" width="18" style="32" hidden="1" customWidth="1" outlineLevel="1"/>
    <col min="18" max="18" width="9.42578125" style="31" hidden="1" customWidth="1" outlineLevel="1"/>
    <col min="19" max="19" width="12.7109375" style="31" hidden="1" customWidth="1" outlineLevel="1"/>
    <col min="20" max="20" width="14.140625" style="31" hidden="1" customWidth="1" outlineLevel="1"/>
    <col min="21" max="21" width="15.140625" style="31" hidden="1" customWidth="1" outlineLevel="1" collapsed="1"/>
    <col min="22" max="22" width="25" style="31" customWidth="1" collapsed="1"/>
    <col min="23" max="23" width="13.5703125" style="31" hidden="1" customWidth="1" outlineLevel="1"/>
    <col min="24" max="24" width="18.7109375" style="31" hidden="1" customWidth="1" outlineLevel="1"/>
    <col min="25" max="25" width="17" style="31" hidden="1" customWidth="1" outlineLevel="1"/>
    <col min="26" max="26" width="13.85546875" style="31" hidden="1" customWidth="1" outlineLevel="1"/>
    <col min="27" max="27" width="11.5703125" style="31" hidden="1" customWidth="1" outlineLevel="1" collapsed="1"/>
    <col min="28" max="28" width="11.85546875" style="31" customWidth="1" collapsed="1"/>
    <col min="29" max="45" width="7.5703125" style="31" hidden="1" customWidth="1" outlineLevel="1"/>
    <col min="46" max="46" width="8" style="31" hidden="1" customWidth="1" outlineLevel="1"/>
    <col min="47" max="49" width="7.5703125" style="31" hidden="1" customWidth="1" outlineLevel="1"/>
    <col min="50" max="50" width="7.5703125" style="31" hidden="1" customWidth="1" outlineLevel="1" collapsed="1"/>
    <col min="51" max="51" width="7.5703125" style="31" customWidth="1" collapsed="1"/>
    <col min="52" max="52" width="51.28515625" style="31" customWidth="1"/>
    <col min="53" max="53" width="23.7109375" style="31" bestFit="1" customWidth="1"/>
    <col min="54" max="55" width="12.140625" style="31" customWidth="1"/>
    <col min="56" max="56" width="11.85546875" style="31" customWidth="1"/>
    <col min="57" max="57" width="16.42578125" style="31" customWidth="1"/>
    <col min="58" max="58" width="14.85546875" style="31" customWidth="1"/>
    <col min="59" max="59" width="13" style="31" customWidth="1"/>
    <col min="60" max="60" width="20.5703125" style="32" customWidth="1"/>
    <col min="61" max="61" width="16.85546875" style="32" customWidth="1"/>
    <col min="62" max="62" width="14" style="32" customWidth="1"/>
    <col min="63" max="63" width="23.28515625" style="32" bestFit="1" customWidth="1"/>
    <col min="64" max="64" width="11.5703125" style="32" bestFit="1" customWidth="1"/>
    <col min="65" max="65" width="10" style="31" bestFit="1" customWidth="1"/>
    <col min="66" max="16384" width="11.42578125" style="31"/>
  </cols>
  <sheetData>
    <row r="1" spans="1:64" ht="28.5" x14ac:dyDescent="0.25">
      <c r="A1" s="142" t="s">
        <v>265</v>
      </c>
      <c r="B1" s="142"/>
      <c r="C1" s="142"/>
      <c r="D1" s="142"/>
      <c r="E1" s="142"/>
      <c r="F1" s="142"/>
    </row>
    <row r="2" spans="1:64" ht="21" x14ac:dyDescent="0.25">
      <c r="A2" s="143" t="s">
        <v>320</v>
      </c>
      <c r="B2" s="143"/>
      <c r="C2" s="143"/>
      <c r="D2" s="143"/>
      <c r="E2" s="143"/>
      <c r="F2" s="143"/>
      <c r="G2" s="143"/>
      <c r="H2" s="143"/>
    </row>
    <row r="6" spans="1:64" ht="72" customHeight="1" x14ac:dyDescent="0.25">
      <c r="B6" s="1"/>
      <c r="C6" s="145" t="s">
        <v>363</v>
      </c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64" x14ac:dyDescent="0.25">
      <c r="A7" s="141" t="s">
        <v>282</v>
      </c>
      <c r="B7" s="141"/>
      <c r="C7" s="141"/>
    </row>
    <row r="8" spans="1:64" s="32" customFormat="1" ht="63" x14ac:dyDescent="0.25">
      <c r="A8" s="32" t="s">
        <v>178</v>
      </c>
      <c r="B8" s="32" t="s">
        <v>0</v>
      </c>
      <c r="C8" s="32" t="s">
        <v>1</v>
      </c>
      <c r="D8" s="32" t="s">
        <v>2</v>
      </c>
      <c r="E8" s="32" t="s">
        <v>13</v>
      </c>
      <c r="F8" s="32" t="s">
        <v>14</v>
      </c>
      <c r="G8" s="32" t="s">
        <v>15</v>
      </c>
      <c r="H8" s="32" t="s">
        <v>16</v>
      </c>
      <c r="I8" s="32" t="s">
        <v>8</v>
      </c>
      <c r="J8" s="32" t="s">
        <v>17</v>
      </c>
      <c r="K8" s="32" t="s">
        <v>18</v>
      </c>
      <c r="L8" s="32" t="s">
        <v>3</v>
      </c>
      <c r="M8" s="33" t="s">
        <v>19</v>
      </c>
      <c r="N8" s="32" t="s">
        <v>20</v>
      </c>
      <c r="O8" s="32" t="s">
        <v>4</v>
      </c>
      <c r="P8" s="32" t="s">
        <v>11</v>
      </c>
      <c r="Q8" s="32" t="s">
        <v>21</v>
      </c>
      <c r="R8" s="32" t="s">
        <v>12</v>
      </c>
      <c r="S8" s="32" t="s">
        <v>22</v>
      </c>
      <c r="T8" s="32" t="s">
        <v>23</v>
      </c>
      <c r="U8" s="32" t="s">
        <v>10</v>
      </c>
      <c r="V8" s="32" t="s">
        <v>5</v>
      </c>
      <c r="W8" s="32" t="s">
        <v>24</v>
      </c>
      <c r="X8" s="32" t="s">
        <v>25</v>
      </c>
      <c r="Y8" s="32" t="s">
        <v>26</v>
      </c>
      <c r="Z8" s="32" t="s">
        <v>27</v>
      </c>
      <c r="AA8" s="32" t="s">
        <v>28</v>
      </c>
      <c r="AB8" s="32" t="s">
        <v>6</v>
      </c>
      <c r="AC8" s="32" t="s">
        <v>29</v>
      </c>
      <c r="AD8" s="32" t="s">
        <v>30</v>
      </c>
      <c r="AE8" s="32" t="s">
        <v>31</v>
      </c>
      <c r="AF8" s="32" t="s">
        <v>32</v>
      </c>
      <c r="AG8" s="32" t="s">
        <v>33</v>
      </c>
      <c r="AH8" s="32" t="s">
        <v>34</v>
      </c>
      <c r="AI8" s="32" t="s">
        <v>35</v>
      </c>
      <c r="AJ8" s="32" t="s">
        <v>36</v>
      </c>
      <c r="AK8" s="32" t="s">
        <v>37</v>
      </c>
      <c r="AL8" s="32" t="s">
        <v>38</v>
      </c>
      <c r="AM8" s="32" t="s">
        <v>39</v>
      </c>
      <c r="AN8" s="32" t="s">
        <v>40</v>
      </c>
      <c r="AO8" s="32" t="s">
        <v>41</v>
      </c>
      <c r="AP8" s="32" t="s">
        <v>42</v>
      </c>
      <c r="AQ8" s="32" t="s">
        <v>43</v>
      </c>
      <c r="AR8" s="32" t="s">
        <v>44</v>
      </c>
      <c r="AS8" s="32" t="s">
        <v>45</v>
      </c>
      <c r="AT8" s="32" t="s">
        <v>46</v>
      </c>
      <c r="AU8" s="32" t="s">
        <v>47</v>
      </c>
      <c r="AV8" s="32" t="s">
        <v>48</v>
      </c>
      <c r="AW8" s="32" t="s">
        <v>49</v>
      </c>
      <c r="AX8" s="32" t="s">
        <v>50</v>
      </c>
      <c r="AY8" s="32" t="s">
        <v>7</v>
      </c>
      <c r="AZ8" s="32" t="s">
        <v>326</v>
      </c>
      <c r="BA8" s="32" t="s">
        <v>51</v>
      </c>
      <c r="BB8" s="32" t="s">
        <v>52</v>
      </c>
      <c r="BC8" s="32" t="s">
        <v>9</v>
      </c>
    </row>
    <row r="9" spans="1:64" ht="31.5" x14ac:dyDescent="0.25">
      <c r="A9" s="69" t="s">
        <v>179</v>
      </c>
      <c r="B9" s="31" t="s">
        <v>376</v>
      </c>
      <c r="C9" s="31" t="s">
        <v>141</v>
      </c>
      <c r="D9" s="31" t="s">
        <v>142</v>
      </c>
      <c r="E9" s="34">
        <v>95300.32</v>
      </c>
      <c r="F9" s="34">
        <v>95300.32</v>
      </c>
      <c r="G9" s="34">
        <f>Tableau_Lancer_la_requête_à_partir_de_Export_Bdossiers59[[#This Row],[UE]]+Tableau_Lancer_la_requête_à_partir_de_Export_Bdossiers59[[#This Row],[Total CR]]+Tableau_Lancer_la_requête_à_partir_de_Export_Bdossiers59[[#This Row],[Total Etat]]+Tableau_Lancer_la_requête_à_partir_de_Export_Bdossiers59[[#This Row],[Total CG]]+Tableau_Lancer_la_requête_à_partir_de_Export_Bdossiers59[[#This Row],[Autre Public]]</f>
        <v>66710</v>
      </c>
      <c r="H9" s="33">
        <f>Tableau_Lancer_la_requête_à_partir_de_Export_Bdossiers59[[#This Row],[Part Publique]]/Tableau_Lancer_la_requête_à_partir_de_Export_Bdossiers59[[#This Row],[Coût total Eligible FEDER]]</f>
        <v>0.69999764953569932</v>
      </c>
      <c r="I9" s="34"/>
      <c r="J9" s="34">
        <v>28590.320000000007</v>
      </c>
      <c r="K9" s="33">
        <v>0.30000235046430068</v>
      </c>
      <c r="L9" s="34">
        <v>38120</v>
      </c>
      <c r="M9" s="33" t="s">
        <v>182</v>
      </c>
      <c r="N9" s="34">
        <v>28590</v>
      </c>
      <c r="O9" s="34">
        <v>0</v>
      </c>
      <c r="P9" s="34"/>
      <c r="Q9" s="34"/>
      <c r="R9" s="34"/>
      <c r="S9" s="34"/>
      <c r="T9" s="34"/>
      <c r="U9" s="34"/>
      <c r="V9" s="34">
        <v>28590</v>
      </c>
      <c r="W9" s="34">
        <v>28590</v>
      </c>
      <c r="X9" s="34"/>
      <c r="Y9" s="34"/>
      <c r="Z9" s="34"/>
      <c r="AA9" s="34"/>
      <c r="AB9" s="34">
        <v>0</v>
      </c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69"/>
      <c r="BA9" s="31" t="s">
        <v>107</v>
      </c>
      <c r="BB9" s="32" t="s">
        <v>41</v>
      </c>
      <c r="BC9" s="32" t="s">
        <v>23</v>
      </c>
      <c r="BH9" s="31"/>
      <c r="BI9" s="31"/>
      <c r="BJ9" s="31"/>
      <c r="BK9" s="31"/>
      <c r="BL9" s="31"/>
    </row>
    <row r="10" spans="1:64" ht="31.5" x14ac:dyDescent="0.25">
      <c r="A10" s="69" t="s">
        <v>190</v>
      </c>
      <c r="B10" s="31" t="s">
        <v>377</v>
      </c>
      <c r="C10" s="31" t="s">
        <v>157</v>
      </c>
      <c r="D10" s="31" t="s">
        <v>158</v>
      </c>
      <c r="E10" s="34">
        <v>50181.21</v>
      </c>
      <c r="F10" s="34">
        <v>50181.21</v>
      </c>
      <c r="G10" s="34">
        <f>Tableau_Lancer_la_requête_à_partir_de_Export_Bdossiers59[[#This Row],[UE]]+Tableau_Lancer_la_requête_à_partir_de_Export_Bdossiers59[[#This Row],[Total CR]]+Tableau_Lancer_la_requête_à_partir_de_Export_Bdossiers59[[#This Row],[Total Etat]]+Tableau_Lancer_la_requête_à_partir_de_Export_Bdossiers59[[#This Row],[Total CG]]+Tableau_Lancer_la_requête_à_partir_de_Export_Bdossiers59[[#This Row],[Autre Public]]</f>
        <v>20072.48</v>
      </c>
      <c r="H10" s="33">
        <f>Tableau_Lancer_la_requête_à_partir_de_Export_Bdossiers59[[#This Row],[Part Publique]]/Tableau_Lancer_la_requête_à_partir_de_Export_Bdossiers59[[#This Row],[Coût total Eligible FEDER]]</f>
        <v>0.39999992028888903</v>
      </c>
      <c r="I10" s="34"/>
      <c r="J10" s="34">
        <v>30108.73</v>
      </c>
      <c r="K10" s="33">
        <v>0.60000007971111102</v>
      </c>
      <c r="L10" s="34"/>
      <c r="M10" s="33" t="s">
        <v>106</v>
      </c>
      <c r="N10" s="34">
        <v>20072.48</v>
      </c>
      <c r="O10" s="34">
        <v>0</v>
      </c>
      <c r="P10" s="34"/>
      <c r="Q10" s="34"/>
      <c r="R10" s="34"/>
      <c r="S10" s="34"/>
      <c r="T10" s="34"/>
      <c r="U10" s="34"/>
      <c r="V10" s="34">
        <v>20072.48</v>
      </c>
      <c r="W10" s="34">
        <v>20072.48</v>
      </c>
      <c r="X10" s="34"/>
      <c r="Y10" s="34"/>
      <c r="Z10" s="34"/>
      <c r="AA10" s="34"/>
      <c r="AB10" s="34">
        <v>0</v>
      </c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69"/>
      <c r="BA10" s="31" t="s">
        <v>107</v>
      </c>
      <c r="BB10" s="32" t="s">
        <v>30</v>
      </c>
      <c r="BC10" s="32" t="s">
        <v>10</v>
      </c>
      <c r="BH10" s="31"/>
      <c r="BI10" s="31"/>
      <c r="BJ10" s="31"/>
      <c r="BK10" s="31"/>
      <c r="BL10" s="31"/>
    </row>
    <row r="11" spans="1:64" ht="47.25" x14ac:dyDescent="0.25">
      <c r="A11" s="69" t="s">
        <v>190</v>
      </c>
      <c r="B11" s="31" t="s">
        <v>378</v>
      </c>
      <c r="C11" s="31" t="s">
        <v>151</v>
      </c>
      <c r="D11" s="31" t="s">
        <v>152</v>
      </c>
      <c r="E11" s="34">
        <v>25474.16</v>
      </c>
      <c r="F11" s="34">
        <v>25474.16</v>
      </c>
      <c r="G11" s="34">
        <f>Tableau_Lancer_la_requête_à_partir_de_Export_Bdossiers59[[#This Row],[UE]]+Tableau_Lancer_la_requête_à_partir_de_Export_Bdossiers59[[#This Row],[Total CR]]+Tableau_Lancer_la_requête_à_partir_de_Export_Bdossiers59[[#This Row],[Total Etat]]+Tableau_Lancer_la_requête_à_partir_de_Export_Bdossiers59[[#This Row],[Total CG]]+Tableau_Lancer_la_requête_à_partir_de_Export_Bdossiers59[[#This Row],[Autre Public]]</f>
        <v>12737</v>
      </c>
      <c r="H11" s="33">
        <f>Tableau_Lancer_la_requête_à_partir_de_Export_Bdossiers59[[#This Row],[Part Publique]]/Tableau_Lancer_la_requête_à_partir_de_Export_Bdossiers59[[#This Row],[Coût total Eligible FEDER]]</f>
        <v>0.49999685956278833</v>
      </c>
      <c r="I11" s="34"/>
      <c r="J11" s="34">
        <v>12737.16</v>
      </c>
      <c r="K11" s="33">
        <v>0.50000314043721161</v>
      </c>
      <c r="L11" s="34"/>
      <c r="M11" s="33" t="s">
        <v>106</v>
      </c>
      <c r="N11" s="34">
        <v>12737</v>
      </c>
      <c r="O11" s="34">
        <v>0</v>
      </c>
      <c r="P11" s="34"/>
      <c r="Q11" s="34"/>
      <c r="R11" s="34"/>
      <c r="S11" s="34"/>
      <c r="T11" s="34"/>
      <c r="U11" s="34"/>
      <c r="V11" s="34">
        <v>12737</v>
      </c>
      <c r="W11" s="34">
        <v>12737</v>
      </c>
      <c r="X11" s="34"/>
      <c r="Y11" s="34"/>
      <c r="Z11" s="34"/>
      <c r="AA11" s="34"/>
      <c r="AB11" s="34">
        <v>0</v>
      </c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69"/>
      <c r="BA11" s="31" t="s">
        <v>107</v>
      </c>
      <c r="BB11" s="32" t="s">
        <v>32</v>
      </c>
      <c r="BC11" s="32" t="s">
        <v>23</v>
      </c>
      <c r="BH11" s="31"/>
      <c r="BI11" s="31"/>
      <c r="BJ11" s="31"/>
      <c r="BK11" s="31"/>
      <c r="BL11" s="31"/>
    </row>
    <row r="12" spans="1:64" ht="31.5" x14ac:dyDescent="0.25">
      <c r="A12" s="69" t="s">
        <v>179</v>
      </c>
      <c r="B12" s="31" t="s">
        <v>379</v>
      </c>
      <c r="C12" s="31" t="s">
        <v>147</v>
      </c>
      <c r="D12" s="31" t="s">
        <v>148</v>
      </c>
      <c r="E12" s="34">
        <v>79285</v>
      </c>
      <c r="F12" s="34">
        <v>79285</v>
      </c>
      <c r="G12" s="34">
        <f>Tableau_Lancer_la_requête_à_partir_de_Export_Bdossiers59[[#This Row],[UE]]+Tableau_Lancer_la_requête_à_partir_de_Export_Bdossiers59[[#This Row],[Total CR]]+Tableau_Lancer_la_requête_à_partir_de_Export_Bdossiers59[[#This Row],[Total Etat]]+Tableau_Lancer_la_requête_à_partir_de_Export_Bdossiers59[[#This Row],[Total CG]]+Tableau_Lancer_la_requête_à_partir_de_Export_Bdossiers59[[#This Row],[Autre Public]]</f>
        <v>49714</v>
      </c>
      <c r="H12" s="33">
        <f>Tableau_Lancer_la_requête_à_partir_de_Export_Bdossiers59[[#This Row],[Part Publique]]/Tableau_Lancer_la_requête_à_partir_de_Export_Bdossiers59[[#This Row],[Coût total Eligible FEDER]]</f>
        <v>0.62702907233398497</v>
      </c>
      <c r="I12" s="34"/>
      <c r="J12" s="34">
        <v>29571</v>
      </c>
      <c r="K12" s="33">
        <v>0.37297092766601503</v>
      </c>
      <c r="L12" s="34">
        <v>31714</v>
      </c>
      <c r="M12" s="33" t="s">
        <v>182</v>
      </c>
      <c r="N12" s="34">
        <v>18000</v>
      </c>
      <c r="O12" s="34">
        <v>18000</v>
      </c>
      <c r="P12" s="34"/>
      <c r="Q12" s="34"/>
      <c r="R12" s="34"/>
      <c r="S12" s="34"/>
      <c r="T12" s="34"/>
      <c r="U12" s="34">
        <v>18000</v>
      </c>
      <c r="V12" s="34">
        <v>0</v>
      </c>
      <c r="W12" s="34"/>
      <c r="X12" s="34"/>
      <c r="Y12" s="34"/>
      <c r="Z12" s="34"/>
      <c r="AA12" s="34"/>
      <c r="AB12" s="34">
        <v>0</v>
      </c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69"/>
      <c r="BA12" s="31" t="s">
        <v>107</v>
      </c>
      <c r="BB12" s="32" t="s">
        <v>39</v>
      </c>
      <c r="BC12" s="32" t="s">
        <v>10</v>
      </c>
      <c r="BH12" s="31"/>
      <c r="BI12" s="31"/>
      <c r="BJ12" s="31"/>
      <c r="BK12" s="31"/>
      <c r="BL12" s="31"/>
    </row>
    <row r="13" spans="1:64" ht="31.5" x14ac:dyDescent="0.25">
      <c r="A13" s="69" t="s">
        <v>179</v>
      </c>
      <c r="B13" s="69" t="s">
        <v>380</v>
      </c>
      <c r="C13" s="69" t="s">
        <v>153</v>
      </c>
      <c r="D13" s="69" t="s">
        <v>154</v>
      </c>
      <c r="E13" s="72">
        <v>96539.28</v>
      </c>
      <c r="F13" s="72">
        <v>96539.28</v>
      </c>
      <c r="G13" s="34">
        <f>Tableau_Lancer_la_requête_à_partir_de_Export_Bdossiers59[[#This Row],[UE]]+Tableau_Lancer_la_requête_à_partir_de_Export_Bdossiers59[[#This Row],[Total CR]]+Tableau_Lancer_la_requête_à_partir_de_Export_Bdossiers59[[#This Row],[Total Etat]]+Tableau_Lancer_la_requête_à_partir_de_Export_Bdossiers59[[#This Row],[Total CG]]+Tableau_Lancer_la_requête_à_partir_de_Export_Bdossiers59[[#This Row],[Autre Public]]</f>
        <v>67577</v>
      </c>
      <c r="H13" s="33">
        <f>Tableau_Lancer_la_requête_à_partir_de_Export_Bdossiers59[[#This Row],[Part Publique]]/Tableau_Lancer_la_requête_à_partir_de_Export_Bdossiers59[[#This Row],[Coût total Eligible FEDER]]</f>
        <v>0.69999486219495322</v>
      </c>
      <c r="I13" s="72"/>
      <c r="J13" s="72">
        <v>28962.28</v>
      </c>
      <c r="K13" s="76">
        <v>0.30000513780504678</v>
      </c>
      <c r="L13" s="72">
        <v>27577</v>
      </c>
      <c r="M13" s="76" t="s">
        <v>312</v>
      </c>
      <c r="N13" s="72">
        <v>40000</v>
      </c>
      <c r="O13" s="72">
        <v>0</v>
      </c>
      <c r="P13" s="72"/>
      <c r="Q13" s="72"/>
      <c r="R13" s="72"/>
      <c r="S13" s="72"/>
      <c r="T13" s="72"/>
      <c r="U13" s="72"/>
      <c r="V13" s="72">
        <v>30000</v>
      </c>
      <c r="W13" s="72">
        <v>30000</v>
      </c>
      <c r="X13" s="72"/>
      <c r="Y13" s="72"/>
      <c r="Z13" s="72"/>
      <c r="AA13" s="72"/>
      <c r="AB13" s="72">
        <v>10000</v>
      </c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>
        <v>10000</v>
      </c>
      <c r="AQ13" s="72"/>
      <c r="AR13" s="72"/>
      <c r="AS13" s="72"/>
      <c r="AT13" s="72"/>
      <c r="AU13" s="72"/>
      <c r="AV13" s="72"/>
      <c r="AW13" s="72"/>
      <c r="AX13" s="72"/>
      <c r="AY13" s="72"/>
      <c r="AZ13" s="69"/>
      <c r="BA13" s="69" t="s">
        <v>107</v>
      </c>
      <c r="BB13" s="73" t="s">
        <v>42</v>
      </c>
      <c r="BC13" s="73" t="s">
        <v>12</v>
      </c>
      <c r="BG13" s="32"/>
      <c r="BL13" s="31"/>
    </row>
    <row r="14" spans="1:64" ht="31.5" x14ac:dyDescent="0.25">
      <c r="A14" s="69" t="s">
        <v>179</v>
      </c>
      <c r="B14" s="69" t="s">
        <v>381</v>
      </c>
      <c r="C14" s="69" t="s">
        <v>145</v>
      </c>
      <c r="D14" s="69" t="s">
        <v>146</v>
      </c>
      <c r="E14" s="72">
        <v>93958.6</v>
      </c>
      <c r="F14" s="72">
        <v>93958.6</v>
      </c>
      <c r="G14" s="34">
        <f>Tableau_Lancer_la_requête_à_partir_de_Export_Bdossiers59[[#This Row],[UE]]+Tableau_Lancer_la_requête_à_partir_de_Export_Bdossiers59[[#This Row],[Total CR]]+Tableau_Lancer_la_requête_à_partir_de_Export_Bdossiers59[[#This Row],[Total Etat]]+Tableau_Lancer_la_requête_à_partir_de_Export_Bdossiers59[[#This Row],[Total CG]]+Tableau_Lancer_la_requête_à_partir_de_Export_Bdossiers59[[#This Row],[Autre Public]]</f>
        <v>65771.01999999999</v>
      </c>
      <c r="H14" s="33">
        <f>Tableau_Lancer_la_requête_à_partir_de_Export_Bdossiers59[[#This Row],[Part Publique]]/Tableau_Lancer_la_requête_à_partir_de_Export_Bdossiers59[[#This Row],[Coût total Eligible FEDER]]</f>
        <v>0.69999999999999984</v>
      </c>
      <c r="I14" s="72"/>
      <c r="J14" s="72">
        <v>28187.580000000016</v>
      </c>
      <c r="K14" s="76">
        <v>0.30000000000000016</v>
      </c>
      <c r="L14" s="72">
        <v>32618.17</v>
      </c>
      <c r="M14" s="76" t="s">
        <v>311</v>
      </c>
      <c r="N14" s="72">
        <v>33152.85</v>
      </c>
      <c r="O14" s="72">
        <v>33152.85</v>
      </c>
      <c r="P14" s="72">
        <v>10000</v>
      </c>
      <c r="Q14" s="72"/>
      <c r="R14" s="72">
        <v>13152.85</v>
      </c>
      <c r="S14" s="72"/>
      <c r="T14" s="72">
        <v>10000</v>
      </c>
      <c r="U14" s="72"/>
      <c r="V14" s="72">
        <v>0</v>
      </c>
      <c r="W14" s="72"/>
      <c r="X14" s="72"/>
      <c r="Y14" s="72"/>
      <c r="Z14" s="72"/>
      <c r="AA14" s="72"/>
      <c r="AB14" s="72">
        <v>0</v>
      </c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69"/>
      <c r="BA14" s="69" t="s">
        <v>107</v>
      </c>
      <c r="BB14" s="73" t="s">
        <v>32</v>
      </c>
      <c r="BC14" s="73" t="s">
        <v>23</v>
      </c>
    </row>
    <row r="15" spans="1:64" ht="73.5" customHeight="1" x14ac:dyDescent="0.25">
      <c r="A15" s="69" t="s">
        <v>190</v>
      </c>
      <c r="B15" s="69" t="s">
        <v>382</v>
      </c>
      <c r="C15" s="69" t="s">
        <v>155</v>
      </c>
      <c r="D15" s="69" t="s">
        <v>156</v>
      </c>
      <c r="E15" s="72">
        <v>67178.97</v>
      </c>
      <c r="F15" s="72">
        <v>67178.97</v>
      </c>
      <c r="G15" s="34">
        <f>Tableau_Lancer_la_requête_à_partir_de_Export_Bdossiers59[[#This Row],[UE]]+Tableau_Lancer_la_requête_à_partir_de_Export_Bdossiers59[[#This Row],[Total CR]]+Tableau_Lancer_la_requête_à_partir_de_Export_Bdossiers59[[#This Row],[Total Etat]]+Tableau_Lancer_la_requête_à_partir_de_Export_Bdossiers59[[#This Row],[Total CG]]+Tableau_Lancer_la_requête_à_partir_de_Export_Bdossiers59[[#This Row],[Autre Public]]</f>
        <v>44026</v>
      </c>
      <c r="H15" s="33">
        <f>Tableau_Lancer_la_requête_à_partir_de_Export_Bdossiers59[[#This Row],[Part Publique]]/Tableau_Lancer_la_requête_à_partir_de_Export_Bdossiers59[[#This Row],[Coût total Eligible FEDER]]</f>
        <v>0.65535390018632322</v>
      </c>
      <c r="I15" s="72"/>
      <c r="J15" s="72">
        <v>23152.97</v>
      </c>
      <c r="K15" s="76">
        <v>0.34464609981367683</v>
      </c>
      <c r="L15" s="72"/>
      <c r="M15" s="76" t="s">
        <v>106</v>
      </c>
      <c r="N15" s="72">
        <v>44026</v>
      </c>
      <c r="O15" s="72">
        <v>0</v>
      </c>
      <c r="P15" s="72"/>
      <c r="Q15" s="72"/>
      <c r="R15" s="72"/>
      <c r="S15" s="72"/>
      <c r="T15" s="72"/>
      <c r="U15" s="72"/>
      <c r="V15" s="72">
        <v>38026</v>
      </c>
      <c r="W15" s="72">
        <v>38026</v>
      </c>
      <c r="X15" s="72"/>
      <c r="Y15" s="72"/>
      <c r="Z15" s="72"/>
      <c r="AA15" s="72"/>
      <c r="AB15" s="72">
        <v>6000</v>
      </c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>
        <v>6000</v>
      </c>
      <c r="AV15" s="72"/>
      <c r="AW15" s="72"/>
      <c r="AX15" s="72"/>
      <c r="AY15" s="72"/>
      <c r="AZ15" s="31" t="s">
        <v>490</v>
      </c>
      <c r="BA15" s="69" t="s">
        <v>107</v>
      </c>
      <c r="BB15" s="73" t="s">
        <v>38</v>
      </c>
      <c r="BC15" s="73" t="s">
        <v>12</v>
      </c>
    </row>
    <row r="16" spans="1:64" ht="31.5" x14ac:dyDescent="0.25">
      <c r="A16" s="69" t="s">
        <v>179</v>
      </c>
      <c r="B16" s="69" t="s">
        <v>383</v>
      </c>
      <c r="C16" s="69" t="s">
        <v>143</v>
      </c>
      <c r="D16" s="69" t="s">
        <v>144</v>
      </c>
      <c r="E16" s="72">
        <v>74269.62</v>
      </c>
      <c r="F16" s="72">
        <v>74269.62</v>
      </c>
      <c r="G16" s="34">
        <f>Tableau_Lancer_la_requête_à_partir_de_Export_Bdossiers59[[#This Row],[UE]]+Tableau_Lancer_la_requête_à_partir_de_Export_Bdossiers59[[#This Row],[Total CR]]+Tableau_Lancer_la_requête_à_partir_de_Export_Bdossiers59[[#This Row],[Total Etat]]+Tableau_Lancer_la_requête_à_partir_de_Export_Bdossiers59[[#This Row],[Total CG]]+Tableau_Lancer_la_requête_à_partir_de_Export_Bdossiers59[[#This Row],[Autre Public]]</f>
        <v>51988</v>
      </c>
      <c r="H16" s="33">
        <f>Tableau_Lancer_la_requête_à_partir_de_Export_Bdossiers59[[#This Row],[Part Publique]]/Tableau_Lancer_la_requête_à_partir_de_Export_Bdossiers59[[#This Row],[Coût total Eligible FEDER]]</f>
        <v>0.69999011708959868</v>
      </c>
      <c r="I16" s="72"/>
      <c r="J16" s="72">
        <v>22281.619999999995</v>
      </c>
      <c r="K16" s="76">
        <v>0.30000988291040126</v>
      </c>
      <c r="L16" s="72">
        <v>51988</v>
      </c>
      <c r="M16" s="76" t="s">
        <v>310</v>
      </c>
      <c r="N16" s="72">
        <v>0</v>
      </c>
      <c r="O16" s="72">
        <v>0</v>
      </c>
      <c r="P16" s="72"/>
      <c r="Q16" s="72"/>
      <c r="R16" s="72"/>
      <c r="S16" s="72"/>
      <c r="T16" s="72"/>
      <c r="U16" s="72"/>
      <c r="V16" s="72">
        <v>0</v>
      </c>
      <c r="W16" s="72"/>
      <c r="X16" s="72"/>
      <c r="Y16" s="72"/>
      <c r="Z16" s="72"/>
      <c r="AA16" s="72"/>
      <c r="AB16" s="72">
        <v>0</v>
      </c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69" t="s">
        <v>107</v>
      </c>
      <c r="BB16" s="73" t="s">
        <v>42</v>
      </c>
      <c r="BC16" s="73" t="s">
        <v>12</v>
      </c>
    </row>
    <row r="17" spans="1:64" ht="79.5" customHeight="1" x14ac:dyDescent="0.25">
      <c r="A17" s="69" t="s">
        <v>190</v>
      </c>
      <c r="B17" s="69" t="s">
        <v>384</v>
      </c>
      <c r="C17" s="31" t="s">
        <v>149</v>
      </c>
      <c r="D17" s="69" t="s">
        <v>150</v>
      </c>
      <c r="E17" s="72">
        <v>75030</v>
      </c>
      <c r="F17" s="72">
        <v>75030</v>
      </c>
      <c r="G17" s="34">
        <f>Tableau_Lancer_la_requête_à_partir_de_Export_Bdossiers59[[#This Row],[UE]]+Tableau_Lancer_la_requête_à_partir_de_Export_Bdossiers59[[#This Row],[Total CR]]+Tableau_Lancer_la_requête_à_partir_de_Export_Bdossiers59[[#This Row],[Total Etat]]+Tableau_Lancer_la_requête_à_partir_de_Export_Bdossiers59[[#This Row],[Total CG]]+Tableau_Lancer_la_requête_à_partir_de_Export_Bdossiers59[[#This Row],[Autre Public]]</f>
        <v>52521</v>
      </c>
      <c r="H17" s="33">
        <f>Tableau_Lancer_la_requête_à_partir_de_Export_Bdossiers59[[#This Row],[Part Publique]]/Tableau_Lancer_la_requête_à_partir_de_Export_Bdossiers59[[#This Row],[Coût total Eligible FEDER]]</f>
        <v>0.7</v>
      </c>
      <c r="I17" s="72"/>
      <c r="J17" s="72">
        <v>22509</v>
      </c>
      <c r="K17" s="76">
        <v>0.3</v>
      </c>
      <c r="L17" s="72"/>
      <c r="M17" s="76" t="s">
        <v>106</v>
      </c>
      <c r="N17" s="72">
        <v>52521</v>
      </c>
      <c r="O17" s="72">
        <v>0</v>
      </c>
      <c r="P17" s="72"/>
      <c r="Q17" s="72"/>
      <c r="R17" s="72"/>
      <c r="S17" s="72"/>
      <c r="T17" s="72"/>
      <c r="U17" s="72"/>
      <c r="V17" s="72">
        <v>52521</v>
      </c>
      <c r="W17" s="72">
        <v>52521</v>
      </c>
      <c r="X17" s="72"/>
      <c r="Y17" s="72"/>
      <c r="Z17" s="72"/>
      <c r="AA17" s="72"/>
      <c r="AB17" s="72">
        <v>0</v>
      </c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34" t="s">
        <v>491</v>
      </c>
      <c r="BA17" s="69" t="s">
        <v>107</v>
      </c>
      <c r="BB17" s="73" t="s">
        <v>38</v>
      </c>
      <c r="BC17" s="73" t="s">
        <v>12</v>
      </c>
    </row>
    <row r="18" spans="1:64" ht="31.5" x14ac:dyDescent="0.25">
      <c r="A18" s="69" t="s">
        <v>190</v>
      </c>
      <c r="B18" s="69" t="s">
        <v>385</v>
      </c>
      <c r="C18" s="69" t="s">
        <v>159</v>
      </c>
      <c r="D18" s="69" t="s">
        <v>160</v>
      </c>
      <c r="E18" s="72">
        <v>79696.639999999999</v>
      </c>
      <c r="F18" s="72">
        <v>79696.639999999999</v>
      </c>
      <c r="G18" s="34">
        <f>Tableau_Lancer_la_requête_à_partir_de_Export_Bdossiers59[[#This Row],[UE]]+Tableau_Lancer_la_requête_à_partir_de_Export_Bdossiers59[[#This Row],[Total CR]]+Tableau_Lancer_la_requête_à_partir_de_Export_Bdossiers59[[#This Row],[Total Etat]]+Tableau_Lancer_la_requête_à_partir_de_Export_Bdossiers59[[#This Row],[Total CG]]+Tableau_Lancer_la_requête_à_partir_de_Export_Bdossiers59[[#This Row],[Autre Public]]</f>
        <v>39787</v>
      </c>
      <c r="H18" s="33">
        <f>Tableau_Lancer_la_requête_à_partir_de_Export_Bdossiers59[[#This Row],[Part Publique]]/Tableau_Lancer_la_requête_à_partir_de_Export_Bdossiers59[[#This Row],[Coût total Eligible FEDER]]</f>
        <v>0.49923058236834073</v>
      </c>
      <c r="I18" s="72"/>
      <c r="J18" s="72">
        <v>39909.64</v>
      </c>
      <c r="K18" s="76">
        <v>0.50076941763165927</v>
      </c>
      <c r="L18" s="72"/>
      <c r="M18" s="76" t="s">
        <v>106</v>
      </c>
      <c r="N18" s="72">
        <v>39787</v>
      </c>
      <c r="O18" s="72">
        <v>0</v>
      </c>
      <c r="P18" s="72"/>
      <c r="Q18" s="72"/>
      <c r="R18" s="72"/>
      <c r="S18" s="72"/>
      <c r="T18" s="72"/>
      <c r="U18" s="72"/>
      <c r="V18" s="72">
        <v>39787</v>
      </c>
      <c r="W18" s="72">
        <v>39787</v>
      </c>
      <c r="X18" s="72"/>
      <c r="Y18" s="72"/>
      <c r="Z18" s="72"/>
      <c r="AA18" s="72"/>
      <c r="AB18" s="72">
        <v>0</v>
      </c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69" t="s">
        <v>107</v>
      </c>
      <c r="BB18" s="73" t="s">
        <v>29</v>
      </c>
      <c r="BC18" s="73" t="s">
        <v>11</v>
      </c>
    </row>
    <row r="19" spans="1:64" ht="47.25" x14ac:dyDescent="0.25">
      <c r="A19" s="79" t="s">
        <v>190</v>
      </c>
      <c r="B19" s="79" t="s">
        <v>386</v>
      </c>
      <c r="C19" s="79" t="s">
        <v>161</v>
      </c>
      <c r="D19" s="79" t="s">
        <v>162</v>
      </c>
      <c r="E19" s="83">
        <v>60885.919999999998</v>
      </c>
      <c r="F19" s="83">
        <v>60885.919999999998</v>
      </c>
      <c r="G19" s="34">
        <f>Tableau_Lancer_la_requête_à_partir_de_Export_Bdossiers59[[#This Row],[UE]]+Tableau_Lancer_la_requête_à_partir_de_Export_Bdossiers59[[#This Row],[Total CR]]+Tableau_Lancer_la_requête_à_partir_de_Export_Bdossiers59[[#This Row],[Total Etat]]+Tableau_Lancer_la_requête_à_partir_de_Export_Bdossiers59[[#This Row],[Total CG]]+Tableau_Lancer_la_requête_à_partir_de_Export_Bdossiers59[[#This Row],[Autre Public]]</f>
        <v>24354.37</v>
      </c>
      <c r="H19" s="33">
        <f>Tableau_Lancer_la_requête_à_partir_de_Export_Bdossiers59[[#This Row],[Part Publique]]/Tableau_Lancer_la_requête_à_partir_de_Export_Bdossiers59[[#This Row],[Coût total Eligible FEDER]]</f>
        <v>0.40000003284831698</v>
      </c>
      <c r="I19" s="83"/>
      <c r="J19" s="83">
        <v>36531.550000000003</v>
      </c>
      <c r="K19" s="84">
        <v>0.59999996715168313</v>
      </c>
      <c r="L19" s="83"/>
      <c r="M19" s="84" t="s">
        <v>106</v>
      </c>
      <c r="N19" s="83">
        <v>24354.37</v>
      </c>
      <c r="O19" s="83">
        <v>0</v>
      </c>
      <c r="P19" s="83"/>
      <c r="Q19" s="83"/>
      <c r="R19" s="83"/>
      <c r="S19" s="83"/>
      <c r="T19" s="83"/>
      <c r="U19" s="83"/>
      <c r="V19" s="83">
        <v>24354.37</v>
      </c>
      <c r="W19" s="83">
        <v>24354.37</v>
      </c>
      <c r="X19" s="83"/>
      <c r="Y19" s="83"/>
      <c r="Z19" s="83"/>
      <c r="AA19" s="83"/>
      <c r="AB19" s="83">
        <v>0</v>
      </c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79" t="s">
        <v>107</v>
      </c>
      <c r="BB19" s="85" t="s">
        <v>44</v>
      </c>
      <c r="BC19" s="85" t="s">
        <v>11</v>
      </c>
    </row>
    <row r="20" spans="1:64" x14ac:dyDescent="0.25">
      <c r="A20" s="113"/>
      <c r="B20" s="114" t="s">
        <v>181</v>
      </c>
      <c r="C20" s="113"/>
      <c r="D20" s="113"/>
      <c r="E20" s="115">
        <f>SUBTOTAL(109,Tableau_Lancer_la_requête_à_partir_de_Export_Bdossiers59[Coût total Opération])</f>
        <v>797799.72</v>
      </c>
      <c r="F20" s="115">
        <f>SUBTOTAL(109,Tableau_Lancer_la_requête_à_partir_de_Export_Bdossiers59[Coût total Eligible FEDER])</f>
        <v>797799.72</v>
      </c>
      <c r="G20" s="115">
        <f>SUBTOTAL(109,Tableau_Lancer_la_requête_à_partir_de_Export_Bdossiers59[Part Publique])</f>
        <v>495257.87</v>
      </c>
      <c r="H20" s="115"/>
      <c r="I20" s="115">
        <f>SUBTOTAL(109,Tableau_Lancer_la_requête_à_partir_de_Export_Bdossiers59[Part privée])</f>
        <v>0</v>
      </c>
      <c r="J20" s="115">
        <f>SUBTOTAL(109,Tableau_Lancer_la_requête_à_partir_de_Export_Bdossiers59[Autofinancement])</f>
        <v>302541.84999999998</v>
      </c>
      <c r="K20" s="115"/>
      <c r="L20" s="115">
        <f>SUBTOTAL(109,Tableau_Lancer_la_requête_à_partir_de_Export_Bdossiers59[UE])</f>
        <v>182017.16999999998</v>
      </c>
      <c r="M20" s="115">
        <f>SUBTOTAL(109,Tableau_Lancer_la_requête_à_partir_de_Export_Bdossiers59[Tx Aide FEDER])</f>
        <v>0</v>
      </c>
      <c r="N20" s="115">
        <f>SUBTOTAL(109,Tableau_Lancer_la_requête_à_partir_de_Export_Bdossiers59[DPN])</f>
        <v>313240.69999999995</v>
      </c>
      <c r="O20" s="115">
        <f>SUBTOTAL(109,Tableau_Lancer_la_requête_à_partir_de_Export_Bdossiers59[Total CR])</f>
        <v>51152.85</v>
      </c>
      <c r="P20" s="115">
        <f>SUBTOTAL(109,Tableau_Lancer_la_requête_à_partir_de_Export_Bdossiers59[Auvergne])</f>
        <v>10000</v>
      </c>
      <c r="Q20" s="115">
        <f>SUBTOTAL(109,Tableau_Lancer_la_requête_à_partir_de_Export_Bdossiers59[Bourgogne])</f>
        <v>0</v>
      </c>
      <c r="R20" s="115">
        <f>SUBTOTAL(109,Tableau_Lancer_la_requête_à_partir_de_Export_Bdossiers59[Languedoc-Roussillon])</f>
        <v>13152.85</v>
      </c>
      <c r="S20" s="115">
        <f>SUBTOTAL(109,Tableau_Lancer_la_requête_à_partir_de_Export_Bdossiers59[Limousin])</f>
        <v>0</v>
      </c>
      <c r="T20" s="115">
        <f>SUBTOTAL(109,Tableau_Lancer_la_requête_à_partir_de_Export_Bdossiers59[Midi-Pyrénées])</f>
        <v>10000</v>
      </c>
      <c r="U20" s="115">
        <f>SUBTOTAL(109,Tableau_Lancer_la_requête_à_partir_de_Export_Bdossiers59[Rhône-Alpes])</f>
        <v>18000</v>
      </c>
      <c r="V20" s="115">
        <f>SUBTOTAL(109,Tableau_Lancer_la_requête_à_partir_de_Export_Bdossiers59[Total Etat])</f>
        <v>246087.84999999998</v>
      </c>
      <c r="W20" s="115">
        <f>SUBTOTAL(109,Tableau_Lancer_la_requête_à_partir_de_Export_Bdossiers59[FNADT])</f>
        <v>246087.84999999998</v>
      </c>
      <c r="X20" s="115">
        <f>SUBTOTAL(109,Tableau_Lancer_la_requête_à_partir_de_Export_Bdossiers59[Environnement])</f>
        <v>0</v>
      </c>
      <c r="Y20" s="115">
        <f>SUBTOTAL(109,Tableau_Lancer_la_requête_à_partir_de_Export_Bdossiers59[Agriculture])</f>
        <v>0</v>
      </c>
      <c r="Z20" s="115">
        <f>SUBTOTAL(109,Tableau_Lancer_la_requête_à_partir_de_Export_Bdossiers59[Autre Etat 3])</f>
        <v>0</v>
      </c>
      <c r="AA20" s="115">
        <f>SUBTOTAL(109,Tableau_Lancer_la_requête_à_partir_de_Export_Bdossiers59[Autre Etat Divers])</f>
        <v>0</v>
      </c>
      <c r="AB20" s="115">
        <f>SUBTOTAL(109,Tableau_Lancer_la_requête_à_partir_de_Export_Bdossiers59[Total CG])</f>
        <v>16000</v>
      </c>
      <c r="AC20" s="115">
        <f>SUBTOTAL(109,Tableau_Lancer_la_requête_à_partir_de_Export_Bdossiers59[03])</f>
        <v>0</v>
      </c>
      <c r="AD20" s="115">
        <f>SUBTOTAL(109,Tableau_Lancer_la_requête_à_partir_de_Export_Bdossiers59[07])</f>
        <v>0</v>
      </c>
      <c r="AE20" s="115">
        <f>SUBTOTAL(109,Tableau_Lancer_la_requête_à_partir_de_Export_Bdossiers59[11])</f>
        <v>0</v>
      </c>
      <c r="AF20" s="115">
        <f>SUBTOTAL(109,Tableau_Lancer_la_requête_à_partir_de_Export_Bdossiers59[12])</f>
        <v>0</v>
      </c>
      <c r="AG20" s="115">
        <f>SUBTOTAL(109,Tableau_Lancer_la_requête_à_partir_de_Export_Bdossiers59[15])</f>
        <v>0</v>
      </c>
      <c r="AH20" s="115">
        <f>SUBTOTAL(109,Tableau_Lancer_la_requête_à_partir_de_Export_Bdossiers59[19])</f>
        <v>0</v>
      </c>
      <c r="AI20" s="115">
        <f>SUBTOTAL(109,Tableau_Lancer_la_requête_à_partir_de_Export_Bdossiers59[21])</f>
        <v>0</v>
      </c>
      <c r="AJ20" s="115">
        <f>SUBTOTAL(109,Tableau_Lancer_la_requête_à_partir_de_Export_Bdossiers59[23])</f>
        <v>0</v>
      </c>
      <c r="AK20" s="115">
        <f>SUBTOTAL(109,Tableau_Lancer_la_requête_à_partir_de_Export_Bdossiers59[30])</f>
        <v>0</v>
      </c>
      <c r="AL20" s="115">
        <f>SUBTOTAL(109,Tableau_Lancer_la_requête_à_partir_de_Export_Bdossiers59[34])</f>
        <v>0</v>
      </c>
      <c r="AM20" s="115">
        <f>SUBTOTAL(109,Tableau_Lancer_la_requête_à_partir_de_Export_Bdossiers59[42])</f>
        <v>0</v>
      </c>
      <c r="AN20" s="115">
        <f>SUBTOTAL(109,Tableau_Lancer_la_requête_à_partir_de_Export_Bdossiers59[43])</f>
        <v>0</v>
      </c>
      <c r="AO20" s="115">
        <f>SUBTOTAL(109,Tableau_Lancer_la_requête_à_partir_de_Export_Bdossiers59[46])</f>
        <v>0</v>
      </c>
      <c r="AP20" s="115">
        <f>SUBTOTAL(109,Tableau_Lancer_la_requête_à_partir_de_Export_Bdossiers59[48])</f>
        <v>10000</v>
      </c>
      <c r="AQ20" s="115">
        <f>SUBTOTAL(109,Tableau_Lancer_la_requête_à_partir_de_Export_Bdossiers59[58])</f>
        <v>0</v>
      </c>
      <c r="AR20" s="115">
        <f>SUBTOTAL(109,Tableau_Lancer_la_requête_à_partir_de_Export_Bdossiers59[63])</f>
        <v>0</v>
      </c>
      <c r="AS20" s="115">
        <f>SUBTOTAL(109,Tableau_Lancer_la_requête_à_partir_de_Export_Bdossiers59[69])</f>
        <v>0</v>
      </c>
      <c r="AT20" s="115">
        <f>SUBTOTAL(109,Tableau_Lancer_la_requête_à_partir_de_Export_Bdossiers59[71])</f>
        <v>0</v>
      </c>
      <c r="AU20" s="115">
        <f>SUBTOTAL(109,Tableau_Lancer_la_requête_à_partir_de_Export_Bdossiers59[81])</f>
        <v>6000</v>
      </c>
      <c r="AV20" s="115">
        <f>SUBTOTAL(109,Tableau_Lancer_la_requête_à_partir_de_Export_Bdossiers59[82])</f>
        <v>0</v>
      </c>
      <c r="AW20" s="115">
        <f>SUBTOTAL(109,Tableau_Lancer_la_requête_à_partir_de_Export_Bdossiers59[87])</f>
        <v>0</v>
      </c>
      <c r="AX20" s="115">
        <f>SUBTOTAL(109,Tableau_Lancer_la_requête_à_partir_de_Export_Bdossiers59[89])</f>
        <v>0</v>
      </c>
      <c r="AY20" s="115">
        <f>SUBTOTAL(109,Tableau_Lancer_la_requête_à_partir_de_Export_Bdossiers59[Autre Public])</f>
        <v>0</v>
      </c>
      <c r="AZ20" s="113"/>
      <c r="BA20" s="114"/>
      <c r="BB20" s="116"/>
      <c r="BC20" s="116">
        <f>SUBTOTAL(103,Tableau_Lancer_la_requête_à_partir_de_Export_Bdossiers59[NomReg])</f>
        <v>11</v>
      </c>
    </row>
    <row r="21" spans="1:64" x14ac:dyDescent="0.25">
      <c r="K21" s="66">
        <f>SUBTOTAL(2,Tableau_Lancer_la_requête_à_partir_de_Export_Bdossiers59[UE])</f>
        <v>5</v>
      </c>
    </row>
    <row r="22" spans="1:64" s="32" customFormat="1" x14ac:dyDescent="0.25">
      <c r="A22" s="141" t="s">
        <v>283</v>
      </c>
      <c r="B22" s="141"/>
      <c r="C22" s="141"/>
      <c r="D22" s="31"/>
      <c r="E22" s="31"/>
      <c r="G22" s="31"/>
      <c r="I22" s="31"/>
      <c r="J22" s="31"/>
      <c r="K22" s="31"/>
      <c r="M22" s="31"/>
      <c r="N22" s="31"/>
      <c r="P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</row>
    <row r="23" spans="1:64" ht="63" x14ac:dyDescent="0.25">
      <c r="A23" s="32" t="s">
        <v>178</v>
      </c>
      <c r="B23" s="32" t="s">
        <v>0</v>
      </c>
      <c r="C23" s="32" t="s">
        <v>1</v>
      </c>
      <c r="D23" s="32" t="s">
        <v>2</v>
      </c>
      <c r="E23" s="32" t="s">
        <v>13</v>
      </c>
      <c r="F23" s="32" t="s">
        <v>14</v>
      </c>
      <c r="G23" s="32" t="s">
        <v>15</v>
      </c>
      <c r="H23" s="32" t="s">
        <v>16</v>
      </c>
      <c r="I23" s="32" t="s">
        <v>8</v>
      </c>
      <c r="J23" s="32" t="s">
        <v>17</v>
      </c>
      <c r="K23" s="32" t="s">
        <v>18</v>
      </c>
      <c r="L23" s="32" t="s">
        <v>3</v>
      </c>
      <c r="M23" s="33" t="s">
        <v>19</v>
      </c>
      <c r="N23" s="32" t="s">
        <v>20</v>
      </c>
      <c r="O23" s="32" t="s">
        <v>4</v>
      </c>
      <c r="P23" s="32" t="s">
        <v>11</v>
      </c>
      <c r="Q23" s="32" t="s">
        <v>21</v>
      </c>
      <c r="R23" s="32" t="s">
        <v>12</v>
      </c>
      <c r="S23" s="32" t="s">
        <v>22</v>
      </c>
      <c r="T23" s="32" t="s">
        <v>23</v>
      </c>
      <c r="U23" s="32" t="s">
        <v>10</v>
      </c>
      <c r="V23" s="32" t="s">
        <v>5</v>
      </c>
      <c r="W23" s="32" t="s">
        <v>24</v>
      </c>
      <c r="X23" s="32" t="s">
        <v>25</v>
      </c>
      <c r="Y23" s="32" t="s">
        <v>26</v>
      </c>
      <c r="Z23" s="32" t="s">
        <v>27</v>
      </c>
      <c r="AA23" s="32" t="s">
        <v>28</v>
      </c>
      <c r="AB23" s="32" t="s">
        <v>6</v>
      </c>
      <c r="AC23" s="32" t="s">
        <v>29</v>
      </c>
      <c r="AD23" s="32" t="s">
        <v>30</v>
      </c>
      <c r="AE23" s="32" t="s">
        <v>31</v>
      </c>
      <c r="AF23" s="32" t="s">
        <v>32</v>
      </c>
      <c r="AG23" s="32" t="s">
        <v>33</v>
      </c>
      <c r="AH23" s="32" t="s">
        <v>34</v>
      </c>
      <c r="AI23" s="32" t="s">
        <v>35</v>
      </c>
      <c r="AJ23" s="32" t="s">
        <v>36</v>
      </c>
      <c r="AK23" s="32" t="s">
        <v>37</v>
      </c>
      <c r="AL23" s="32" t="s">
        <v>38</v>
      </c>
      <c r="AM23" s="32" t="s">
        <v>39</v>
      </c>
      <c r="AN23" s="32" t="s">
        <v>40</v>
      </c>
      <c r="AO23" s="32" t="s">
        <v>41</v>
      </c>
      <c r="AP23" s="32" t="s">
        <v>42</v>
      </c>
      <c r="AQ23" s="32" t="s">
        <v>43</v>
      </c>
      <c r="AR23" s="32" t="s">
        <v>44</v>
      </c>
      <c r="AS23" s="32" t="s">
        <v>45</v>
      </c>
      <c r="AT23" s="32" t="s">
        <v>46</v>
      </c>
      <c r="AU23" s="32" t="s">
        <v>47</v>
      </c>
      <c r="AV23" s="32" t="s">
        <v>48</v>
      </c>
      <c r="AW23" s="32" t="s">
        <v>49</v>
      </c>
      <c r="AX23" s="32" t="s">
        <v>50</v>
      </c>
      <c r="AY23" s="32" t="s">
        <v>7</v>
      </c>
      <c r="AZ23" s="32" t="s">
        <v>326</v>
      </c>
      <c r="BA23" s="32" t="s">
        <v>51</v>
      </c>
      <c r="BB23" s="32" t="s">
        <v>52</v>
      </c>
      <c r="BC23" s="32" t="s">
        <v>9</v>
      </c>
      <c r="BH23" s="31"/>
      <c r="BI23" s="31"/>
      <c r="BJ23" s="31"/>
      <c r="BK23" s="31"/>
      <c r="BL23" s="31"/>
    </row>
    <row r="24" spans="1:64" ht="31.5" x14ac:dyDescent="0.25">
      <c r="A24" s="69" t="s">
        <v>179</v>
      </c>
      <c r="B24" s="31" t="s">
        <v>163</v>
      </c>
      <c r="C24" s="31" t="s">
        <v>164</v>
      </c>
      <c r="D24" s="31" t="s">
        <v>165</v>
      </c>
      <c r="E24" s="34">
        <v>46160</v>
      </c>
      <c r="F24" s="34">
        <v>46160</v>
      </c>
      <c r="G24" s="34">
        <v>0</v>
      </c>
      <c r="H24" s="33">
        <v>0</v>
      </c>
      <c r="I24" s="34"/>
      <c r="J24" s="34"/>
      <c r="K24" s="33"/>
      <c r="L24" s="34"/>
      <c r="M24" s="33" t="s">
        <v>106</v>
      </c>
      <c r="N24" s="34">
        <v>0</v>
      </c>
      <c r="O24" s="34">
        <v>0</v>
      </c>
      <c r="P24" s="34"/>
      <c r="Q24" s="34"/>
      <c r="R24" s="34"/>
      <c r="S24" s="34"/>
      <c r="T24" s="34"/>
      <c r="U24" s="34"/>
      <c r="V24" s="34">
        <v>0</v>
      </c>
      <c r="W24" s="34"/>
      <c r="X24" s="34"/>
      <c r="Y24" s="34"/>
      <c r="Z24" s="34"/>
      <c r="AA24" s="34"/>
      <c r="AB24" s="34">
        <v>0</v>
      </c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69"/>
      <c r="BA24" s="31" t="s">
        <v>114</v>
      </c>
      <c r="BB24" s="32" t="s">
        <v>33</v>
      </c>
      <c r="BC24" s="32" t="s">
        <v>11</v>
      </c>
      <c r="BH24" s="31"/>
      <c r="BI24" s="31"/>
      <c r="BJ24" s="31"/>
      <c r="BK24" s="31"/>
      <c r="BL24" s="31"/>
    </row>
    <row r="25" spans="1:64" ht="31.5" x14ac:dyDescent="0.25">
      <c r="A25" s="69" t="s">
        <v>179</v>
      </c>
      <c r="B25" s="31" t="s">
        <v>169</v>
      </c>
      <c r="C25" s="31" t="s">
        <v>170</v>
      </c>
      <c r="D25" s="31" t="s">
        <v>171</v>
      </c>
      <c r="E25" s="34">
        <v>50255</v>
      </c>
      <c r="F25" s="34">
        <v>50255</v>
      </c>
      <c r="G25" s="34">
        <v>0</v>
      </c>
      <c r="H25" s="33">
        <v>0</v>
      </c>
      <c r="I25" s="34"/>
      <c r="J25" s="34"/>
      <c r="K25" s="33"/>
      <c r="L25" s="34"/>
      <c r="M25" s="33" t="s">
        <v>106</v>
      </c>
      <c r="N25" s="34">
        <v>0</v>
      </c>
      <c r="O25" s="34">
        <v>0</v>
      </c>
      <c r="P25" s="34"/>
      <c r="Q25" s="34"/>
      <c r="R25" s="34"/>
      <c r="S25" s="34"/>
      <c r="T25" s="34"/>
      <c r="U25" s="34"/>
      <c r="V25" s="34">
        <v>0</v>
      </c>
      <c r="W25" s="34"/>
      <c r="X25" s="34"/>
      <c r="Y25" s="34"/>
      <c r="Z25" s="34"/>
      <c r="AA25" s="34"/>
      <c r="AB25" s="34">
        <v>0</v>
      </c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69"/>
      <c r="BA25" s="31" t="s">
        <v>114</v>
      </c>
      <c r="BB25" s="32" t="s">
        <v>32</v>
      </c>
      <c r="BC25" s="32" t="s">
        <v>23</v>
      </c>
      <c r="BH25" s="31"/>
      <c r="BI25" s="31"/>
      <c r="BJ25" s="31"/>
      <c r="BK25" s="31"/>
      <c r="BL25" s="31"/>
    </row>
    <row r="26" spans="1:64" ht="47.25" x14ac:dyDescent="0.25">
      <c r="A26" s="69" t="s">
        <v>179</v>
      </c>
      <c r="B26" s="31" t="s">
        <v>166</v>
      </c>
      <c r="C26" s="31" t="s">
        <v>167</v>
      </c>
      <c r="D26" s="31" t="s">
        <v>168</v>
      </c>
      <c r="E26" s="34">
        <v>24880</v>
      </c>
      <c r="F26" s="34"/>
      <c r="G26" s="34">
        <v>0</v>
      </c>
      <c r="H26" s="33">
        <v>0</v>
      </c>
      <c r="I26" s="34"/>
      <c r="J26" s="34"/>
      <c r="K26" s="33"/>
      <c r="L26" s="34"/>
      <c r="M26" s="33" t="s">
        <v>59</v>
      </c>
      <c r="N26" s="34">
        <v>0</v>
      </c>
      <c r="O26" s="34">
        <v>0</v>
      </c>
      <c r="P26" s="34"/>
      <c r="Q26" s="34"/>
      <c r="R26" s="34"/>
      <c r="S26" s="34"/>
      <c r="T26" s="34"/>
      <c r="U26" s="34"/>
      <c r="V26" s="34">
        <v>0</v>
      </c>
      <c r="W26" s="34"/>
      <c r="X26" s="34"/>
      <c r="Y26" s="34"/>
      <c r="Z26" s="34"/>
      <c r="AA26" s="34"/>
      <c r="AB26" s="34">
        <v>0</v>
      </c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69"/>
      <c r="BA26" s="31" t="s">
        <v>114</v>
      </c>
      <c r="BB26" s="32" t="s">
        <v>41</v>
      </c>
      <c r="BC26" s="32" t="s">
        <v>23</v>
      </c>
      <c r="BH26" s="31"/>
      <c r="BI26" s="31"/>
      <c r="BJ26" s="31"/>
      <c r="BK26" s="31"/>
      <c r="BL26" s="31"/>
    </row>
    <row r="27" spans="1:64" ht="63" x14ac:dyDescent="0.25">
      <c r="A27" s="69" t="s">
        <v>179</v>
      </c>
      <c r="B27" s="31" t="s">
        <v>172</v>
      </c>
      <c r="C27" s="31" t="s">
        <v>173</v>
      </c>
      <c r="D27" s="31" t="s">
        <v>174</v>
      </c>
      <c r="E27" s="34">
        <v>81556</v>
      </c>
      <c r="F27" s="34">
        <v>81556</v>
      </c>
      <c r="G27" s="34">
        <v>0</v>
      </c>
      <c r="H27" s="33">
        <v>0</v>
      </c>
      <c r="I27" s="34"/>
      <c r="J27" s="34"/>
      <c r="K27" s="33"/>
      <c r="L27" s="34"/>
      <c r="M27" s="33" t="s">
        <v>106</v>
      </c>
      <c r="N27" s="34">
        <v>0</v>
      </c>
      <c r="O27" s="34">
        <v>0</v>
      </c>
      <c r="P27" s="34"/>
      <c r="Q27" s="34"/>
      <c r="R27" s="34"/>
      <c r="S27" s="34"/>
      <c r="T27" s="34"/>
      <c r="U27" s="34"/>
      <c r="V27" s="34">
        <v>0</v>
      </c>
      <c r="W27" s="34"/>
      <c r="X27" s="34"/>
      <c r="Y27" s="34"/>
      <c r="Z27" s="34"/>
      <c r="AA27" s="34"/>
      <c r="AB27" s="34">
        <v>0</v>
      </c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69"/>
      <c r="BA27" s="31" t="s">
        <v>114</v>
      </c>
      <c r="BB27" s="32" t="s">
        <v>30</v>
      </c>
      <c r="BC27" s="32" t="s">
        <v>10</v>
      </c>
      <c r="BG27" s="32"/>
      <c r="BL27" s="31"/>
    </row>
    <row r="28" spans="1:64" x14ac:dyDescent="0.25">
      <c r="A28" s="79"/>
      <c r="B28" s="78" t="s">
        <v>181</v>
      </c>
      <c r="C28" s="79"/>
      <c r="D28" s="79"/>
      <c r="E28" s="80">
        <f>SUBTOTAL(109,Tableau_Lancer_la_requête_à_partir_de_Export_Bdossiers593[Coût total Opération])</f>
        <v>202851</v>
      </c>
      <c r="F28" s="80">
        <f>SUBTOTAL(109,Tableau_Lancer_la_requête_à_partir_de_Export_Bdossiers593[Coût total Eligible FEDER])</f>
        <v>177971</v>
      </c>
      <c r="G28" s="80">
        <f>SUBTOTAL(109,Tableau_Lancer_la_requête_à_partir_de_Export_Bdossiers593[Part Publique])</f>
        <v>0</v>
      </c>
      <c r="H28" s="80"/>
      <c r="I28" s="80">
        <f>SUBTOTAL(109,Tableau_Lancer_la_requête_à_partir_de_Export_Bdossiers593[Part privée])</f>
        <v>0</v>
      </c>
      <c r="J28" s="80">
        <f>SUBTOTAL(109,Tableau_Lancer_la_requête_à_partir_de_Export_Bdossiers593[Autofinancement])</f>
        <v>0</v>
      </c>
      <c r="K28" s="80"/>
      <c r="L28" s="80">
        <f>SUBTOTAL(109,Tableau_Lancer_la_requête_à_partir_de_Export_Bdossiers593[UE])</f>
        <v>0</v>
      </c>
      <c r="M28" s="80">
        <f>SUBTOTAL(109,Tableau_Lancer_la_requête_à_partir_de_Export_Bdossiers593[Tx Aide FEDER])</f>
        <v>0</v>
      </c>
      <c r="N28" s="80">
        <f>SUBTOTAL(109,Tableau_Lancer_la_requête_à_partir_de_Export_Bdossiers593[DPN])</f>
        <v>0</v>
      </c>
      <c r="O28" s="80">
        <f>SUBTOTAL(109,Tableau_Lancer_la_requête_à_partir_de_Export_Bdossiers593[Total CR])</f>
        <v>0</v>
      </c>
      <c r="P28" s="80">
        <f>SUBTOTAL(109,Tableau_Lancer_la_requête_à_partir_de_Export_Bdossiers593[Auvergne])</f>
        <v>0</v>
      </c>
      <c r="Q28" s="80">
        <f>SUBTOTAL(109,Tableau_Lancer_la_requête_à_partir_de_Export_Bdossiers593[Bourgogne])</f>
        <v>0</v>
      </c>
      <c r="R28" s="80">
        <f>SUBTOTAL(109,Tableau_Lancer_la_requête_à_partir_de_Export_Bdossiers593[Languedoc-Roussillon])</f>
        <v>0</v>
      </c>
      <c r="S28" s="80">
        <f>SUBTOTAL(109,Tableau_Lancer_la_requête_à_partir_de_Export_Bdossiers593[Limousin])</f>
        <v>0</v>
      </c>
      <c r="T28" s="80">
        <f>SUBTOTAL(109,Tableau_Lancer_la_requête_à_partir_de_Export_Bdossiers593[Midi-Pyrénées])</f>
        <v>0</v>
      </c>
      <c r="U28" s="80">
        <f>SUBTOTAL(109,Tableau_Lancer_la_requête_à_partir_de_Export_Bdossiers593[Rhône-Alpes])</f>
        <v>0</v>
      </c>
      <c r="V28" s="80">
        <f>SUBTOTAL(109,Tableau_Lancer_la_requête_à_partir_de_Export_Bdossiers593[Total Etat])</f>
        <v>0</v>
      </c>
      <c r="W28" s="80">
        <f>SUBTOTAL(109,Tableau_Lancer_la_requête_à_partir_de_Export_Bdossiers593[FNADT])</f>
        <v>0</v>
      </c>
      <c r="X28" s="80">
        <f>SUBTOTAL(109,Tableau_Lancer_la_requête_à_partir_de_Export_Bdossiers593[Environnement])</f>
        <v>0</v>
      </c>
      <c r="Y28" s="80">
        <f>SUBTOTAL(109,Tableau_Lancer_la_requête_à_partir_de_Export_Bdossiers593[Agriculture])</f>
        <v>0</v>
      </c>
      <c r="Z28" s="80">
        <f>SUBTOTAL(109,Tableau_Lancer_la_requête_à_partir_de_Export_Bdossiers593[Autre Etat 3])</f>
        <v>0</v>
      </c>
      <c r="AA28" s="80">
        <f>SUBTOTAL(109,Tableau_Lancer_la_requête_à_partir_de_Export_Bdossiers593[Autre Etat Divers])</f>
        <v>0</v>
      </c>
      <c r="AB28" s="80">
        <f>SUBTOTAL(109,Tableau_Lancer_la_requête_à_partir_de_Export_Bdossiers593[Total CG])</f>
        <v>0</v>
      </c>
      <c r="AC28" s="80">
        <f>SUBTOTAL(109,Tableau_Lancer_la_requête_à_partir_de_Export_Bdossiers593[03])</f>
        <v>0</v>
      </c>
      <c r="AD28" s="80">
        <f>SUBTOTAL(109,Tableau_Lancer_la_requête_à_partir_de_Export_Bdossiers593[07])</f>
        <v>0</v>
      </c>
      <c r="AE28" s="80">
        <f>SUBTOTAL(109,Tableau_Lancer_la_requête_à_partir_de_Export_Bdossiers593[11])</f>
        <v>0</v>
      </c>
      <c r="AF28" s="80">
        <f>SUBTOTAL(109,Tableau_Lancer_la_requête_à_partir_de_Export_Bdossiers593[12])</f>
        <v>0</v>
      </c>
      <c r="AG28" s="80">
        <f>SUBTOTAL(109,Tableau_Lancer_la_requête_à_partir_de_Export_Bdossiers593[15])</f>
        <v>0</v>
      </c>
      <c r="AH28" s="80">
        <f>SUBTOTAL(109,Tableau_Lancer_la_requête_à_partir_de_Export_Bdossiers593[19])</f>
        <v>0</v>
      </c>
      <c r="AI28" s="80">
        <f>SUBTOTAL(109,Tableau_Lancer_la_requête_à_partir_de_Export_Bdossiers593[21])</f>
        <v>0</v>
      </c>
      <c r="AJ28" s="80">
        <f>SUBTOTAL(109,Tableau_Lancer_la_requête_à_partir_de_Export_Bdossiers593[23])</f>
        <v>0</v>
      </c>
      <c r="AK28" s="80">
        <f>SUBTOTAL(109,Tableau_Lancer_la_requête_à_partir_de_Export_Bdossiers593[30])</f>
        <v>0</v>
      </c>
      <c r="AL28" s="80">
        <f>SUBTOTAL(109,Tableau_Lancer_la_requête_à_partir_de_Export_Bdossiers593[34])</f>
        <v>0</v>
      </c>
      <c r="AM28" s="80">
        <f>SUBTOTAL(109,Tableau_Lancer_la_requête_à_partir_de_Export_Bdossiers593[42])</f>
        <v>0</v>
      </c>
      <c r="AN28" s="80">
        <f>SUBTOTAL(109,Tableau_Lancer_la_requête_à_partir_de_Export_Bdossiers593[43])</f>
        <v>0</v>
      </c>
      <c r="AO28" s="80">
        <f>SUBTOTAL(109,Tableau_Lancer_la_requête_à_partir_de_Export_Bdossiers593[46])</f>
        <v>0</v>
      </c>
      <c r="AP28" s="80">
        <f>SUBTOTAL(109,Tableau_Lancer_la_requête_à_partir_de_Export_Bdossiers593[48])</f>
        <v>0</v>
      </c>
      <c r="AQ28" s="80">
        <f>SUBTOTAL(109,Tableau_Lancer_la_requête_à_partir_de_Export_Bdossiers593[58])</f>
        <v>0</v>
      </c>
      <c r="AR28" s="80">
        <f>SUBTOTAL(109,Tableau_Lancer_la_requête_à_partir_de_Export_Bdossiers593[63])</f>
        <v>0</v>
      </c>
      <c r="AS28" s="80">
        <f>SUBTOTAL(109,Tableau_Lancer_la_requête_à_partir_de_Export_Bdossiers593[69])</f>
        <v>0</v>
      </c>
      <c r="AT28" s="80">
        <f>SUBTOTAL(109,Tableau_Lancer_la_requête_à_partir_de_Export_Bdossiers593[71])</f>
        <v>0</v>
      </c>
      <c r="AU28" s="80">
        <f>SUBTOTAL(109,Tableau_Lancer_la_requête_à_partir_de_Export_Bdossiers593[81])</f>
        <v>0</v>
      </c>
      <c r="AV28" s="80">
        <f>SUBTOTAL(109,Tableau_Lancer_la_requête_à_partir_de_Export_Bdossiers593[82])</f>
        <v>0</v>
      </c>
      <c r="AW28" s="80">
        <f>SUBTOTAL(109,Tableau_Lancer_la_requête_à_partir_de_Export_Bdossiers593[87])</f>
        <v>0</v>
      </c>
      <c r="AX28" s="80">
        <f>SUBTOTAL(109,Tableau_Lancer_la_requête_à_partir_de_Export_Bdossiers593[89])</f>
        <v>0</v>
      </c>
      <c r="AY28" s="80">
        <f>SUBTOTAL(109,Tableau_Lancer_la_requête_à_partir_de_Export_Bdossiers593[Autre Public])</f>
        <v>0</v>
      </c>
      <c r="AZ28" s="79"/>
      <c r="BA28" s="78"/>
      <c r="BB28" s="82"/>
      <c r="BC28" s="82">
        <f>SUBTOTAL(103,Tableau_Lancer_la_requête_à_partir_de_Export_Bdossiers593[NomReg])</f>
        <v>4</v>
      </c>
    </row>
  </sheetData>
  <mergeCells count="5">
    <mergeCell ref="A7:C7"/>
    <mergeCell ref="A1:F1"/>
    <mergeCell ref="A2:H2"/>
    <mergeCell ref="A22:C22"/>
    <mergeCell ref="C6:V6"/>
  </mergeCells>
  <conditionalFormatting sqref="BA1:BA5 BA7:BA1048576">
    <cfRule type="cellIs" dxfId="702" priority="1" operator="equal">
      <formula>"5-Défavorable"</formula>
    </cfRule>
    <cfRule type="cellIs" dxfId="701" priority="2" operator="equal">
      <formula>"1-Favorable"</formula>
    </cfRule>
  </conditionalFormatting>
  <printOptions horizontalCentered="1" verticalCentered="1"/>
  <pageMargins left="0.11811023622047245" right="0.11811023622047245" top="0.15748031496062992" bottom="0.15748031496062992" header="0.31496062992125984" footer="0.31496062992125984"/>
  <pageSetup paperSize="8" scale="45" fitToHeight="16" orientation="landscape" r:id="rId1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34"/>
  <sheetViews>
    <sheetView view="pageBreakPreview" zoomScale="60" zoomScaleNormal="100" workbookViewId="0">
      <pane xSplit="4" ySplit="5" topLeftCell="W15" activePane="bottomRight" state="frozen"/>
      <selection pane="topRight" activeCell="E1" sqref="E1"/>
      <selection pane="bottomLeft" activeCell="A6" sqref="A6"/>
      <selection pane="bottomRight" activeCell="BA27" sqref="BA27"/>
    </sheetView>
  </sheetViews>
  <sheetFormatPr baseColWidth="10" defaultRowHeight="15.75" outlineLevelCol="1" x14ac:dyDescent="0.25"/>
  <cols>
    <col min="1" max="1" width="24.42578125" style="36" bestFit="1" customWidth="1"/>
    <col min="2" max="2" width="25.140625" style="36" bestFit="1" customWidth="1"/>
    <col min="3" max="3" width="16.140625" style="36" customWidth="1"/>
    <col min="4" max="4" width="32.140625" style="36" customWidth="1"/>
    <col min="5" max="5" width="54.7109375" style="36" customWidth="1"/>
    <col min="6" max="6" width="19" style="38" customWidth="1"/>
    <col min="7" max="7" width="16.28515625" style="36" customWidth="1"/>
    <col min="8" max="8" width="18.28515625" style="38" customWidth="1"/>
    <col min="9" max="9" width="21.28515625" style="42" bestFit="1" customWidth="1"/>
    <col min="10" max="10" width="14" style="36" customWidth="1"/>
    <col min="11" max="11" width="18.140625" style="91" bestFit="1" customWidth="1"/>
    <col min="12" max="12" width="14" style="42" bestFit="1" customWidth="1"/>
    <col min="13" max="13" width="17" style="36" customWidth="1"/>
    <col min="14" max="14" width="14" style="42" bestFit="1" customWidth="1"/>
    <col min="15" max="15" width="19.140625" style="38" customWidth="1"/>
    <col min="16" max="16" width="21.28515625" style="36" customWidth="1"/>
    <col min="17" max="17" width="14.7109375" style="38" hidden="1" customWidth="1" outlineLevel="1"/>
    <col min="18" max="18" width="14" style="36" hidden="1" customWidth="1" outlineLevel="1"/>
    <col min="19" max="19" width="18" style="36" hidden="1" customWidth="1" outlineLevel="1"/>
    <col min="20" max="20" width="13.5703125" style="36" hidden="1" customWidth="1" outlineLevel="1"/>
    <col min="21" max="21" width="13.85546875" style="36" hidden="1" customWidth="1" outlineLevel="1"/>
    <col min="22" max="22" width="17" style="36" hidden="1" customWidth="1" outlineLevel="1"/>
    <col min="23" max="23" width="16.140625" style="36" customWidth="1" collapsed="1"/>
    <col min="24" max="24" width="25" style="36" hidden="1" customWidth="1" outlineLevel="1"/>
    <col min="25" max="25" width="13.5703125" style="36" hidden="1" customWidth="1" outlineLevel="1"/>
    <col min="26" max="26" width="18.7109375" style="36" hidden="1" customWidth="1" outlineLevel="1"/>
    <col min="27" max="27" width="17" style="36" hidden="1" customWidth="1" outlineLevel="1"/>
    <col min="28" max="28" width="15.7109375" style="36" hidden="1" customWidth="1" outlineLevel="1"/>
    <col min="29" max="29" width="11.5703125" style="36" customWidth="1" collapsed="1"/>
    <col min="30" max="30" width="13.7109375" style="36" hidden="1" customWidth="1" outlineLevel="1"/>
    <col min="31" max="40" width="7.5703125" style="36" hidden="1" customWidth="1" outlineLevel="1"/>
    <col min="41" max="41" width="8" style="36" hidden="1" customWidth="1" outlineLevel="1"/>
    <col min="42" max="51" width="7.5703125" style="36" hidden="1" customWidth="1" outlineLevel="1"/>
    <col min="52" max="52" width="14.42578125" style="36" customWidth="1" collapsed="1"/>
    <col min="53" max="53" width="47.85546875" style="36" customWidth="1"/>
    <col min="54" max="54" width="23.7109375" style="36" bestFit="1" customWidth="1"/>
    <col min="55" max="55" width="20.42578125" style="36" bestFit="1" customWidth="1"/>
    <col min="56" max="58" width="20.42578125" style="36" customWidth="1"/>
    <col min="59" max="59" width="16.42578125" style="36" customWidth="1"/>
    <col min="60" max="60" width="14.85546875" style="38" customWidth="1"/>
    <col min="61" max="61" width="13" style="38" customWidth="1"/>
    <col min="62" max="62" width="20.5703125" style="38" customWidth="1"/>
    <col min="63" max="63" width="16.85546875" style="38" customWidth="1"/>
    <col min="64" max="64" width="14" style="38" customWidth="1"/>
    <col min="65" max="65" width="23.28515625" style="38" bestFit="1" customWidth="1"/>
    <col min="66" max="66" width="11.5703125" style="38" bestFit="1" customWidth="1"/>
    <col min="67" max="67" width="10" style="36" bestFit="1" customWidth="1"/>
    <col min="68" max="16384" width="11.42578125" style="36"/>
  </cols>
  <sheetData>
    <row r="1" spans="1:66" ht="28.5" x14ac:dyDescent="0.25">
      <c r="A1" s="142" t="s">
        <v>266</v>
      </c>
      <c r="B1" s="142"/>
      <c r="C1" s="142"/>
      <c r="D1" s="142"/>
      <c r="E1" s="142"/>
      <c r="F1" s="142"/>
    </row>
    <row r="2" spans="1:66" ht="21" x14ac:dyDescent="0.25">
      <c r="A2" s="143" t="s">
        <v>320</v>
      </c>
      <c r="B2" s="143"/>
      <c r="C2" s="143"/>
      <c r="D2" s="143"/>
      <c r="E2" s="143"/>
      <c r="F2" s="143"/>
      <c r="G2" s="143"/>
      <c r="H2" s="143"/>
    </row>
    <row r="4" spans="1:66" x14ac:dyDescent="0.25">
      <c r="A4" s="146" t="s">
        <v>328</v>
      </c>
      <c r="B4" s="146"/>
      <c r="C4" s="146"/>
      <c r="BG4" s="38"/>
      <c r="BJ4" s="36"/>
      <c r="BK4" s="36"/>
      <c r="BL4" s="36"/>
      <c r="BM4" s="36"/>
      <c r="BN4" s="36"/>
    </row>
    <row r="5" spans="1:66" ht="31.5" x14ac:dyDescent="0.25">
      <c r="A5" s="32" t="s">
        <v>178</v>
      </c>
      <c r="B5" s="32" t="s">
        <v>180</v>
      </c>
      <c r="C5" s="32" t="s">
        <v>0</v>
      </c>
      <c r="D5" s="32" t="s">
        <v>1</v>
      </c>
      <c r="E5" s="32" t="s">
        <v>2</v>
      </c>
      <c r="F5" s="32" t="s">
        <v>13</v>
      </c>
      <c r="G5" s="32" t="s">
        <v>14</v>
      </c>
      <c r="H5" s="32" t="s">
        <v>15</v>
      </c>
      <c r="I5" s="33" t="s">
        <v>16</v>
      </c>
      <c r="J5" s="32" t="s">
        <v>8</v>
      </c>
      <c r="K5" s="98" t="s">
        <v>17</v>
      </c>
      <c r="L5" s="33" t="s">
        <v>18</v>
      </c>
      <c r="M5" s="32" t="s">
        <v>3</v>
      </c>
      <c r="N5" s="33" t="s">
        <v>19</v>
      </c>
      <c r="O5" s="32" t="s">
        <v>20</v>
      </c>
      <c r="P5" s="32" t="s">
        <v>4</v>
      </c>
      <c r="Q5" s="32" t="s">
        <v>11</v>
      </c>
      <c r="R5" s="32" t="s">
        <v>21</v>
      </c>
      <c r="S5" s="32" t="s">
        <v>12</v>
      </c>
      <c r="T5" s="32" t="s">
        <v>22</v>
      </c>
      <c r="U5" s="32" t="s">
        <v>23</v>
      </c>
      <c r="V5" s="32" t="s">
        <v>10</v>
      </c>
      <c r="W5" s="32" t="s">
        <v>5</v>
      </c>
      <c r="X5" s="32" t="s">
        <v>24</v>
      </c>
      <c r="Y5" s="32" t="s">
        <v>25</v>
      </c>
      <c r="Z5" s="32" t="s">
        <v>26</v>
      </c>
      <c r="AA5" s="32" t="s">
        <v>27</v>
      </c>
      <c r="AB5" s="32" t="s">
        <v>28</v>
      </c>
      <c r="AC5" s="32" t="s">
        <v>6</v>
      </c>
      <c r="AD5" s="32" t="s">
        <v>29</v>
      </c>
      <c r="AE5" s="32" t="s">
        <v>30</v>
      </c>
      <c r="AF5" s="32" t="s">
        <v>31</v>
      </c>
      <c r="AG5" s="32" t="s">
        <v>32</v>
      </c>
      <c r="AH5" s="32" t="s">
        <v>33</v>
      </c>
      <c r="AI5" s="32" t="s">
        <v>34</v>
      </c>
      <c r="AJ5" s="32" t="s">
        <v>35</v>
      </c>
      <c r="AK5" s="32" t="s">
        <v>36</v>
      </c>
      <c r="AL5" s="32" t="s">
        <v>37</v>
      </c>
      <c r="AM5" s="32" t="s">
        <v>38</v>
      </c>
      <c r="AN5" s="32" t="s">
        <v>39</v>
      </c>
      <c r="AO5" s="32" t="s">
        <v>40</v>
      </c>
      <c r="AP5" s="32" t="s">
        <v>41</v>
      </c>
      <c r="AQ5" s="32" t="s">
        <v>42</v>
      </c>
      <c r="AR5" s="32" t="s">
        <v>43</v>
      </c>
      <c r="AS5" s="32" t="s">
        <v>44</v>
      </c>
      <c r="AT5" s="32" t="s">
        <v>45</v>
      </c>
      <c r="AU5" s="32" t="s">
        <v>46</v>
      </c>
      <c r="AV5" s="32" t="s">
        <v>47</v>
      </c>
      <c r="AW5" s="32" t="s">
        <v>48</v>
      </c>
      <c r="AX5" s="32" t="s">
        <v>49</v>
      </c>
      <c r="AY5" s="32" t="s">
        <v>50</v>
      </c>
      <c r="AZ5" s="32" t="s">
        <v>7</v>
      </c>
      <c r="BA5" s="32" t="s">
        <v>326</v>
      </c>
      <c r="BB5" s="32" t="s">
        <v>51</v>
      </c>
      <c r="BC5" s="32" t="s">
        <v>52</v>
      </c>
      <c r="BD5" s="32" t="s">
        <v>9</v>
      </c>
      <c r="BE5" s="32"/>
      <c r="BF5" s="38"/>
      <c r="BG5" s="38"/>
      <c r="BI5" s="36"/>
      <c r="BJ5" s="36"/>
      <c r="BK5" s="36"/>
      <c r="BL5" s="36"/>
      <c r="BM5" s="36"/>
      <c r="BN5" s="36"/>
    </row>
    <row r="6" spans="1:66" s="91" customFormat="1" ht="63" x14ac:dyDescent="0.25">
      <c r="A6" s="86" t="s">
        <v>190</v>
      </c>
      <c r="B6" s="86" t="s">
        <v>244</v>
      </c>
      <c r="C6" s="86" t="s">
        <v>404</v>
      </c>
      <c r="D6" s="87" t="s">
        <v>186</v>
      </c>
      <c r="E6" s="87" t="s">
        <v>187</v>
      </c>
      <c r="F6" s="88">
        <v>109005.68</v>
      </c>
      <c r="G6" s="88">
        <v>109005.68</v>
      </c>
      <c r="H6" s="88">
        <f>Tableau_Lancer_la_requête_à_partir_de_Export_Bdossiers5961516[[#This Row],[UE]]+Tableau_Lancer_la_requête_à_partir_de_Export_Bdossiers5961516[[#This Row],[DPN]]</f>
        <v>70710.41</v>
      </c>
      <c r="I6" s="89">
        <f>Tableau_Lancer_la_requête_à_partir_de_Export_Bdossiers5961516[[#This Row],[Part Publique]]/Tableau_Lancer_la_requête_à_partir_de_Export_Bdossiers5961516[[#This Row],[Coût total Eligible FEDER]]</f>
        <v>0.6486855547343956</v>
      </c>
      <c r="J6" s="88"/>
      <c r="K6" s="88">
        <f>Tableau_Lancer_la_requête_à_partir_de_Export_Bdossiers5961516[[#This Row],[Coût total Opération]]-Tableau_Lancer_la_requête_à_partir_de_Export_Bdossiers5961516[[#This Row],[Part Publique]]</f>
        <v>38295.26999999999</v>
      </c>
      <c r="L6" s="89">
        <f>Tableau_Lancer_la_requête_à_partir_de_Export_Bdossiers5961516[[#This Row],[Autofinancement]]/Tableau_Lancer_la_requête_à_partir_de_Export_Bdossiers5961516[[#This Row],[Coût total Opération]]</f>
        <v>0.35131444526560446</v>
      </c>
      <c r="M6" s="88"/>
      <c r="N6" s="89" t="s">
        <v>59</v>
      </c>
      <c r="O6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70710.41</v>
      </c>
      <c r="P6" s="88">
        <v>5307</v>
      </c>
      <c r="Q6" s="88">
        <v>5307</v>
      </c>
      <c r="R6" s="88"/>
      <c r="S6" s="88"/>
      <c r="T6" s="88"/>
      <c r="U6" s="88"/>
      <c r="V6" s="88"/>
      <c r="W6" s="88">
        <v>65403.41</v>
      </c>
      <c r="X6" s="88">
        <v>65403.41</v>
      </c>
      <c r="Y6" s="88"/>
      <c r="Z6" s="88"/>
      <c r="AA6" s="88"/>
      <c r="AB6" s="88"/>
      <c r="AC6" s="88">
        <v>0</v>
      </c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112" t="s">
        <v>405</v>
      </c>
      <c r="BB6" s="86" t="s">
        <v>107</v>
      </c>
      <c r="BC6" s="90" t="s">
        <v>188</v>
      </c>
      <c r="BD6" s="111" t="s">
        <v>189</v>
      </c>
      <c r="BE6" s="95"/>
      <c r="BF6" s="95"/>
      <c r="BG6" s="95"/>
      <c r="BH6" s="95"/>
    </row>
    <row r="7" spans="1:66" s="91" customFormat="1" ht="63" x14ac:dyDescent="0.25">
      <c r="A7" s="86" t="s">
        <v>190</v>
      </c>
      <c r="B7" s="86" t="s">
        <v>244</v>
      </c>
      <c r="C7" s="86" t="s">
        <v>406</v>
      </c>
      <c r="D7" s="87" t="s">
        <v>192</v>
      </c>
      <c r="E7" s="87" t="s">
        <v>187</v>
      </c>
      <c r="F7" s="88">
        <v>99934.61</v>
      </c>
      <c r="G7" s="88">
        <v>99934.61</v>
      </c>
      <c r="H7" s="88">
        <f>Tableau_Lancer_la_requête_à_partir_de_Export_Bdossiers5961516[[#This Row],[UE]]+Tableau_Lancer_la_requête_à_partir_de_Export_Bdossiers5961516[[#This Row],[DPN]]</f>
        <v>61881.23</v>
      </c>
      <c r="I7" s="89">
        <f>Tableau_Lancer_la_requête_à_partir_de_Export_Bdossiers5961516[[#This Row],[Part Publique]]/Tableau_Lancer_la_requête_à_partir_de_Export_Bdossiers5961516[[#This Row],[Coût total Eligible FEDER]]</f>
        <v>0.6192172061310891</v>
      </c>
      <c r="J7" s="88"/>
      <c r="K7" s="88">
        <f>Tableau_Lancer_la_requête_à_partir_de_Export_Bdossiers5961516[[#This Row],[Coût total Opération]]-Tableau_Lancer_la_requête_à_partir_de_Export_Bdossiers5961516[[#This Row],[Part Publique]]</f>
        <v>38053.379999999997</v>
      </c>
      <c r="L7" s="89">
        <f>Tableau_Lancer_la_requête_à_partir_de_Export_Bdossiers5961516[[#This Row],[Autofinancement]]/Tableau_Lancer_la_requête_à_partir_de_Export_Bdossiers5961516[[#This Row],[Coût total Opération]]</f>
        <v>0.38078279386891084</v>
      </c>
      <c r="M7" s="88"/>
      <c r="N7" s="89" t="s">
        <v>59</v>
      </c>
      <c r="O7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61881.23</v>
      </c>
      <c r="P7" s="88">
        <v>2927</v>
      </c>
      <c r="Q7" s="88"/>
      <c r="R7" s="88"/>
      <c r="S7" s="88"/>
      <c r="T7" s="88"/>
      <c r="U7" s="88">
        <v>2927</v>
      </c>
      <c r="V7" s="88"/>
      <c r="W7" s="88">
        <v>58954.23</v>
      </c>
      <c r="X7" s="88">
        <v>58954.23</v>
      </c>
      <c r="Y7" s="88"/>
      <c r="Z7" s="88"/>
      <c r="AA7" s="88"/>
      <c r="AB7" s="88"/>
      <c r="AC7" s="88">
        <v>0</v>
      </c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112" t="s">
        <v>405</v>
      </c>
      <c r="BB7" s="86" t="s">
        <v>107</v>
      </c>
      <c r="BC7" s="90" t="s">
        <v>32</v>
      </c>
      <c r="BD7" s="111" t="s">
        <v>23</v>
      </c>
      <c r="BE7" s="95"/>
      <c r="BF7" s="95"/>
      <c r="BG7" s="95"/>
      <c r="BH7" s="95"/>
    </row>
    <row r="8" spans="1:66" s="91" customFormat="1" ht="63" x14ac:dyDescent="0.25">
      <c r="A8" s="86" t="s">
        <v>190</v>
      </c>
      <c r="B8" s="86" t="s">
        <v>244</v>
      </c>
      <c r="C8" s="86" t="s">
        <v>407</v>
      </c>
      <c r="D8" s="87" t="s">
        <v>193</v>
      </c>
      <c r="E8" s="87" t="s">
        <v>187</v>
      </c>
      <c r="F8" s="88">
        <v>75952.850000000006</v>
      </c>
      <c r="G8" s="88">
        <v>75952.850000000006</v>
      </c>
      <c r="H8" s="88">
        <f>Tableau_Lancer_la_requête_à_partir_de_Export_Bdossiers5961516[[#This Row],[UE]]+Tableau_Lancer_la_requête_à_partir_de_Export_Bdossiers5961516[[#This Row],[DPN]]</f>
        <v>35476.43</v>
      </c>
      <c r="I8" s="89">
        <f>Tableau_Lancer_la_requête_à_partir_de_Export_Bdossiers5961516[[#This Row],[Part Publique]]/Tableau_Lancer_la_requête_à_partir_de_Export_Bdossiers5961516[[#This Row],[Coût total Eligible FEDER]]</f>
        <v>0.46708490859789986</v>
      </c>
      <c r="J8" s="88"/>
      <c r="K8" s="88">
        <f>Tableau_Lancer_la_requête_à_partir_de_Export_Bdossiers5961516[[#This Row],[Coût total Opération]]-Tableau_Lancer_la_requête_à_partir_de_Export_Bdossiers5961516[[#This Row],[Part Publique]]</f>
        <v>40476.420000000006</v>
      </c>
      <c r="L8" s="89">
        <f>Tableau_Lancer_la_requête_à_partir_de_Export_Bdossiers5961516[[#This Row],[Autofinancement]]/Tableau_Lancer_la_requête_à_partir_de_Export_Bdossiers5961516[[#This Row],[Coût total Opération]]</f>
        <v>0.53291509140210014</v>
      </c>
      <c r="M8" s="88"/>
      <c r="N8" s="89" t="s">
        <v>59</v>
      </c>
      <c r="O8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35476.43</v>
      </c>
      <c r="P8" s="88">
        <v>2500</v>
      </c>
      <c r="Q8" s="88"/>
      <c r="R8" s="88"/>
      <c r="S8" s="88"/>
      <c r="T8" s="88"/>
      <c r="U8" s="88"/>
      <c r="V8" s="88"/>
      <c r="W8" s="88">
        <v>32976.43</v>
      </c>
      <c r="X8" s="88">
        <v>32976.43</v>
      </c>
      <c r="Y8" s="88"/>
      <c r="Z8" s="88"/>
      <c r="AA8" s="88"/>
      <c r="AB8" s="88"/>
      <c r="AC8" s="88">
        <v>0</v>
      </c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112" t="s">
        <v>405</v>
      </c>
      <c r="BB8" s="86" t="s">
        <v>107</v>
      </c>
      <c r="BC8" s="90" t="s">
        <v>194</v>
      </c>
      <c r="BD8" s="111" t="s">
        <v>10</v>
      </c>
      <c r="BE8" s="95"/>
      <c r="BF8" s="95"/>
      <c r="BG8" s="95"/>
      <c r="BH8" s="95"/>
    </row>
    <row r="9" spans="1:66" s="91" customFormat="1" ht="63" x14ac:dyDescent="0.25">
      <c r="A9" s="86" t="s">
        <v>190</v>
      </c>
      <c r="B9" s="86" t="s">
        <v>244</v>
      </c>
      <c r="C9" s="86" t="s">
        <v>408</v>
      </c>
      <c r="D9" s="87" t="s">
        <v>195</v>
      </c>
      <c r="E9" s="87" t="s">
        <v>187</v>
      </c>
      <c r="F9" s="88">
        <v>119601.57</v>
      </c>
      <c r="G9" s="88">
        <v>119601.57</v>
      </c>
      <c r="H9" s="88">
        <f>Tableau_Lancer_la_requête_à_partir_de_Export_Bdossiers5961516[[#This Row],[UE]]+Tableau_Lancer_la_requête_à_partir_de_Export_Bdossiers5961516[[#This Row],[DPN]]</f>
        <v>80819.34</v>
      </c>
      <c r="I9" s="89">
        <f>Tableau_Lancer_la_requête_à_partir_de_Export_Bdossiers5961516[[#This Row],[Part Publique]]/Tableau_Lancer_la_requête_à_partir_de_Export_Bdossiers5961516[[#This Row],[Coût total Eligible FEDER]]</f>
        <v>0.67573811949124074</v>
      </c>
      <c r="J9" s="88"/>
      <c r="K9" s="88">
        <f>Tableau_Lancer_la_requête_à_partir_de_Export_Bdossiers5961516[[#This Row],[Coût total Opération]]-Tableau_Lancer_la_requête_à_partir_de_Export_Bdossiers5961516[[#This Row],[Part Publique]]</f>
        <v>38782.23000000001</v>
      </c>
      <c r="L9" s="89">
        <f>Tableau_Lancer_la_requête_à_partir_de_Export_Bdossiers5961516[[#This Row],[Autofinancement]]/Tableau_Lancer_la_requête_à_partir_de_Export_Bdossiers5961516[[#This Row],[Coût total Opération]]</f>
        <v>0.32426188050875926</v>
      </c>
      <c r="M9" s="88"/>
      <c r="N9" s="89" t="s">
        <v>59</v>
      </c>
      <c r="O9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80819.34</v>
      </c>
      <c r="P9" s="88">
        <v>9058.4</v>
      </c>
      <c r="Q9" s="88">
        <v>9058.4</v>
      </c>
      <c r="R9" s="88"/>
      <c r="S9" s="88"/>
      <c r="T9" s="88"/>
      <c r="U9" s="88"/>
      <c r="V9" s="88"/>
      <c r="W9" s="88">
        <v>71760.94</v>
      </c>
      <c r="X9" s="88">
        <v>71760.94</v>
      </c>
      <c r="Y9" s="88"/>
      <c r="Z9" s="88"/>
      <c r="AA9" s="88"/>
      <c r="AB9" s="88"/>
      <c r="AC9" s="88">
        <v>0</v>
      </c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112" t="s">
        <v>405</v>
      </c>
      <c r="BB9" s="86" t="s">
        <v>107</v>
      </c>
      <c r="BC9" s="90" t="s">
        <v>44</v>
      </c>
      <c r="BD9" s="111" t="s">
        <v>11</v>
      </c>
      <c r="BE9" s="95"/>
      <c r="BF9" s="95"/>
      <c r="BG9" s="95"/>
      <c r="BH9" s="95"/>
    </row>
    <row r="10" spans="1:66" s="91" customFormat="1" ht="63" x14ac:dyDescent="0.25">
      <c r="A10" s="86" t="s">
        <v>190</v>
      </c>
      <c r="B10" s="86" t="s">
        <v>244</v>
      </c>
      <c r="C10" s="86" t="s">
        <v>409</v>
      </c>
      <c r="D10" s="87" t="s">
        <v>267</v>
      </c>
      <c r="E10" s="87" t="s">
        <v>187</v>
      </c>
      <c r="F10" s="88">
        <v>140862.03</v>
      </c>
      <c r="G10" s="88">
        <v>140862.03</v>
      </c>
      <c r="H10" s="88">
        <f>Tableau_Lancer_la_requête_à_partir_de_Export_Bdossiers5961516[[#This Row],[UE]]+Tableau_Lancer_la_requête_à_partir_de_Export_Bdossiers5961516[[#This Row],[DPN]]</f>
        <v>70849.19</v>
      </c>
      <c r="I10" s="89">
        <f>Tableau_Lancer_la_requête_à_partir_de_Export_Bdossiers5961516[[#This Row],[Part Publique]]/Tableau_Lancer_la_requête_à_partir_de_Export_Bdossiers5961516[[#This Row],[Coût total Eligible FEDER]]</f>
        <v>0.50296868503172931</v>
      </c>
      <c r="J10" s="88"/>
      <c r="K10" s="88">
        <f>Tableau_Lancer_la_requête_à_partir_de_Export_Bdossiers5961516[[#This Row],[Coût total Opération]]-Tableau_Lancer_la_requête_à_partir_de_Export_Bdossiers5961516[[#This Row],[Part Publique]]</f>
        <v>70012.84</v>
      </c>
      <c r="L10" s="89">
        <f>Tableau_Lancer_la_requête_à_partir_de_Export_Bdossiers5961516[[#This Row],[Autofinancement]]/Tableau_Lancer_la_requête_à_partir_de_Export_Bdossiers5961516[[#This Row],[Coût total Opération]]</f>
        <v>0.49703131496827069</v>
      </c>
      <c r="M10" s="88"/>
      <c r="N10" s="89" t="s">
        <v>59</v>
      </c>
      <c r="O10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70849.19</v>
      </c>
      <c r="P10" s="88">
        <v>0</v>
      </c>
      <c r="Q10" s="88"/>
      <c r="R10" s="88"/>
      <c r="S10" s="88"/>
      <c r="T10" s="88"/>
      <c r="U10" s="88"/>
      <c r="V10" s="88"/>
      <c r="W10" s="88">
        <v>70849.19</v>
      </c>
      <c r="X10" s="88">
        <v>70849.19</v>
      </c>
      <c r="Y10" s="88"/>
      <c r="Z10" s="88"/>
      <c r="AA10" s="88"/>
      <c r="AB10" s="88"/>
      <c r="AC10" s="88">
        <v>0</v>
      </c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112" t="s">
        <v>405</v>
      </c>
      <c r="BB10" s="86" t="s">
        <v>107</v>
      </c>
      <c r="BC10" s="90" t="s">
        <v>38</v>
      </c>
      <c r="BD10" s="111" t="s">
        <v>12</v>
      </c>
      <c r="BE10" s="95"/>
      <c r="BF10" s="95"/>
      <c r="BG10" s="95"/>
      <c r="BH10" s="95"/>
    </row>
    <row r="11" spans="1:66" s="91" customFormat="1" ht="63" x14ac:dyDescent="0.25">
      <c r="A11" s="86" t="s">
        <v>190</v>
      </c>
      <c r="B11" s="86" t="s">
        <v>244</v>
      </c>
      <c r="C11" s="86" t="s">
        <v>410</v>
      </c>
      <c r="D11" s="87" t="s">
        <v>196</v>
      </c>
      <c r="E11" s="87" t="s">
        <v>187</v>
      </c>
      <c r="F11" s="88">
        <v>76014.558864267223</v>
      </c>
      <c r="G11" s="88">
        <v>76014.559999999998</v>
      </c>
      <c r="H11" s="88">
        <f>Tableau_Lancer_la_requête_à_partir_de_Export_Bdossiers5961516[[#This Row],[UE]]+Tableau_Lancer_la_requête_à_partir_de_Export_Bdossiers5961516[[#This Row],[DPN]]</f>
        <v>53210.19</v>
      </c>
      <c r="I11" s="89">
        <f>Tableau_Lancer_la_requête_à_partir_de_Export_Bdossiers5961516[[#This Row],[Part Publique]]/Tableau_Lancer_la_requête_à_partir_de_Export_Bdossiers5961516[[#This Row],[Coût total Eligible FEDER]]</f>
        <v>0.69999997368925115</v>
      </c>
      <c r="J11" s="88"/>
      <c r="K11" s="88">
        <f>Tableau_Lancer_la_requête_à_partir_de_Export_Bdossiers5961516[[#This Row],[Coût total Opération]]-Tableau_Lancer_la_requête_à_partir_de_Export_Bdossiers5961516[[#This Row],[Part Publique]]</f>
        <v>22804.36886426722</v>
      </c>
      <c r="L11" s="89">
        <f>Tableau_Lancer_la_requête_à_partir_de_Export_Bdossiers5961516[[#This Row],[Autofinancement]]/Tableau_Lancer_la_requête_à_partir_de_Export_Bdossiers5961516[[#This Row],[Coût total Opération]]</f>
        <v>0.3000000158520561</v>
      </c>
      <c r="M11" s="88"/>
      <c r="N11" s="89" t="s">
        <v>59</v>
      </c>
      <c r="O11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53210.19</v>
      </c>
      <c r="P11" s="88">
        <v>0</v>
      </c>
      <c r="Q11" s="88"/>
      <c r="R11" s="88"/>
      <c r="S11" s="88"/>
      <c r="T11" s="88"/>
      <c r="U11" s="88"/>
      <c r="V11" s="88"/>
      <c r="W11" s="88">
        <v>53210.19</v>
      </c>
      <c r="X11" s="88">
        <v>53210.19</v>
      </c>
      <c r="Y11" s="88"/>
      <c r="Z11" s="88"/>
      <c r="AA11" s="88"/>
      <c r="AB11" s="88"/>
      <c r="AC11" s="88">
        <v>0</v>
      </c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112" t="s">
        <v>405</v>
      </c>
      <c r="BB11" s="86" t="s">
        <v>107</v>
      </c>
      <c r="BC11" s="90" t="s">
        <v>59</v>
      </c>
      <c r="BD11" s="111" t="s">
        <v>411</v>
      </c>
      <c r="BE11" s="95"/>
      <c r="BF11" s="95"/>
      <c r="BG11" s="95"/>
      <c r="BH11" s="95"/>
      <c r="BI11" s="95"/>
    </row>
    <row r="12" spans="1:66" s="92" customFormat="1" ht="63" x14ac:dyDescent="0.25">
      <c r="A12" s="86" t="s">
        <v>190</v>
      </c>
      <c r="B12" s="86" t="s">
        <v>244</v>
      </c>
      <c r="C12" s="86" t="s">
        <v>412</v>
      </c>
      <c r="D12" s="87" t="s">
        <v>197</v>
      </c>
      <c r="E12" s="87" t="s">
        <v>187</v>
      </c>
      <c r="F12" s="88">
        <v>106156.77</v>
      </c>
      <c r="G12" s="88">
        <v>106156.78</v>
      </c>
      <c r="H12" s="88">
        <f>Tableau_Lancer_la_requête_à_partir_de_Export_Bdossiers5961516[[#This Row],[UE]]+Tableau_Lancer_la_requête_à_partir_de_Export_Bdossiers5961516[[#This Row],[DPN]]</f>
        <v>70724.070000000007</v>
      </c>
      <c r="I12" s="89">
        <f>Tableau_Lancer_la_requête_à_partir_de_Export_Bdossiers5961516[[#This Row],[Part Publique]]/Tableau_Lancer_la_requête_à_partir_de_Export_Bdossiers5961516[[#This Row],[Coût total Eligible FEDER]]</f>
        <v>0.66622282627638107</v>
      </c>
      <c r="J12" s="88"/>
      <c r="K12" s="88">
        <f>Tableau_Lancer_la_requête_à_partir_de_Export_Bdossiers5961516[[#This Row],[Coût total Opération]]-Tableau_Lancer_la_requête_à_partir_de_Export_Bdossiers5961516[[#This Row],[Part Publique]]</f>
        <v>35432.699999999997</v>
      </c>
      <c r="L12" s="89">
        <f>Tableau_Lancer_la_requête_à_partir_de_Export_Bdossiers5961516[[#This Row],[Autofinancement]]/Tableau_Lancer_la_requête_à_partir_de_Export_Bdossiers5961516[[#This Row],[Coût total Opération]]</f>
        <v>0.33377711096522622</v>
      </c>
      <c r="M12" s="88"/>
      <c r="N12" s="89" t="s">
        <v>59</v>
      </c>
      <c r="O12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70724.070000000007</v>
      </c>
      <c r="P12" s="88">
        <v>7030</v>
      </c>
      <c r="Q12" s="88">
        <v>7030</v>
      </c>
      <c r="R12" s="88"/>
      <c r="S12" s="88"/>
      <c r="T12" s="88"/>
      <c r="U12" s="88"/>
      <c r="V12" s="88"/>
      <c r="W12" s="88">
        <v>63694.07</v>
      </c>
      <c r="X12" s="88">
        <v>63694.07</v>
      </c>
      <c r="Y12" s="88"/>
      <c r="Z12" s="88"/>
      <c r="AA12" s="88"/>
      <c r="AB12" s="88"/>
      <c r="AC12" s="88">
        <v>0</v>
      </c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12" t="s">
        <v>405</v>
      </c>
      <c r="BB12" s="86" t="s">
        <v>107</v>
      </c>
      <c r="BC12" s="90" t="s">
        <v>33</v>
      </c>
      <c r="BD12" s="111" t="s">
        <v>11</v>
      </c>
      <c r="BE12" s="95"/>
      <c r="BF12" s="96"/>
      <c r="BG12" s="96"/>
      <c r="BI12" s="98"/>
      <c r="BJ12" s="98"/>
    </row>
    <row r="13" spans="1:66" s="91" customFormat="1" ht="63" x14ac:dyDescent="0.25">
      <c r="A13" s="86" t="s">
        <v>190</v>
      </c>
      <c r="B13" s="86" t="s">
        <v>244</v>
      </c>
      <c r="C13" s="86" t="s">
        <v>413</v>
      </c>
      <c r="D13" s="87" t="s">
        <v>198</v>
      </c>
      <c r="E13" s="87" t="s">
        <v>187</v>
      </c>
      <c r="F13" s="88">
        <v>163477.92561202601</v>
      </c>
      <c r="G13" s="88">
        <v>163477.93</v>
      </c>
      <c r="H13" s="88">
        <f>Tableau_Lancer_la_requête_à_partir_de_Export_Bdossiers5961516[[#This Row],[UE]]+Tableau_Lancer_la_requête_à_partir_de_Export_Bdossiers5961516[[#This Row],[DPN]]</f>
        <v>85274.55</v>
      </c>
      <c r="I13" s="89">
        <f>Tableau_Lancer_la_requête_à_partir_de_Export_Bdossiers5961516[[#This Row],[Part Publique]]/Tableau_Lancer_la_requête_à_partir_de_Export_Bdossiers5961516[[#This Row],[Coût total Eligible FEDER]]</f>
        <v>0.52162729244247219</v>
      </c>
      <c r="J13" s="88"/>
      <c r="K13" s="88">
        <f>Tableau_Lancer_la_requête_à_partir_de_Export_Bdossiers5961516[[#This Row],[Coût total Opération]]-Tableau_Lancer_la_requête_à_partir_de_Export_Bdossiers5961516[[#This Row],[Part Publique]]</f>
        <v>78203.375612026008</v>
      </c>
      <c r="L13" s="89">
        <f>Tableau_Lancer_la_requête_à_partir_de_Export_Bdossiers5961516[[#This Row],[Autofinancement]]/Tableau_Lancer_la_requête_à_partir_de_Export_Bdossiers5961516[[#This Row],[Coût total Opération]]</f>
        <v>0.47837269355632867</v>
      </c>
      <c r="M13" s="88"/>
      <c r="N13" s="89" t="s">
        <v>59</v>
      </c>
      <c r="O13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85274.55</v>
      </c>
      <c r="P13" s="88">
        <f>SUM(Tableau_Lancer_la_requête_à_partir_de_Export_Bdossiers5961516[[#This Row],[Auvergne]:[Rhône-Alpes]])</f>
        <v>0</v>
      </c>
      <c r="Q13" s="88"/>
      <c r="R13" s="88"/>
      <c r="S13" s="88"/>
      <c r="T13" s="88"/>
      <c r="U13" s="88"/>
      <c r="V13" s="88"/>
      <c r="W13" s="88">
        <v>85274.55</v>
      </c>
      <c r="X13" s="88">
        <v>85274.55</v>
      </c>
      <c r="Y13" s="88"/>
      <c r="Z13" s="88"/>
      <c r="AA13" s="88"/>
      <c r="AB13" s="88"/>
      <c r="AC13" s="88">
        <f>SUM(Tableau_Lancer_la_requête_à_partir_de_Export_Bdossiers5961516[[#This Row],[03]:[89]])</f>
        <v>0</v>
      </c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12" t="s">
        <v>405</v>
      </c>
      <c r="BB13" s="86" t="s">
        <v>107</v>
      </c>
      <c r="BC13" s="90" t="s">
        <v>34</v>
      </c>
      <c r="BD13" s="111" t="s">
        <v>22</v>
      </c>
      <c r="BE13" s="95"/>
      <c r="BG13" s="95"/>
      <c r="BH13" s="95"/>
      <c r="BI13" s="95"/>
    </row>
    <row r="14" spans="1:66" s="91" customFormat="1" x14ac:dyDescent="0.25">
      <c r="D14" s="92"/>
      <c r="E14" s="92"/>
      <c r="F14" s="93"/>
      <c r="G14" s="93"/>
      <c r="H14" s="93"/>
      <c r="I14" s="94"/>
      <c r="J14" s="93"/>
      <c r="K14" s="93"/>
      <c r="L14" s="89"/>
      <c r="M14" s="93"/>
      <c r="N14" s="94"/>
      <c r="O14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528945.41</v>
      </c>
      <c r="P14" s="118">
        <f t="shared" ref="P14:V14" si="0">SUBTOTAL(9,P6:P13)</f>
        <v>26822.400000000001</v>
      </c>
      <c r="Q14" s="118">
        <f t="shared" si="0"/>
        <v>21395.4</v>
      </c>
      <c r="R14" s="118">
        <f t="shared" si="0"/>
        <v>0</v>
      </c>
      <c r="S14" s="118">
        <f t="shared" si="0"/>
        <v>0</v>
      </c>
      <c r="T14" s="118">
        <f t="shared" si="0"/>
        <v>0</v>
      </c>
      <c r="U14" s="118">
        <f t="shared" si="0"/>
        <v>2927</v>
      </c>
      <c r="V14" s="118">
        <f t="shared" si="0"/>
        <v>0</v>
      </c>
      <c r="W14" s="118">
        <f>SUBTOTAL(9,W6:W13)</f>
        <v>502123.01</v>
      </c>
      <c r="X14" s="118">
        <f t="shared" ref="X14:AC14" si="1">SUBTOTAL(9,X6:X13)</f>
        <v>502123.01</v>
      </c>
      <c r="Y14" s="118">
        <f t="shared" si="1"/>
        <v>0</v>
      </c>
      <c r="Z14" s="118">
        <f t="shared" si="1"/>
        <v>0</v>
      </c>
      <c r="AA14" s="118">
        <f t="shared" si="1"/>
        <v>0</v>
      </c>
      <c r="AB14" s="118">
        <f t="shared" si="1"/>
        <v>0</v>
      </c>
      <c r="AC14" s="118">
        <f t="shared" si="1"/>
        <v>0</v>
      </c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6"/>
      <c r="BC14" s="95"/>
      <c r="BD14" s="98"/>
      <c r="BE14" s="95"/>
      <c r="BG14" s="95"/>
      <c r="BH14" s="95"/>
      <c r="BI14" s="95"/>
    </row>
    <row r="15" spans="1:66" s="120" customFormat="1" ht="31.5" x14ac:dyDescent="0.25">
      <c r="A15" s="120" t="s">
        <v>190</v>
      </c>
      <c r="B15" s="120" t="s">
        <v>191</v>
      </c>
      <c r="C15" s="120" t="s">
        <v>414</v>
      </c>
      <c r="D15" s="121" t="s">
        <v>199</v>
      </c>
      <c r="E15" s="121" t="s">
        <v>200</v>
      </c>
      <c r="F15" s="122">
        <v>50904.959999999999</v>
      </c>
      <c r="G15" s="122">
        <v>50904.959999999999</v>
      </c>
      <c r="H15" s="123">
        <f>Tableau_Lancer_la_requête_à_partir_de_Export_Bdossiers5961516[[#This Row],[UE]]+Tableau_Lancer_la_requête_à_partir_de_Export_Bdossiers5961516[[#This Row],[DPN]]</f>
        <v>35632</v>
      </c>
      <c r="I15" s="124">
        <f>Tableau_Lancer_la_requête_à_partir_de_Export_Bdossiers5961516[[#This Row],[Part Publique]]/Tableau_Lancer_la_requête_à_partir_de_Export_Bdossiers5961516[[#This Row],[Coût total Eligible FEDER]]</f>
        <v>0.69997108336790759</v>
      </c>
      <c r="J15" s="122"/>
      <c r="K15" s="123">
        <f>Tableau_Lancer_la_requête_à_partir_de_Export_Bdossiers5961516[[#This Row],[Coût total Opération]]-Tableau_Lancer_la_requête_à_partir_de_Export_Bdossiers5961516[[#This Row],[Part Publique]]</f>
        <v>15272.96</v>
      </c>
      <c r="L15" s="124">
        <f>Tableau_Lancer_la_requête_à_partir_de_Export_Bdossiers5961516[[#This Row],[Autofinancement]]/Tableau_Lancer_la_requête_à_partir_de_Export_Bdossiers5961516[[#This Row],[Coût total Opération]]</f>
        <v>0.30002891663209241</v>
      </c>
      <c r="M15" s="122"/>
      <c r="N15" s="125" t="s">
        <v>59</v>
      </c>
      <c r="O15" s="123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35632</v>
      </c>
      <c r="P15" s="123">
        <f>SUM(Tableau_Lancer_la_requête_à_partir_de_Export_Bdossiers5961516[[#This Row],[Auvergne]:[Rhône-Alpes]])</f>
        <v>17816.489999999998</v>
      </c>
      <c r="Q15" s="122">
        <v>15271.49</v>
      </c>
      <c r="R15" s="122"/>
      <c r="S15" s="122">
        <v>2545</v>
      </c>
      <c r="T15" s="122"/>
      <c r="U15" s="122"/>
      <c r="V15" s="122"/>
      <c r="W15" s="122">
        <v>17815.509999999998</v>
      </c>
      <c r="X15" s="122">
        <v>17816</v>
      </c>
      <c r="Y15" s="122"/>
      <c r="Z15" s="122"/>
      <c r="AA15" s="122"/>
      <c r="AB15" s="122"/>
      <c r="AC15" s="123">
        <f>SUM(Tableau_Lancer_la_requête_à_partir_de_Export_Bdossiers5961516[[#This Row],[03]:[89]])</f>
        <v>0</v>
      </c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6"/>
      <c r="BB15" s="120" t="s">
        <v>107</v>
      </c>
      <c r="BC15" s="127" t="s">
        <v>44</v>
      </c>
      <c r="BD15" s="128" t="s">
        <v>11</v>
      </c>
      <c r="BE15" s="127"/>
      <c r="BF15" s="128"/>
      <c r="BG15" s="127"/>
      <c r="BH15" s="127"/>
      <c r="BI15" s="127"/>
    </row>
    <row r="16" spans="1:66" s="120" customFormat="1" ht="31.5" x14ac:dyDescent="0.25">
      <c r="A16" s="120" t="s">
        <v>190</v>
      </c>
      <c r="B16" s="120" t="s">
        <v>191</v>
      </c>
      <c r="C16" s="120" t="s">
        <v>415</v>
      </c>
      <c r="D16" s="121" t="s">
        <v>192</v>
      </c>
      <c r="E16" s="121" t="s">
        <v>200</v>
      </c>
      <c r="F16" s="122">
        <v>19536.599999999999</v>
      </c>
      <c r="G16" s="122">
        <v>19536.599999999999</v>
      </c>
      <c r="H16" s="123">
        <f>Tableau_Lancer_la_requête_à_partir_de_Export_Bdossiers5961516[[#This Row],[UE]]+Tableau_Lancer_la_requête_à_partir_de_Export_Bdossiers5961516[[#This Row],[DPN]]</f>
        <v>13675</v>
      </c>
      <c r="I16" s="124">
        <f>Tableau_Lancer_la_requête_à_partir_de_Export_Bdossiers5961516[[#This Row],[Part Publique]]/Tableau_Lancer_la_requête_à_partir_de_Export_Bdossiers5961516[[#This Row],[Coût total Eligible FEDER]]</f>
        <v>0.69996826469293538</v>
      </c>
      <c r="J16" s="122"/>
      <c r="K16" s="123">
        <f>Tableau_Lancer_la_requête_à_partir_de_Export_Bdossiers5961516[[#This Row],[Coût total Opération]]-Tableau_Lancer_la_requête_à_partir_de_Export_Bdossiers5961516[[#This Row],[Part Publique]]</f>
        <v>5861.5999999999985</v>
      </c>
      <c r="L16" s="124">
        <f>Tableau_Lancer_la_requête_à_partir_de_Export_Bdossiers5961516[[#This Row],[Autofinancement]]/Tableau_Lancer_la_requête_à_partir_de_Export_Bdossiers5961516[[#This Row],[Coût total Opération]]</f>
        <v>0.30003173530706462</v>
      </c>
      <c r="M16" s="122"/>
      <c r="N16" s="125" t="s">
        <v>59</v>
      </c>
      <c r="O16" s="123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13675</v>
      </c>
      <c r="P16" s="123">
        <f>SUM(Tableau_Lancer_la_requête_à_partir_de_Export_Bdossiers5961516[[#This Row],[Auvergne]:[Rhône-Alpes]])</f>
        <v>0</v>
      </c>
      <c r="Q16" s="122"/>
      <c r="R16" s="122"/>
      <c r="S16" s="122"/>
      <c r="T16" s="122"/>
      <c r="U16" s="122"/>
      <c r="V16" s="122"/>
      <c r="W16" s="122">
        <v>13675</v>
      </c>
      <c r="X16" s="122">
        <v>13675</v>
      </c>
      <c r="Y16" s="122"/>
      <c r="Z16" s="122"/>
      <c r="AA16" s="122"/>
      <c r="AB16" s="122"/>
      <c r="AC16" s="123">
        <f>SUM(Tableau_Lancer_la_requête_à_partir_de_Export_Bdossiers5961516[[#This Row],[03]:[89]])</f>
        <v>0</v>
      </c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9"/>
      <c r="BB16" s="120" t="s">
        <v>107</v>
      </c>
      <c r="BC16" s="127" t="s">
        <v>32</v>
      </c>
      <c r="BD16" s="128" t="s">
        <v>23</v>
      </c>
      <c r="BE16" s="126"/>
      <c r="BF16" s="128"/>
      <c r="BG16" s="127"/>
      <c r="BH16" s="127"/>
      <c r="BI16" s="127"/>
    </row>
    <row r="17" spans="1:65" s="120" customFormat="1" ht="31.5" x14ac:dyDescent="0.25">
      <c r="A17" s="120" t="s">
        <v>190</v>
      </c>
      <c r="B17" s="120" t="s">
        <v>191</v>
      </c>
      <c r="C17" s="120" t="s">
        <v>416</v>
      </c>
      <c r="D17" s="121" t="s">
        <v>201</v>
      </c>
      <c r="E17" s="121" t="s">
        <v>200</v>
      </c>
      <c r="F17" s="122">
        <v>10339.41</v>
      </c>
      <c r="G17" s="122">
        <v>10339.31</v>
      </c>
      <c r="H17" s="123">
        <f>Tableau_Lancer_la_requête_à_partir_de_Export_Bdossiers5961516[[#This Row],[UE]]+Tableau_Lancer_la_requête_à_partir_de_Export_Bdossiers5961516[[#This Row],[DPN]]</f>
        <v>7237.53</v>
      </c>
      <c r="I17" s="124">
        <f>Tableau_Lancer_la_requête_à_partir_de_Export_Bdossiers5961516[[#This Row],[Part Publique]]/Tableau_Lancer_la_requête_à_partir_de_Export_Bdossiers5961516[[#This Row],[Coût total Eligible FEDER]]</f>
        <v>0.70000125733728846</v>
      </c>
      <c r="J17" s="122"/>
      <c r="K17" s="123">
        <f>Tableau_Lancer_la_requête_à_partir_de_Export_Bdossiers5961516[[#This Row],[Coût total Opération]]-Tableau_Lancer_la_requête_à_partir_de_Export_Bdossiers5961516[[#This Row],[Part Publique]]</f>
        <v>3101.88</v>
      </c>
      <c r="L17" s="124">
        <f>Tableau_Lancer_la_requête_à_partir_de_Export_Bdossiers5961516[[#This Row],[Autofinancement]]/Tableau_Lancer_la_requête_à_partir_de_Export_Bdossiers5961516[[#This Row],[Coût total Opération]]</f>
        <v>0.30000551288709898</v>
      </c>
      <c r="M17" s="122"/>
      <c r="N17" s="125" t="s">
        <v>59</v>
      </c>
      <c r="O17" s="123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7237.53</v>
      </c>
      <c r="P17" s="123">
        <f>SUM(Tableau_Lancer_la_requête_à_partir_de_Export_Bdossiers5961516[[#This Row],[Auvergne]:[Rhône-Alpes]])</f>
        <v>2584.83</v>
      </c>
      <c r="Q17" s="122">
        <v>2584.83</v>
      </c>
      <c r="R17" s="122"/>
      <c r="S17" s="122"/>
      <c r="T17" s="122"/>
      <c r="U17" s="122"/>
      <c r="V17" s="122"/>
      <c r="W17" s="122">
        <v>4652.7</v>
      </c>
      <c r="X17" s="122">
        <v>4652.7</v>
      </c>
      <c r="Y17" s="122"/>
      <c r="Z17" s="122"/>
      <c r="AA17" s="122"/>
      <c r="AB17" s="122"/>
      <c r="AC17" s="123">
        <f>SUM(Tableau_Lancer_la_requête_à_partir_de_Export_Bdossiers5961516[[#This Row],[03]:[89]])</f>
        <v>0</v>
      </c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9"/>
      <c r="BB17" s="120" t="s">
        <v>107</v>
      </c>
      <c r="BC17" s="127" t="s">
        <v>188</v>
      </c>
      <c r="BD17" s="128" t="s">
        <v>189</v>
      </c>
      <c r="BF17" s="128"/>
      <c r="BG17" s="127"/>
      <c r="BH17" s="127"/>
      <c r="BI17" s="127"/>
    </row>
    <row r="18" spans="1:65" s="120" customFormat="1" ht="31.5" x14ac:dyDescent="0.25">
      <c r="A18" s="120" t="s">
        <v>190</v>
      </c>
      <c r="B18" s="120" t="s">
        <v>191</v>
      </c>
      <c r="C18" s="120" t="s">
        <v>417</v>
      </c>
      <c r="D18" s="121" t="s">
        <v>202</v>
      </c>
      <c r="E18" s="121" t="s">
        <v>200</v>
      </c>
      <c r="F18" s="122">
        <v>8201.82</v>
      </c>
      <c r="G18" s="122">
        <v>8201.82</v>
      </c>
      <c r="H18" s="123">
        <f>Tableau_Lancer_la_requête_à_partir_de_Export_Bdossiers5961516[[#This Row],[UE]]+Tableau_Lancer_la_requête_à_partir_de_Export_Bdossiers5961516[[#This Row],[DPN]]</f>
        <v>4378.0599999999995</v>
      </c>
      <c r="I18" s="124">
        <f>Tableau_Lancer_la_requête_à_partir_de_Export_Bdossiers5961516[[#This Row],[Part Publique]]/Tableau_Lancer_la_requête_à_partir_de_Export_Bdossiers5961516[[#This Row],[Coût total Eligible FEDER]]</f>
        <v>0.53379128047189517</v>
      </c>
      <c r="J18" s="122"/>
      <c r="K18" s="123">
        <f>Tableau_Lancer_la_requête_à_partir_de_Export_Bdossiers5961516[[#This Row],[Coût total Opération]]-Tableau_Lancer_la_requête_à_partir_de_Export_Bdossiers5961516[[#This Row],[Part Publique]]</f>
        <v>3823.76</v>
      </c>
      <c r="L18" s="124">
        <f>Tableau_Lancer_la_requête_à_partir_de_Export_Bdossiers5961516[[#This Row],[Autofinancement]]/Tableau_Lancer_la_requête_à_partir_de_Export_Bdossiers5961516[[#This Row],[Coût total Opération]]</f>
        <v>0.46620871952810478</v>
      </c>
      <c r="M18" s="122"/>
      <c r="N18" s="125" t="s">
        <v>59</v>
      </c>
      <c r="O18" s="123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4378.0599999999995</v>
      </c>
      <c r="P18" s="123">
        <f>SUM(Tableau_Lancer_la_requête_à_partir_de_Export_Bdossiers5961516[[#This Row],[Auvergne]:[Rhône-Alpes]])</f>
        <v>2050.46</v>
      </c>
      <c r="Q18" s="122">
        <v>2050.46</v>
      </c>
      <c r="R18" s="122"/>
      <c r="S18" s="122"/>
      <c r="T18" s="122"/>
      <c r="U18" s="122"/>
      <c r="V18" s="122"/>
      <c r="W18" s="122">
        <v>2327.6</v>
      </c>
      <c r="X18" s="122">
        <v>2327.6</v>
      </c>
      <c r="Y18" s="122"/>
      <c r="Z18" s="122"/>
      <c r="AA18" s="122"/>
      <c r="AB18" s="122"/>
      <c r="AC18" s="123">
        <f>SUM(Tableau_Lancer_la_requête_à_partir_de_Export_Bdossiers5961516[[#This Row],[03]:[89]])</f>
        <v>0</v>
      </c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6" t="s">
        <v>492</v>
      </c>
      <c r="BB18" s="120" t="s">
        <v>107</v>
      </c>
      <c r="BC18" s="127" t="s">
        <v>29</v>
      </c>
      <c r="BD18" s="128" t="s">
        <v>11</v>
      </c>
      <c r="BE18" s="128"/>
      <c r="BF18" s="127"/>
      <c r="BG18" s="127"/>
      <c r="BH18" s="127"/>
    </row>
    <row r="19" spans="1:65" s="120" customFormat="1" ht="31.5" x14ac:dyDescent="0.25">
      <c r="A19" s="120" t="s">
        <v>190</v>
      </c>
      <c r="B19" s="120" t="s">
        <v>191</v>
      </c>
      <c r="C19" s="120" t="s">
        <v>418</v>
      </c>
      <c r="D19" s="121" t="s">
        <v>203</v>
      </c>
      <c r="E19" s="121" t="s">
        <v>200</v>
      </c>
      <c r="F19" s="122">
        <v>6262.71</v>
      </c>
      <c r="G19" s="122">
        <v>4834.0600000000004</v>
      </c>
      <c r="H19" s="123">
        <f>Tableau_Lancer_la_requête_à_partir_de_Export_Bdossiers5961516[[#This Row],[UE]]+Tableau_Lancer_la_requête_à_partir_de_Export_Bdossiers5961516[[#This Row],[DPN]]</f>
        <v>3383.8</v>
      </c>
      <c r="I19" s="124">
        <f>Tableau_Lancer_la_requête_à_partir_de_Export_Bdossiers5961516[[#This Row],[Part Publique]]/Tableau_Lancer_la_requête_à_partir_de_Export_Bdossiers5961516[[#This Row],[Coût total Eligible FEDER]]</f>
        <v>0.69999131165107586</v>
      </c>
      <c r="J19" s="122"/>
      <c r="K19" s="123">
        <f>Tableau_Lancer_la_requête_à_partir_de_Export_Bdossiers5961516[[#This Row],[Coût total Opération]]-Tableau_Lancer_la_requête_à_partir_de_Export_Bdossiers5961516[[#This Row],[Part Publique]]</f>
        <v>2878.91</v>
      </c>
      <c r="L19" s="124">
        <f>Tableau_Lancer_la_requête_à_partir_de_Export_Bdossiers5961516[[#This Row],[Autofinancement]]/Tableau_Lancer_la_requête_à_partir_de_Export_Bdossiers5961516[[#This Row],[Coût total Opération]]</f>
        <v>0.45969077284434373</v>
      </c>
      <c r="M19" s="122"/>
      <c r="N19" s="125" t="s">
        <v>59</v>
      </c>
      <c r="O19" s="123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3383.8</v>
      </c>
      <c r="P19" s="123">
        <f>SUM(Tableau_Lancer_la_requête_à_partir_de_Export_Bdossiers5961516[[#This Row],[Auvergne]:[Rhône-Alpes]])</f>
        <v>0</v>
      </c>
      <c r="Q19" s="122"/>
      <c r="R19" s="122"/>
      <c r="S19" s="122"/>
      <c r="T19" s="122"/>
      <c r="U19" s="122"/>
      <c r="V19" s="122"/>
      <c r="W19" s="122">
        <v>3383.8</v>
      </c>
      <c r="X19" s="122">
        <v>3383.8</v>
      </c>
      <c r="Y19" s="122"/>
      <c r="Z19" s="122"/>
      <c r="AA19" s="122"/>
      <c r="AB19" s="122"/>
      <c r="AC19" s="123">
        <f>SUM(Tableau_Lancer_la_requête_à_partir_de_Export_Bdossiers5961516[[#This Row],[03]:[89]])</f>
        <v>0</v>
      </c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6" t="s">
        <v>493</v>
      </c>
      <c r="BB19" s="120" t="s">
        <v>107</v>
      </c>
      <c r="BC19" s="127" t="s">
        <v>32</v>
      </c>
      <c r="BD19" s="128" t="s">
        <v>23</v>
      </c>
      <c r="BE19" s="128"/>
      <c r="BF19" s="127"/>
      <c r="BG19" s="127"/>
      <c r="BH19" s="127"/>
    </row>
    <row r="20" spans="1:65" s="120" customFormat="1" ht="31.5" x14ac:dyDescent="0.25">
      <c r="A20" s="120" t="s">
        <v>190</v>
      </c>
      <c r="B20" s="120" t="s">
        <v>191</v>
      </c>
      <c r="C20" s="120" t="s">
        <v>419</v>
      </c>
      <c r="D20" s="121" t="s">
        <v>204</v>
      </c>
      <c r="E20" s="121" t="s">
        <v>200</v>
      </c>
      <c r="F20" s="122">
        <v>11665.06</v>
      </c>
      <c r="G20" s="122">
        <v>11665.06</v>
      </c>
      <c r="H20" s="123">
        <f>Tableau_Lancer_la_requête_à_partir_de_Export_Bdossiers5961516[[#This Row],[UE]]+Tableau_Lancer_la_requête_à_partir_de_Export_Bdossiers5961516[[#This Row],[DPN]]</f>
        <v>6219.77</v>
      </c>
      <c r="I20" s="124">
        <f>Tableau_Lancer_la_requête_à_partir_de_Export_Bdossiers5961516[[#This Row],[Part Publique]]/Tableau_Lancer_la_requête_à_partir_de_Export_Bdossiers5961516[[#This Row],[Coût total Eligible FEDER]]</f>
        <v>0.53319657164215195</v>
      </c>
      <c r="J20" s="122"/>
      <c r="K20" s="123">
        <f>Tableau_Lancer_la_requête_à_partir_de_Export_Bdossiers5961516[[#This Row],[Coût total Opération]]-Tableau_Lancer_la_requête_à_partir_de_Export_Bdossiers5961516[[#This Row],[Part Publique]]</f>
        <v>5445.2899999999991</v>
      </c>
      <c r="L20" s="124">
        <f>Tableau_Lancer_la_requête_à_partir_de_Export_Bdossiers5961516[[#This Row],[Autofinancement]]/Tableau_Lancer_la_requête_à_partir_de_Export_Bdossiers5961516[[#This Row],[Coût total Opération]]</f>
        <v>0.4668034283578481</v>
      </c>
      <c r="M20" s="122"/>
      <c r="N20" s="125" t="s">
        <v>59</v>
      </c>
      <c r="O20" s="123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6219.77</v>
      </c>
      <c r="P20" s="123">
        <f>SUM(Tableau_Lancer_la_requête_à_partir_de_Export_Bdossiers5961516[[#This Row],[Auvergne]:[Rhône-Alpes]])</f>
        <v>2916.27</v>
      </c>
      <c r="Q20" s="122">
        <v>2916.27</v>
      </c>
      <c r="R20" s="122"/>
      <c r="S20" s="122"/>
      <c r="T20" s="122"/>
      <c r="U20" s="122"/>
      <c r="V20" s="122"/>
      <c r="W20" s="122">
        <v>3303.5</v>
      </c>
      <c r="X20" s="122">
        <v>3303.5</v>
      </c>
      <c r="Y20" s="122"/>
      <c r="Z20" s="122"/>
      <c r="AA20" s="122"/>
      <c r="AB20" s="122"/>
      <c r="AC20" s="123">
        <f>SUM(Tableau_Lancer_la_requête_à_partir_de_Export_Bdossiers5961516[[#This Row],[03]:[89]])</f>
        <v>0</v>
      </c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6" t="s">
        <v>494</v>
      </c>
      <c r="BB20" s="120" t="s">
        <v>107</v>
      </c>
      <c r="BC20" s="127" t="s">
        <v>40</v>
      </c>
      <c r="BD20" s="128" t="s">
        <v>11</v>
      </c>
      <c r="BE20" s="128"/>
      <c r="BF20" s="127"/>
      <c r="BG20" s="127"/>
      <c r="BH20" s="127"/>
    </row>
    <row r="21" spans="1:65" s="120" customFormat="1" ht="31.5" x14ac:dyDescent="0.25">
      <c r="A21" s="120" t="s">
        <v>190</v>
      </c>
      <c r="B21" s="120" t="s">
        <v>191</v>
      </c>
      <c r="C21" s="120" t="s">
        <v>420</v>
      </c>
      <c r="D21" s="121" t="s">
        <v>205</v>
      </c>
      <c r="E21" s="121" t="s">
        <v>200</v>
      </c>
      <c r="F21" s="122">
        <v>37393.879999999997</v>
      </c>
      <c r="G21" s="122">
        <v>37393.879999999997</v>
      </c>
      <c r="H21" s="123">
        <f>Tableau_Lancer_la_requête_à_partir_de_Export_Bdossiers5961516[[#This Row],[UE]]+Tableau_Lancer_la_requête_à_partir_de_Export_Bdossiers5961516[[#This Row],[DPN]]</f>
        <v>26175.67</v>
      </c>
      <c r="I21" s="124">
        <f>Tableau_Lancer_la_requête_à_partir_de_Export_Bdossiers5961516[[#This Row],[Part Publique]]/Tableau_Lancer_la_requête_à_partir_de_Export_Bdossiers5961516[[#This Row],[Coût total Eligible FEDER]]</f>
        <v>0.69999876985217901</v>
      </c>
      <c r="J21" s="122"/>
      <c r="K21" s="123">
        <f>Tableau_Lancer_la_requête_à_partir_de_Export_Bdossiers5961516[[#This Row],[Coût total Opération]]-Tableau_Lancer_la_requête_à_partir_de_Export_Bdossiers5961516[[#This Row],[Part Publique]]</f>
        <v>11218.21</v>
      </c>
      <c r="L21" s="124">
        <f>Tableau_Lancer_la_requête_à_partir_de_Export_Bdossiers5961516[[#This Row],[Autofinancement]]/Tableau_Lancer_la_requête_à_partir_de_Export_Bdossiers5961516[[#This Row],[Coût total Opération]]</f>
        <v>0.30000123014782099</v>
      </c>
      <c r="M21" s="122"/>
      <c r="N21" s="125" t="s">
        <v>59</v>
      </c>
      <c r="O21" s="123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26175.67</v>
      </c>
      <c r="P21" s="123">
        <f>SUM(Tableau_Lancer_la_requête_à_partir_de_Export_Bdossiers5961516[[#This Row],[Auvergne]:[Rhône-Alpes]])</f>
        <v>9348.4699999999993</v>
      </c>
      <c r="Q21" s="122">
        <v>9348.4699999999993</v>
      </c>
      <c r="R21" s="122"/>
      <c r="S21" s="122"/>
      <c r="T21" s="122"/>
      <c r="U21" s="122"/>
      <c r="V21" s="122"/>
      <c r="W21" s="122">
        <v>16827.2</v>
      </c>
      <c r="X21" s="122">
        <v>16827.2</v>
      </c>
      <c r="Y21" s="122"/>
      <c r="Z21" s="122"/>
      <c r="AA21" s="122"/>
      <c r="AB21" s="122"/>
      <c r="AC21" s="123">
        <f>SUM(Tableau_Lancer_la_requête_à_partir_de_Export_Bdossiers5961516[[#This Row],[03]:[89]])</f>
        <v>0</v>
      </c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6"/>
      <c r="BB21" s="120" t="s">
        <v>107</v>
      </c>
      <c r="BC21" s="127" t="s">
        <v>188</v>
      </c>
      <c r="BD21" s="128" t="s">
        <v>189</v>
      </c>
      <c r="BE21" s="128"/>
      <c r="BF21" s="127"/>
      <c r="BG21" s="127"/>
      <c r="BH21" s="127"/>
    </row>
    <row r="22" spans="1:65" s="120" customFormat="1" ht="31.5" x14ac:dyDescent="0.25">
      <c r="A22" s="130" t="s">
        <v>190</v>
      </c>
      <c r="B22" s="130" t="s">
        <v>191</v>
      </c>
      <c r="C22" s="130" t="s">
        <v>421</v>
      </c>
      <c r="D22" s="131" t="s">
        <v>206</v>
      </c>
      <c r="E22" s="131" t="s">
        <v>200</v>
      </c>
      <c r="F22" s="123">
        <v>5611.14</v>
      </c>
      <c r="G22" s="123">
        <v>5611.14</v>
      </c>
      <c r="H22" s="123">
        <f>Tableau_Lancer_la_requête_à_partir_de_Export_Bdossiers5961516[[#This Row],[UE]]+Tableau_Lancer_la_requête_à_partir_de_Export_Bdossiers5961516[[#This Row],[DPN]]</f>
        <v>3927.79</v>
      </c>
      <c r="I22" s="124">
        <f>Tableau_Lancer_la_requête_à_partir_de_Export_Bdossiers5961516[[#This Row],[Part Publique]]/Tableau_Lancer_la_requête_à_partir_de_Export_Bdossiers5961516[[#This Row],[Coût total Eligible FEDER]]</f>
        <v>0.69999857426476608</v>
      </c>
      <c r="J22" s="123"/>
      <c r="K22" s="123">
        <f>Tableau_Lancer_la_requête_à_partir_de_Export_Bdossiers5961516[[#This Row],[Coût total Opération]]-Tableau_Lancer_la_requête_à_partir_de_Export_Bdossiers5961516[[#This Row],[Part Publique]]</f>
        <v>1683.3500000000004</v>
      </c>
      <c r="L22" s="124">
        <f>Tableau_Lancer_la_requête_à_partir_de_Export_Bdossiers5961516[[#This Row],[Autofinancement]]/Tableau_Lancer_la_requête_à_partir_de_Export_Bdossiers5961516[[#This Row],[Coût total Opération]]</f>
        <v>0.30000142573523386</v>
      </c>
      <c r="M22" s="123"/>
      <c r="N22" s="124" t="s">
        <v>59</v>
      </c>
      <c r="O22" s="123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3927.79</v>
      </c>
      <c r="P22" s="123">
        <f>SUM(Tableau_Lancer_la_requête_à_partir_de_Export_Bdossiers5961516[[#This Row],[Auvergne]:[Rhône-Alpes]])</f>
        <v>1402.79</v>
      </c>
      <c r="Q22" s="123">
        <v>1402.79</v>
      </c>
      <c r="R22" s="123"/>
      <c r="S22" s="123"/>
      <c r="T22" s="123"/>
      <c r="U22" s="123"/>
      <c r="V22" s="123"/>
      <c r="W22" s="123">
        <v>2525</v>
      </c>
      <c r="X22" s="123">
        <v>2525</v>
      </c>
      <c r="Y22" s="123"/>
      <c r="Z22" s="123"/>
      <c r="AA22" s="123"/>
      <c r="AB22" s="123"/>
      <c r="AC22" s="123">
        <f>SUM(Tableau_Lancer_la_requête_à_partir_de_Export_Bdossiers5961516[[#This Row],[03]:[89]])</f>
        <v>0</v>
      </c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6"/>
      <c r="BB22" s="130" t="s">
        <v>107</v>
      </c>
      <c r="BC22" s="132" t="s">
        <v>188</v>
      </c>
      <c r="BD22" s="133" t="s">
        <v>189</v>
      </c>
      <c r="BE22" s="128"/>
      <c r="BF22" s="127"/>
      <c r="BG22" s="127"/>
      <c r="BH22" s="127"/>
    </row>
    <row r="23" spans="1:65" s="120" customFormat="1" ht="31.5" x14ac:dyDescent="0.25">
      <c r="A23" s="130" t="s">
        <v>190</v>
      </c>
      <c r="B23" s="130" t="s">
        <v>191</v>
      </c>
      <c r="C23" s="130" t="s">
        <v>422</v>
      </c>
      <c r="D23" s="131" t="s">
        <v>207</v>
      </c>
      <c r="E23" s="131" t="s">
        <v>200</v>
      </c>
      <c r="F23" s="123">
        <v>22122.93</v>
      </c>
      <c r="G23" s="123">
        <v>22122.93</v>
      </c>
      <c r="H23" s="123">
        <f>Tableau_Lancer_la_requête_à_partir_de_Export_Bdossiers5961516[[#This Row],[UE]]+Tableau_Lancer_la_requête_à_partir_de_Export_Bdossiers5961516[[#This Row],[DPN]]</f>
        <v>15486</v>
      </c>
      <c r="I23" s="124">
        <f>Tableau_Lancer_la_requête_à_partir_de_Export_Bdossiers5961516[[#This Row],[Part Publique]]/Tableau_Lancer_la_requête_à_partir_de_Export_Bdossiers5961516[[#This Row],[Coût total Eligible FEDER]]</f>
        <v>0.69999769469957185</v>
      </c>
      <c r="J23" s="123"/>
      <c r="K23" s="123">
        <f>Tableau_Lancer_la_requête_à_partir_de_Export_Bdossiers5961516[[#This Row],[Coût total Opération]]-Tableau_Lancer_la_requête_à_partir_de_Export_Bdossiers5961516[[#This Row],[Part Publique]]</f>
        <v>6636.93</v>
      </c>
      <c r="L23" s="124">
        <f>Tableau_Lancer_la_requête_à_partir_de_Export_Bdossiers5961516[[#This Row],[Autofinancement]]/Tableau_Lancer_la_requête_à_partir_de_Export_Bdossiers5961516[[#This Row],[Coût total Opération]]</f>
        <v>0.3000023053004281</v>
      </c>
      <c r="M23" s="123"/>
      <c r="N23" s="124" t="s">
        <v>59</v>
      </c>
      <c r="O23" s="123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15486</v>
      </c>
      <c r="P23" s="123">
        <f>SUM(Tableau_Lancer_la_requête_à_partir_de_Export_Bdossiers5961516[[#This Row],[Auvergne]:[Rhône-Alpes]])</f>
        <v>0</v>
      </c>
      <c r="Q23" s="123"/>
      <c r="R23" s="123"/>
      <c r="S23" s="123"/>
      <c r="T23" s="123"/>
      <c r="U23" s="123"/>
      <c r="V23" s="123"/>
      <c r="W23" s="123">
        <v>13454</v>
      </c>
      <c r="X23" s="123">
        <v>15486</v>
      </c>
      <c r="Y23" s="123"/>
      <c r="Z23" s="123"/>
      <c r="AA23" s="123"/>
      <c r="AB23" s="123"/>
      <c r="AC23" s="123">
        <f>SUM(Tableau_Lancer_la_requête_à_partir_de_Export_Bdossiers5961516[[#This Row],[03]:[89]])</f>
        <v>2032</v>
      </c>
      <c r="AD23" s="123"/>
      <c r="AE23" s="123"/>
      <c r="AF23" s="123"/>
      <c r="AG23" s="123">
        <v>2032</v>
      </c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6"/>
      <c r="BB23" s="130" t="s">
        <v>107</v>
      </c>
      <c r="BC23" s="132" t="s">
        <v>32</v>
      </c>
      <c r="BD23" s="133" t="s">
        <v>23</v>
      </c>
      <c r="BE23" s="128"/>
      <c r="BF23" s="127"/>
      <c r="BG23" s="127"/>
      <c r="BH23" s="127"/>
    </row>
    <row r="24" spans="1:65" s="120" customFormat="1" ht="31.5" x14ac:dyDescent="0.25">
      <c r="A24" s="130" t="s">
        <v>190</v>
      </c>
      <c r="B24" s="130" t="s">
        <v>191</v>
      </c>
      <c r="C24" s="130" t="s">
        <v>423</v>
      </c>
      <c r="D24" s="131" t="s">
        <v>208</v>
      </c>
      <c r="E24" s="131" t="s">
        <v>200</v>
      </c>
      <c r="F24" s="123">
        <v>13564.88</v>
      </c>
      <c r="G24" s="123">
        <v>13564.88</v>
      </c>
      <c r="H24" s="123">
        <f>Tableau_Lancer_la_requête_à_partir_de_Export_Bdossiers5961516[[#This Row],[UE]]+Tableau_Lancer_la_requête_à_partir_de_Export_Bdossiers5961516[[#This Row],[DPN]]</f>
        <v>6734.62</v>
      </c>
      <c r="I24" s="124">
        <f>Tableau_Lancer_la_requête_à_partir_de_Export_Bdossiers5961516[[#This Row],[Part Publique]]/Tableau_Lancer_la_requête_à_partir_de_Export_Bdossiers5961516[[#This Row],[Coût total Eligible FEDER]]</f>
        <v>0.496474720012267</v>
      </c>
      <c r="J24" s="123"/>
      <c r="K24" s="123">
        <f>Tableau_Lancer_la_requête_à_partir_de_Export_Bdossiers5961516[[#This Row],[Coût total Opération]]-Tableau_Lancer_la_requête_à_partir_de_Export_Bdossiers5961516[[#This Row],[Part Publique]]</f>
        <v>6830.2599999999993</v>
      </c>
      <c r="L24" s="124">
        <f>Tableau_Lancer_la_requête_à_partir_de_Export_Bdossiers5961516[[#This Row],[Autofinancement]]/Tableau_Lancer_la_requête_à_partir_de_Export_Bdossiers5961516[[#This Row],[Coût total Opération]]</f>
        <v>0.503525279987733</v>
      </c>
      <c r="M24" s="123"/>
      <c r="N24" s="124" t="s">
        <v>59</v>
      </c>
      <c r="O24" s="123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6734.62</v>
      </c>
      <c r="P24" s="123">
        <f>SUM(Tableau_Lancer_la_requête_à_partir_de_Export_Bdossiers5961516[[#This Row],[Auvergne]:[Rhône-Alpes]])</f>
        <v>3391.22</v>
      </c>
      <c r="Q24" s="123">
        <v>3391.22</v>
      </c>
      <c r="R24" s="123"/>
      <c r="S24" s="123"/>
      <c r="T24" s="123"/>
      <c r="U24" s="123"/>
      <c r="V24" s="123"/>
      <c r="W24" s="123">
        <v>3343.4</v>
      </c>
      <c r="X24" s="123">
        <v>3343.4</v>
      </c>
      <c r="Y24" s="123"/>
      <c r="Z24" s="123"/>
      <c r="AA24" s="123"/>
      <c r="AB24" s="123"/>
      <c r="AC24" s="123">
        <f>SUM(Tableau_Lancer_la_requête_à_partir_de_Export_Bdossiers5961516[[#This Row],[03]:[89]])</f>
        <v>0</v>
      </c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6" t="s">
        <v>495</v>
      </c>
      <c r="BB24" s="130" t="s">
        <v>107</v>
      </c>
      <c r="BC24" s="132" t="s">
        <v>33</v>
      </c>
      <c r="BD24" s="133" t="s">
        <v>11</v>
      </c>
      <c r="BE24" s="134"/>
      <c r="BF24" s="127"/>
      <c r="BG24" s="127"/>
      <c r="BH24" s="127"/>
    </row>
    <row r="25" spans="1:65" s="120" customFormat="1" ht="31.5" x14ac:dyDescent="0.25">
      <c r="A25" s="130" t="s">
        <v>190</v>
      </c>
      <c r="B25" s="130" t="s">
        <v>191</v>
      </c>
      <c r="C25" s="130" t="s">
        <v>424</v>
      </c>
      <c r="D25" s="131" t="s">
        <v>209</v>
      </c>
      <c r="E25" s="131" t="s">
        <v>200</v>
      </c>
      <c r="F25" s="123">
        <v>13460.1</v>
      </c>
      <c r="G25" s="123">
        <v>8885.4</v>
      </c>
      <c r="H25" s="123">
        <f>Tableau_Lancer_la_requête_à_partir_de_Export_Bdossiers5961516[[#This Row],[UE]]+Tableau_Lancer_la_requête_à_partir_de_Export_Bdossiers5961516[[#This Row],[DPN]]</f>
        <v>6220</v>
      </c>
      <c r="I25" s="124">
        <f>Tableau_Lancer_la_requête_à_partir_de_Export_Bdossiers5961516[[#This Row],[Part Publique]]/Tableau_Lancer_la_requête_à_partir_de_Export_Bdossiers5961516[[#This Row],[Coût total Eligible FEDER]]</f>
        <v>0.70002475971818945</v>
      </c>
      <c r="J25" s="123"/>
      <c r="K25" s="123">
        <f>Tableau_Lancer_la_requête_à_partir_de_Export_Bdossiers5961516[[#This Row],[Coût total Opération]]-Tableau_Lancer_la_requête_à_partir_de_Export_Bdossiers5961516[[#This Row],[Part Publique]]</f>
        <v>7240.1</v>
      </c>
      <c r="L25" s="124">
        <f>Tableau_Lancer_la_requête_à_partir_de_Export_Bdossiers5961516[[#This Row],[Autofinancement]]/Tableau_Lancer_la_requête_à_partir_de_Export_Bdossiers5961516[[#This Row],[Coût total Opération]]</f>
        <v>0.53789347776019492</v>
      </c>
      <c r="M25" s="123"/>
      <c r="N25" s="124" t="s">
        <v>59</v>
      </c>
      <c r="O25" s="123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6220</v>
      </c>
      <c r="P25" s="123">
        <f>SUM(Tableau_Lancer_la_requête_à_partir_de_Export_Bdossiers5961516[[#This Row],[Auvergne]:[Rhône-Alpes]])</f>
        <v>0</v>
      </c>
      <c r="Q25" s="123"/>
      <c r="R25" s="123"/>
      <c r="S25" s="123"/>
      <c r="T25" s="123"/>
      <c r="U25" s="123"/>
      <c r="V25" s="123"/>
      <c r="W25" s="123">
        <v>6220</v>
      </c>
      <c r="X25" s="123">
        <v>6220</v>
      </c>
      <c r="Y25" s="123"/>
      <c r="Z25" s="123"/>
      <c r="AA25" s="123"/>
      <c r="AB25" s="123"/>
      <c r="AC25" s="123">
        <f>SUM(Tableau_Lancer_la_requête_à_partir_de_Export_Bdossiers5961516[[#This Row],[03]:[89]])</f>
        <v>0</v>
      </c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6" t="s">
        <v>494</v>
      </c>
      <c r="BB25" s="130" t="s">
        <v>107</v>
      </c>
      <c r="BC25" s="132" t="s">
        <v>39</v>
      </c>
      <c r="BD25" s="133" t="s">
        <v>10</v>
      </c>
      <c r="BE25" s="135"/>
      <c r="BF25" s="127"/>
      <c r="BG25" s="127"/>
      <c r="BH25" s="127"/>
    </row>
    <row r="26" spans="1:65" s="120" customFormat="1" ht="31.5" x14ac:dyDescent="0.25">
      <c r="A26" s="130" t="s">
        <v>190</v>
      </c>
      <c r="B26" s="130" t="s">
        <v>191</v>
      </c>
      <c r="C26" s="130" t="s">
        <v>425</v>
      </c>
      <c r="D26" s="131" t="s">
        <v>210</v>
      </c>
      <c r="E26" s="131" t="s">
        <v>200</v>
      </c>
      <c r="F26" s="123">
        <v>22522.720000000001</v>
      </c>
      <c r="G26" s="123">
        <v>22522.720000000001</v>
      </c>
      <c r="H26" s="123">
        <f>Tableau_Lancer_la_requête_à_partir_de_Export_Bdossiers5961516[[#This Row],[UE]]+Tableau_Lancer_la_requête_à_partir_de_Export_Bdossiers5961516[[#This Row],[DPN]]</f>
        <v>8125</v>
      </c>
      <c r="I26" s="124">
        <f>Tableau_Lancer_la_requête_à_partir_de_Export_Bdossiers5961516[[#This Row],[Part Publique]]/Tableau_Lancer_la_requête_à_partir_de_Export_Bdossiers5961516[[#This Row],[Coût total Eligible FEDER]]</f>
        <v>0.36074683697173343</v>
      </c>
      <c r="J26" s="123"/>
      <c r="K26" s="123">
        <f>Tableau_Lancer_la_requête_à_partir_de_Export_Bdossiers5961516[[#This Row],[Coût total Opération]]-Tableau_Lancer_la_requête_à_partir_de_Export_Bdossiers5961516[[#This Row],[Part Publique]]</f>
        <v>14397.720000000001</v>
      </c>
      <c r="L26" s="124">
        <f>Tableau_Lancer_la_requête_à_partir_de_Export_Bdossiers5961516[[#This Row],[Autofinancement]]/Tableau_Lancer_la_requête_à_partir_de_Export_Bdossiers5961516[[#This Row],[Coût total Opération]]</f>
        <v>0.63925316302826662</v>
      </c>
      <c r="M26" s="123"/>
      <c r="N26" s="124" t="s">
        <v>59</v>
      </c>
      <c r="O26" s="123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8125</v>
      </c>
      <c r="P26" s="123">
        <f>SUM(Tableau_Lancer_la_requête_à_partir_de_Export_Bdossiers5961516[[#This Row],[Auvergne]:[Rhône-Alpes]])</f>
        <v>6338</v>
      </c>
      <c r="Q26" s="123"/>
      <c r="R26" s="123"/>
      <c r="S26" s="123">
        <v>6338</v>
      </c>
      <c r="T26" s="123"/>
      <c r="U26" s="123"/>
      <c r="V26" s="123"/>
      <c r="W26" s="123">
        <v>1787</v>
      </c>
      <c r="X26" s="123">
        <v>1787</v>
      </c>
      <c r="Y26" s="123"/>
      <c r="Z26" s="123"/>
      <c r="AA26" s="123"/>
      <c r="AB26" s="123"/>
      <c r="AC26" s="123">
        <f>SUM(Tableau_Lancer_la_requête_à_partir_de_Export_Bdossiers5961516[[#This Row],[03]:[89]])</f>
        <v>0</v>
      </c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6" t="s">
        <v>496</v>
      </c>
      <c r="BB26" s="130" t="s">
        <v>107</v>
      </c>
      <c r="BC26" s="132" t="s">
        <v>42</v>
      </c>
      <c r="BD26" s="133" t="s">
        <v>12</v>
      </c>
      <c r="BE26" s="136"/>
      <c r="BF26" s="127"/>
      <c r="BG26" s="127"/>
      <c r="BH26" s="127"/>
    </row>
    <row r="27" spans="1:65" s="120" customFormat="1" ht="31.5" x14ac:dyDescent="0.25">
      <c r="A27" s="130" t="s">
        <v>190</v>
      </c>
      <c r="B27" s="130" t="s">
        <v>191</v>
      </c>
      <c r="C27" s="130" t="s">
        <v>426</v>
      </c>
      <c r="D27" s="131" t="s">
        <v>211</v>
      </c>
      <c r="E27" s="131" t="s">
        <v>200</v>
      </c>
      <c r="F27" s="123">
        <v>8012.71</v>
      </c>
      <c r="G27" s="123">
        <v>8012.71</v>
      </c>
      <c r="H27" s="123">
        <f>Tableau_Lancer_la_requête_à_partir_de_Export_Bdossiers5961516[[#This Row],[UE]]+Tableau_Lancer_la_requête_à_partir_de_Export_Bdossiers5961516[[#This Row],[DPN]]</f>
        <v>5608.89</v>
      </c>
      <c r="I27" s="124">
        <f>Tableau_Lancer_la_requête_à_partir_de_Export_Bdossiers5961516[[#This Row],[Part Publique]]/Tableau_Lancer_la_requête_à_partir_de_Export_Bdossiers5961516[[#This Row],[Coût total Eligible FEDER]]</f>
        <v>0.69999912638795114</v>
      </c>
      <c r="J27" s="123"/>
      <c r="K27" s="123">
        <f>Tableau_Lancer_la_requête_à_partir_de_Export_Bdossiers5961516[[#This Row],[Coût total Opération]]-Tableau_Lancer_la_requête_à_partir_de_Export_Bdossiers5961516[[#This Row],[Part Publique]]</f>
        <v>2403.8199999999997</v>
      </c>
      <c r="L27" s="124">
        <f>Tableau_Lancer_la_requête_à_partir_de_Export_Bdossiers5961516[[#This Row],[Autofinancement]]/Tableau_Lancer_la_requête_à_partir_de_Export_Bdossiers5961516[[#This Row],[Coût total Opération]]</f>
        <v>0.3000008736120488</v>
      </c>
      <c r="M27" s="123"/>
      <c r="N27" s="124" t="s">
        <v>59</v>
      </c>
      <c r="O27" s="123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5608.89</v>
      </c>
      <c r="P27" s="123">
        <f>SUM(Tableau_Lancer_la_requête_à_partir_de_Export_Bdossiers5961516[[#This Row],[Auvergne]:[Rhône-Alpes]])</f>
        <v>2003.18</v>
      </c>
      <c r="Q27" s="123">
        <v>2003.18</v>
      </c>
      <c r="R27" s="123"/>
      <c r="S27" s="123"/>
      <c r="T27" s="123"/>
      <c r="U27" s="123"/>
      <c r="V27" s="123"/>
      <c r="W27" s="123">
        <v>3605.71</v>
      </c>
      <c r="X27" s="123">
        <v>3605.71</v>
      </c>
      <c r="Y27" s="123"/>
      <c r="Z27" s="123"/>
      <c r="AA27" s="123"/>
      <c r="AB27" s="123"/>
      <c r="AC27" s="123">
        <f>SUM(Tableau_Lancer_la_requête_à_partir_de_Export_Bdossiers5961516[[#This Row],[03]:[89]])</f>
        <v>0</v>
      </c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6"/>
      <c r="BB27" s="130" t="s">
        <v>107</v>
      </c>
      <c r="BC27" s="132" t="s">
        <v>44</v>
      </c>
      <c r="BD27" s="133" t="s">
        <v>11</v>
      </c>
      <c r="BE27" s="137"/>
      <c r="BF27" s="126"/>
      <c r="BG27" s="121"/>
      <c r="BH27" s="128"/>
      <c r="BI27" s="128"/>
      <c r="BJ27" s="127"/>
      <c r="BK27" s="127"/>
      <c r="BL27" s="127"/>
      <c r="BM27" s="127"/>
    </row>
    <row r="28" spans="1:65" s="120" customFormat="1" ht="31.5" x14ac:dyDescent="0.25">
      <c r="A28" s="130" t="s">
        <v>190</v>
      </c>
      <c r="B28" s="130" t="s">
        <v>191</v>
      </c>
      <c r="C28" s="130" t="s">
        <v>427</v>
      </c>
      <c r="D28" s="131" t="s">
        <v>212</v>
      </c>
      <c r="E28" s="131" t="s">
        <v>200</v>
      </c>
      <c r="F28" s="123">
        <v>8569.4599999999991</v>
      </c>
      <c r="G28" s="123">
        <v>7499.32</v>
      </c>
      <c r="H28" s="123">
        <f>Tableau_Lancer_la_requête_à_partir_de_Export_Bdossiers5961516[[#This Row],[UE]]+Tableau_Lancer_la_requête_à_partir_de_Export_Bdossiers5961516[[#This Row],[DPN]]</f>
        <v>5249.32</v>
      </c>
      <c r="I28" s="124">
        <f>Tableau_Lancer_la_requête_à_partir_de_Export_Bdossiers5961516[[#This Row],[Part Publique]]/Tableau_Lancer_la_requête_à_partir_de_Export_Bdossiers5961516[[#This Row],[Coût total Eligible FEDER]]</f>
        <v>0.69997279753364305</v>
      </c>
      <c r="J28" s="123"/>
      <c r="K28" s="123">
        <f>Tableau_Lancer_la_requête_à_partir_de_Export_Bdossiers5961516[[#This Row],[Coût total Opération]]-Tableau_Lancer_la_requête_à_partir_de_Export_Bdossiers5961516[[#This Row],[Part Publique]]</f>
        <v>3320.1399999999994</v>
      </c>
      <c r="L28" s="124">
        <f>Tableau_Lancer_la_requête_à_partir_de_Export_Bdossiers5961516[[#This Row],[Autofinancement]]/Tableau_Lancer_la_requête_à_partir_de_Export_Bdossiers5961516[[#This Row],[Coût total Opération]]</f>
        <v>0.3874386484095847</v>
      </c>
      <c r="M28" s="123"/>
      <c r="N28" s="124" t="s">
        <v>59</v>
      </c>
      <c r="O28" s="123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5249.32</v>
      </c>
      <c r="P28" s="123">
        <f>SUM(Tableau_Lancer_la_requête_à_partir_de_Export_Bdossiers5961516[[#This Row],[Auvergne]:[Rhône-Alpes]])</f>
        <v>0</v>
      </c>
      <c r="Q28" s="123"/>
      <c r="R28" s="123"/>
      <c r="S28" s="123"/>
      <c r="T28" s="123"/>
      <c r="U28" s="123"/>
      <c r="V28" s="123"/>
      <c r="W28" s="123">
        <v>5249.32</v>
      </c>
      <c r="X28" s="123">
        <v>5249.5</v>
      </c>
      <c r="Y28" s="123"/>
      <c r="Z28" s="123"/>
      <c r="AA28" s="123"/>
      <c r="AB28" s="123"/>
      <c r="AC28" s="123">
        <f>SUM(Tableau_Lancer_la_requête_à_partir_de_Export_Bdossiers5961516[[#This Row],[03]:[89]])</f>
        <v>0</v>
      </c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6" t="s">
        <v>497</v>
      </c>
      <c r="BB28" s="130" t="s">
        <v>107</v>
      </c>
      <c r="BC28" s="132" t="s">
        <v>45</v>
      </c>
      <c r="BD28" s="133" t="s">
        <v>10</v>
      </c>
      <c r="BE28" s="126"/>
      <c r="BF28" s="127"/>
      <c r="BG28" s="127"/>
      <c r="BH28" s="127"/>
    </row>
    <row r="29" spans="1:65" s="120" customFormat="1" ht="31.5" x14ac:dyDescent="0.25">
      <c r="A29" s="130" t="s">
        <v>190</v>
      </c>
      <c r="B29" s="130" t="s">
        <v>191</v>
      </c>
      <c r="C29" s="130" t="s">
        <v>428</v>
      </c>
      <c r="D29" s="131" t="s">
        <v>213</v>
      </c>
      <c r="E29" s="131" t="s">
        <v>200</v>
      </c>
      <c r="F29" s="123">
        <v>29586.95</v>
      </c>
      <c r="G29" s="123">
        <v>29586.95</v>
      </c>
      <c r="H29" s="123">
        <f>Tableau_Lancer_la_requête_à_partir_de_Export_Bdossiers5961516[[#This Row],[UE]]+Tableau_Lancer_la_requête_à_partir_de_Export_Bdossiers5961516[[#This Row],[DPN]]</f>
        <v>17353.629999999997</v>
      </c>
      <c r="I29" s="124">
        <f>Tableau_Lancer_la_requête_à_partir_de_Export_Bdossiers5961516[[#This Row],[Part Publique]]/Tableau_Lancer_la_requête_à_partir_de_Export_Bdossiers5961516[[#This Row],[Coût total Eligible FEDER]]</f>
        <v>0.5865298721226756</v>
      </c>
      <c r="J29" s="123"/>
      <c r="K29" s="123">
        <f>Tableau_Lancer_la_requête_à_partir_de_Export_Bdossiers5961516[[#This Row],[Coût total Opération]]-Tableau_Lancer_la_requête_à_partir_de_Export_Bdossiers5961516[[#This Row],[Part Publique]]</f>
        <v>12233.320000000003</v>
      </c>
      <c r="L29" s="124">
        <f>Tableau_Lancer_la_requête_à_partir_de_Export_Bdossiers5961516[[#This Row],[Autofinancement]]/Tableau_Lancer_la_requête_à_partir_de_Export_Bdossiers5961516[[#This Row],[Coût total Opération]]</f>
        <v>0.4134701278773244</v>
      </c>
      <c r="M29" s="123"/>
      <c r="N29" s="124" t="s">
        <v>59</v>
      </c>
      <c r="O29" s="123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17353.629999999997</v>
      </c>
      <c r="P29" s="123">
        <f>SUM(Tableau_Lancer_la_requête_à_partir_de_Export_Bdossiers5961516[[#This Row],[Auvergne]:[Rhône-Alpes]])</f>
        <v>0</v>
      </c>
      <c r="Q29" s="123"/>
      <c r="R29" s="123"/>
      <c r="S29" s="123"/>
      <c r="T29" s="123"/>
      <c r="U29" s="123"/>
      <c r="V29" s="123"/>
      <c r="W29" s="123">
        <v>14690.63</v>
      </c>
      <c r="X29" s="123">
        <v>20062</v>
      </c>
      <c r="Y29" s="123"/>
      <c r="Z29" s="123"/>
      <c r="AA29" s="123"/>
      <c r="AB29" s="123"/>
      <c r="AC29" s="123">
        <f>SUM(Tableau_Lancer_la_requête_à_partir_de_Export_Bdossiers5961516[[#This Row],[03]:[89]])</f>
        <v>2663</v>
      </c>
      <c r="AD29" s="123"/>
      <c r="AE29" s="123"/>
      <c r="AF29" s="123"/>
      <c r="AG29" s="123"/>
      <c r="AH29" s="123"/>
      <c r="AI29" s="123">
        <v>2663</v>
      </c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6" t="s">
        <v>498</v>
      </c>
      <c r="BB29" s="130" t="s">
        <v>107</v>
      </c>
      <c r="BC29" s="132" t="s">
        <v>49</v>
      </c>
      <c r="BD29" s="133" t="s">
        <v>22</v>
      </c>
      <c r="BF29" s="127"/>
      <c r="BG29" s="127"/>
      <c r="BH29" s="127"/>
    </row>
    <row r="30" spans="1:65" s="120" customFormat="1" ht="31.5" x14ac:dyDescent="0.25">
      <c r="A30" s="130" t="s">
        <v>190</v>
      </c>
      <c r="B30" s="130" t="s">
        <v>191</v>
      </c>
      <c r="C30" s="130" t="s">
        <v>429</v>
      </c>
      <c r="D30" s="131" t="s">
        <v>214</v>
      </c>
      <c r="E30" s="131" t="s">
        <v>200</v>
      </c>
      <c r="F30" s="123">
        <v>13447.5</v>
      </c>
      <c r="G30" s="123">
        <v>13447.5</v>
      </c>
      <c r="H30" s="123">
        <f>Tableau_Lancer_la_requête_à_partir_de_Export_Bdossiers5961516[[#This Row],[UE]]+Tableau_Lancer_la_requête_à_partir_de_Export_Bdossiers5961516[[#This Row],[DPN]]</f>
        <v>9412.880000000001</v>
      </c>
      <c r="I30" s="124">
        <f>Tableau_Lancer_la_requête_à_partir_de_Export_Bdossiers5961516[[#This Row],[Part Publique]]/Tableau_Lancer_la_requête_à_partir_de_Export_Bdossiers5961516[[#This Row],[Coût total Eligible FEDER]]</f>
        <v>0.69997248559211755</v>
      </c>
      <c r="J30" s="123"/>
      <c r="K30" s="123">
        <f>Tableau_Lancer_la_requête_à_partir_de_Export_Bdossiers5961516[[#This Row],[Coût total Opération]]-Tableau_Lancer_la_requête_à_partir_de_Export_Bdossiers5961516[[#This Row],[Part Publique]]</f>
        <v>4034.619999999999</v>
      </c>
      <c r="L30" s="124">
        <f>Tableau_Lancer_la_requête_à_partir_de_Export_Bdossiers5961516[[#This Row],[Autofinancement]]/Tableau_Lancer_la_requête_à_partir_de_Export_Bdossiers5961516[[#This Row],[Coût total Opération]]</f>
        <v>0.30002751440788245</v>
      </c>
      <c r="M30" s="123"/>
      <c r="N30" s="124" t="s">
        <v>59</v>
      </c>
      <c r="O30" s="123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9412.880000000001</v>
      </c>
      <c r="P30" s="123">
        <f>SUM(Tableau_Lancer_la_requête_à_partir_de_Export_Bdossiers5961516[[#This Row],[Auvergne]:[Rhône-Alpes]])</f>
        <v>3361.88</v>
      </c>
      <c r="Q30" s="123">
        <v>3361.88</v>
      </c>
      <c r="R30" s="123"/>
      <c r="S30" s="123"/>
      <c r="T30" s="123"/>
      <c r="U30" s="123"/>
      <c r="V30" s="123"/>
      <c r="W30" s="123">
        <v>6051</v>
      </c>
      <c r="X30" s="123">
        <v>6051</v>
      </c>
      <c r="Y30" s="123"/>
      <c r="Z30" s="123"/>
      <c r="AA30" s="123"/>
      <c r="AB30" s="123"/>
      <c r="AC30" s="123">
        <f>SUM(Tableau_Lancer_la_requête_à_partir_de_Export_Bdossiers5961516[[#This Row],[03]:[89]])</f>
        <v>0</v>
      </c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6"/>
      <c r="BB30" s="130" t="s">
        <v>107</v>
      </c>
      <c r="BC30" s="132" t="s">
        <v>44</v>
      </c>
      <c r="BD30" s="133" t="s">
        <v>11</v>
      </c>
      <c r="BE30" s="128"/>
      <c r="BF30" s="127"/>
      <c r="BG30" s="127"/>
      <c r="BH30" s="127"/>
    </row>
    <row r="31" spans="1:65" s="120" customFormat="1" ht="31.5" x14ac:dyDescent="0.25">
      <c r="A31" s="130" t="s">
        <v>190</v>
      </c>
      <c r="B31" s="130" t="s">
        <v>191</v>
      </c>
      <c r="C31" s="130" t="s">
        <v>430</v>
      </c>
      <c r="D31" s="131" t="s">
        <v>215</v>
      </c>
      <c r="E31" s="131" t="s">
        <v>200</v>
      </c>
      <c r="F31" s="123">
        <v>7457.07</v>
      </c>
      <c r="G31" s="123">
        <v>7457.07</v>
      </c>
      <c r="H31" s="123">
        <f>Tableau_Lancer_la_requête_à_partir_de_Export_Bdossiers5961516[[#This Row],[UE]]+Tableau_Lancer_la_requête_à_partir_de_Export_Bdossiers5961516[[#This Row],[DPN]]</f>
        <v>5220</v>
      </c>
      <c r="I31" s="124">
        <f>Tableau_Lancer_la_requête_à_partir_de_Export_Bdossiers5961516[[#This Row],[Part Publique]]/Tableau_Lancer_la_requête_à_partir_de_Export_Bdossiers5961516[[#This Row],[Coût total Eligible FEDER]]</f>
        <v>0.70000683914727901</v>
      </c>
      <c r="J31" s="123"/>
      <c r="K31" s="123">
        <f>Tableau_Lancer_la_requête_à_partir_de_Export_Bdossiers5961516[[#This Row],[Coût total Opération]]-Tableau_Lancer_la_requête_à_partir_de_Export_Bdossiers5961516[[#This Row],[Part Publique]]</f>
        <v>2237.0699999999997</v>
      </c>
      <c r="L31" s="124">
        <f>Tableau_Lancer_la_requête_à_partir_de_Export_Bdossiers5961516[[#This Row],[Autofinancement]]/Tableau_Lancer_la_requête_à_partir_de_Export_Bdossiers5961516[[#This Row],[Coût total Opération]]</f>
        <v>0.29999316085272093</v>
      </c>
      <c r="M31" s="123"/>
      <c r="N31" s="124" t="s">
        <v>59</v>
      </c>
      <c r="O31" s="123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5220</v>
      </c>
      <c r="P31" s="123">
        <f>SUM(Tableau_Lancer_la_requête_à_partir_de_Export_Bdossiers5961516[[#This Row],[Auvergne]:[Rhône-Alpes]])</f>
        <v>0</v>
      </c>
      <c r="Q31" s="123"/>
      <c r="R31" s="123"/>
      <c r="S31" s="123"/>
      <c r="T31" s="123"/>
      <c r="U31" s="123"/>
      <c r="V31" s="123"/>
      <c r="W31" s="123">
        <v>5220</v>
      </c>
      <c r="X31" s="123">
        <v>5220</v>
      </c>
      <c r="Y31" s="123"/>
      <c r="Z31" s="123"/>
      <c r="AA31" s="123"/>
      <c r="AB31" s="123"/>
      <c r="AC31" s="123">
        <f>SUM(Tableau_Lancer_la_requête_à_partir_de_Export_Bdossiers5961516[[#This Row],[03]:[89]])</f>
        <v>0</v>
      </c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6"/>
      <c r="BB31" s="130" t="s">
        <v>107</v>
      </c>
      <c r="BC31" s="132" t="s">
        <v>43</v>
      </c>
      <c r="BD31" s="133" t="s">
        <v>21</v>
      </c>
      <c r="BE31" s="127"/>
      <c r="BF31" s="127"/>
      <c r="BG31" s="127"/>
      <c r="BH31" s="127"/>
    </row>
    <row r="32" spans="1:65" s="120" customFormat="1" ht="31.5" x14ac:dyDescent="0.25">
      <c r="A32" s="130" t="s">
        <v>190</v>
      </c>
      <c r="B32" s="130" t="s">
        <v>191</v>
      </c>
      <c r="C32" s="130" t="s">
        <v>431</v>
      </c>
      <c r="D32" s="131" t="s">
        <v>216</v>
      </c>
      <c r="E32" s="131" t="s">
        <v>200</v>
      </c>
      <c r="F32" s="123">
        <v>10456.35</v>
      </c>
      <c r="G32" s="123">
        <v>10456.35</v>
      </c>
      <c r="H32" s="123">
        <f>Tableau_Lancer_la_requête_à_partir_de_Export_Bdossiers5961516[[#This Row],[UE]]+Tableau_Lancer_la_requête_à_partir_de_Export_Bdossiers5961516[[#This Row],[DPN]]</f>
        <v>7319</v>
      </c>
      <c r="I32" s="124">
        <f>Tableau_Lancer_la_requête_à_partir_de_Export_Bdossiers5961516[[#This Row],[Part Publique]]/Tableau_Lancer_la_requête_à_partir_de_Export_Bdossiers5961516[[#This Row],[Coût total Eligible FEDER]]</f>
        <v>0.69995744212846733</v>
      </c>
      <c r="J32" s="123"/>
      <c r="K32" s="123">
        <f>Tableau_Lancer_la_requête_à_partir_de_Export_Bdossiers5961516[[#This Row],[Coût total Opération]]-Tableau_Lancer_la_requête_à_partir_de_Export_Bdossiers5961516[[#This Row],[Part Publique]]</f>
        <v>3137.3500000000004</v>
      </c>
      <c r="L32" s="124">
        <f>Tableau_Lancer_la_requête_à_partir_de_Export_Bdossiers5961516[[#This Row],[Autofinancement]]/Tableau_Lancer_la_requête_à_partir_de_Export_Bdossiers5961516[[#This Row],[Coût total Opération]]</f>
        <v>0.30004255787153261</v>
      </c>
      <c r="M32" s="123"/>
      <c r="N32" s="124" t="s">
        <v>59</v>
      </c>
      <c r="O32" s="123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7319</v>
      </c>
      <c r="P32" s="123">
        <f>SUM(Tableau_Lancer_la_requête_à_partir_de_Export_Bdossiers5961516[[#This Row],[Auvergne]:[Rhône-Alpes]])</f>
        <v>0</v>
      </c>
      <c r="Q32" s="123"/>
      <c r="R32" s="123"/>
      <c r="S32" s="123"/>
      <c r="T32" s="123"/>
      <c r="U32" s="123"/>
      <c r="V32" s="123"/>
      <c r="W32" s="123">
        <v>5932</v>
      </c>
      <c r="X32" s="123">
        <v>7319</v>
      </c>
      <c r="Y32" s="123"/>
      <c r="Z32" s="123"/>
      <c r="AA32" s="123"/>
      <c r="AB32" s="123"/>
      <c r="AC32" s="123">
        <f>SUM(Tableau_Lancer_la_requête_à_partir_de_Export_Bdossiers5961516[[#This Row],[03]:[89]])</f>
        <v>1387</v>
      </c>
      <c r="AD32" s="123"/>
      <c r="AE32" s="123"/>
      <c r="AF32" s="123"/>
      <c r="AG32" s="123">
        <v>1387</v>
      </c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6"/>
      <c r="BB32" s="130" t="s">
        <v>107</v>
      </c>
      <c r="BC32" s="132" t="s">
        <v>32</v>
      </c>
      <c r="BD32" s="133" t="s">
        <v>23</v>
      </c>
      <c r="BE32" s="127"/>
      <c r="BF32" s="127"/>
      <c r="BG32" s="127"/>
      <c r="BH32" s="127"/>
    </row>
    <row r="33" spans="1:65" s="120" customFormat="1" ht="31.5" x14ac:dyDescent="0.25">
      <c r="A33" s="130" t="s">
        <v>190</v>
      </c>
      <c r="B33" s="130" t="s">
        <v>191</v>
      </c>
      <c r="C33" s="130" t="s">
        <v>432</v>
      </c>
      <c r="D33" s="131" t="s">
        <v>217</v>
      </c>
      <c r="E33" s="131" t="s">
        <v>200</v>
      </c>
      <c r="F33" s="123">
        <v>23447.97</v>
      </c>
      <c r="G33" s="123">
        <v>23447.97</v>
      </c>
      <c r="H33" s="123">
        <f>Tableau_Lancer_la_requête_à_partir_de_Export_Bdossiers5961516[[#This Row],[UE]]+Tableau_Lancer_la_requête_à_partir_de_Export_Bdossiers5961516[[#This Row],[DPN]]</f>
        <v>16412.989999999998</v>
      </c>
      <c r="I33" s="124">
        <f>Tableau_Lancer_la_requête_à_partir_de_Export_Bdossiers5961516[[#This Row],[Part Publique]]/Tableau_Lancer_la_requête_à_partir_de_Export_Bdossiers5961516[[#This Row],[Coût total Eligible FEDER]]</f>
        <v>0.69997488055469181</v>
      </c>
      <c r="J33" s="123"/>
      <c r="K33" s="123">
        <f>Tableau_Lancer_la_requête_à_partir_de_Export_Bdossiers5961516[[#This Row],[Coût total Opération]]-Tableau_Lancer_la_requête_à_partir_de_Export_Bdossiers5961516[[#This Row],[Part Publique]]</f>
        <v>7034.9800000000032</v>
      </c>
      <c r="L33" s="124">
        <f>Tableau_Lancer_la_requête_à_partir_de_Export_Bdossiers5961516[[#This Row],[Autofinancement]]/Tableau_Lancer_la_requête_à_partir_de_Export_Bdossiers5961516[[#This Row],[Coût total Opération]]</f>
        <v>0.30002511944530819</v>
      </c>
      <c r="M33" s="123"/>
      <c r="N33" s="124" t="s">
        <v>59</v>
      </c>
      <c r="O33" s="123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16412.989999999998</v>
      </c>
      <c r="P33" s="123">
        <f>SUM(Tableau_Lancer_la_requête_à_partir_de_Export_Bdossiers5961516[[#This Row],[Auvergne]:[Rhône-Alpes]])</f>
        <v>5861.99</v>
      </c>
      <c r="Q33" s="123">
        <v>5861.99</v>
      </c>
      <c r="R33" s="123"/>
      <c r="S33" s="123"/>
      <c r="T33" s="123"/>
      <c r="U33" s="123"/>
      <c r="V33" s="123"/>
      <c r="W33" s="123">
        <v>10551</v>
      </c>
      <c r="X33" s="123">
        <v>10551</v>
      </c>
      <c r="Y33" s="123"/>
      <c r="Z33" s="123"/>
      <c r="AA33" s="123"/>
      <c r="AB33" s="123"/>
      <c r="AC33" s="123">
        <f>SUM(Tableau_Lancer_la_requête_à_partir_de_Export_Bdossiers5961516[[#This Row],[03]:[89]])</f>
        <v>0</v>
      </c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6"/>
      <c r="BB33" s="130" t="s">
        <v>107</v>
      </c>
      <c r="BC33" s="132" t="s">
        <v>44</v>
      </c>
      <c r="BD33" s="133" t="s">
        <v>11</v>
      </c>
      <c r="BE33" s="127"/>
      <c r="BG33" s="127"/>
      <c r="BH33" s="127"/>
      <c r="BI33" s="127"/>
      <c r="BJ33" s="127"/>
      <c r="BK33" s="127"/>
      <c r="BL33" s="127"/>
      <c r="BM33" s="127"/>
    </row>
    <row r="34" spans="1:65" s="128" customFormat="1" ht="31.5" x14ac:dyDescent="0.25">
      <c r="A34" s="130" t="s">
        <v>190</v>
      </c>
      <c r="B34" s="130" t="s">
        <v>191</v>
      </c>
      <c r="C34" s="130" t="s">
        <v>433</v>
      </c>
      <c r="D34" s="131" t="s">
        <v>218</v>
      </c>
      <c r="E34" s="131" t="s">
        <v>200</v>
      </c>
      <c r="F34" s="123">
        <v>6941.25</v>
      </c>
      <c r="G34" s="123">
        <v>6035.85</v>
      </c>
      <c r="H34" s="123">
        <f>Tableau_Lancer_la_requête_à_partir_de_Export_Bdossiers5961516[[#This Row],[UE]]+Tableau_Lancer_la_requête_à_partir_de_Export_Bdossiers5961516[[#This Row],[DPN]]</f>
        <v>4225</v>
      </c>
      <c r="I34" s="124">
        <f>Tableau_Lancer_la_requête_à_partir_de_Export_Bdossiers5961516[[#This Row],[Part Publique]]/Tableau_Lancer_la_requête_à_partir_de_Export_Bdossiers5961516[[#This Row],[Coût total Eligible FEDER]]</f>
        <v>0.69998426070893072</v>
      </c>
      <c r="J34" s="123"/>
      <c r="K34" s="123">
        <f>Tableau_Lancer_la_requête_à_partir_de_Export_Bdossiers5961516[[#This Row],[Coût total Opération]]-Tableau_Lancer_la_requête_à_partir_de_Export_Bdossiers5961516[[#This Row],[Part Publique]]</f>
        <v>2716.25</v>
      </c>
      <c r="L34" s="124">
        <f>Tableau_Lancer_la_requête_à_partir_de_Export_Bdossiers5961516[[#This Row],[Autofinancement]]/Tableau_Lancer_la_requête_à_partir_de_Export_Bdossiers5961516[[#This Row],[Coût total Opération]]</f>
        <v>0.3913200072033135</v>
      </c>
      <c r="M34" s="123"/>
      <c r="N34" s="124" t="s">
        <v>59</v>
      </c>
      <c r="O34" s="123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4225</v>
      </c>
      <c r="P34" s="123">
        <f>SUM(Tableau_Lancer_la_requête_à_partir_de_Export_Bdossiers5961516[[#This Row],[Auvergne]:[Rhône-Alpes]])</f>
        <v>0</v>
      </c>
      <c r="Q34" s="123"/>
      <c r="R34" s="123"/>
      <c r="S34" s="123"/>
      <c r="T34" s="123"/>
      <c r="U34" s="123"/>
      <c r="V34" s="123"/>
      <c r="W34" s="123">
        <v>4225</v>
      </c>
      <c r="X34" s="123">
        <v>4225</v>
      </c>
      <c r="Y34" s="123"/>
      <c r="Z34" s="123"/>
      <c r="AA34" s="123"/>
      <c r="AB34" s="123"/>
      <c r="AC34" s="123">
        <f>SUM(Tableau_Lancer_la_requête_à_partir_de_Export_Bdossiers5961516[[#This Row],[03]:[89]])</f>
        <v>0</v>
      </c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6" t="s">
        <v>499</v>
      </c>
      <c r="BB34" s="130" t="s">
        <v>107</v>
      </c>
      <c r="BC34" s="132" t="s">
        <v>194</v>
      </c>
      <c r="BD34" s="133" t="s">
        <v>10</v>
      </c>
      <c r="BE34" s="127"/>
      <c r="BF34" s="120"/>
      <c r="BG34" s="127"/>
      <c r="BH34" s="127"/>
      <c r="BI34" s="127"/>
    </row>
    <row r="35" spans="1:65" s="92" customFormat="1" ht="47.25" x14ac:dyDescent="0.25">
      <c r="A35" s="86" t="s">
        <v>179</v>
      </c>
      <c r="B35" s="86" t="s">
        <v>251</v>
      </c>
      <c r="C35" s="86" t="s">
        <v>434</v>
      </c>
      <c r="D35" s="87" t="s">
        <v>176</v>
      </c>
      <c r="E35" s="87" t="s">
        <v>177</v>
      </c>
      <c r="F35" s="88">
        <v>553502.0195251368</v>
      </c>
      <c r="G35" s="88">
        <v>209628.75349999999</v>
      </c>
      <c r="H35" s="88">
        <f>Tableau_Lancer_la_requête_à_partir_de_Export_Bdossiers5961516[[#This Row],[UE]]+Tableau_Lancer_la_requête_à_partir_de_Export_Bdossiers5961516[[#This Row],[DPN]]</f>
        <v>154056.00349999999</v>
      </c>
      <c r="I35" s="89">
        <f>Tableau_Lancer_la_requête_à_partir_de_Export_Bdossiers5961516[[#This Row],[Part Publique]]/Tableau_Lancer_la_requête_à_partir_de_Export_Bdossiers5961516[[#This Row],[Coût total Eligible FEDER]]</f>
        <v>0.73489920122050434</v>
      </c>
      <c r="J35" s="88"/>
      <c r="K35" s="88">
        <f>Tableau_Lancer_la_requête_à_partir_de_Export_Bdossiers5961516[[#This Row],[Coût total Opération]]-Tableau_Lancer_la_requête_à_partir_de_Export_Bdossiers5961516[[#This Row],[Part Publique]]</f>
        <v>399446.01602513681</v>
      </c>
      <c r="L35" s="89">
        <f>Tableau_Lancer_la_requête_à_partir_de_Export_Bdossiers5961516[[#This Row],[Autofinancement]]/Tableau_Lancer_la_requête_à_partir_de_Export_Bdossiers5961516[[#This Row],[Coût total Opération]]</f>
        <v>0.72167038589639021</v>
      </c>
      <c r="M35" s="88">
        <v>85056.003499999992</v>
      </c>
      <c r="N35" s="89" t="s">
        <v>321</v>
      </c>
      <c r="O35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69000</v>
      </c>
      <c r="P35" s="88">
        <f>SUM(Tableau_Lancer_la_requête_à_partir_de_Export_Bdossiers5961516[[#This Row],[Auvergne]:[Rhône-Alpes]])</f>
        <v>0</v>
      </c>
      <c r="Q35" s="88"/>
      <c r="R35" s="88"/>
      <c r="S35" s="88"/>
      <c r="T35" s="88"/>
      <c r="U35" s="88"/>
      <c r="V35" s="88"/>
      <c r="W35" s="88">
        <v>69000</v>
      </c>
      <c r="X35" s="88">
        <v>69000</v>
      </c>
      <c r="Y35" s="88"/>
      <c r="Z35" s="88"/>
      <c r="AA35" s="88"/>
      <c r="AB35" s="88"/>
      <c r="AC35" s="88">
        <f>SUM(Tableau_Lancer_la_requête_à_partir_de_Export_Bdossiers5961516[[#This Row],[03]:[89]])</f>
        <v>0</v>
      </c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12"/>
      <c r="BB35" s="86" t="s">
        <v>107</v>
      </c>
      <c r="BC35" s="90" t="s">
        <v>40</v>
      </c>
      <c r="BD35" s="111" t="s">
        <v>11</v>
      </c>
      <c r="BE35" s="95"/>
      <c r="BF35" s="91"/>
      <c r="BG35" s="95"/>
      <c r="BH35" s="95"/>
      <c r="BI35" s="95"/>
    </row>
    <row r="36" spans="1:65" s="92" customFormat="1" ht="31.5" x14ac:dyDescent="0.25">
      <c r="A36" s="86" t="s">
        <v>179</v>
      </c>
      <c r="B36" s="86" t="s">
        <v>244</v>
      </c>
      <c r="C36" s="86" t="s">
        <v>435</v>
      </c>
      <c r="D36" s="87" t="s">
        <v>241</v>
      </c>
      <c r="E36" s="87" t="s">
        <v>242</v>
      </c>
      <c r="F36" s="88">
        <v>106345</v>
      </c>
      <c r="G36" s="88">
        <v>84569.62</v>
      </c>
      <c r="H36" s="88">
        <f>Tableau_Lancer_la_requête_à_partir_de_Export_Bdossiers5961516[[#This Row],[UE]]+Tableau_Lancer_la_requête_à_partir_de_Export_Bdossiers5961516[[#This Row],[DPN]]</f>
        <v>90116.77</v>
      </c>
      <c r="I36" s="89">
        <f>Tableau_Lancer_la_requête_à_partir_de_Export_Bdossiers5961516[[#This Row],[Part Publique]]/Tableau_Lancer_la_requête_à_partir_de_Export_Bdossiers5961516[[#This Row],[Coût total Eligible FEDER]]</f>
        <v>1.0655927033845016</v>
      </c>
      <c r="J36" s="88"/>
      <c r="K36" s="88">
        <f>Tableau_Lancer_la_requête_à_partir_de_Export_Bdossiers5961516[[#This Row],[Coût total Opération]]-Tableau_Lancer_la_requête_à_partir_de_Export_Bdossiers5961516[[#This Row],[Part Publique]]</f>
        <v>16228.229999999996</v>
      </c>
      <c r="L36" s="89">
        <f>Tableau_Lancer_la_requête_à_partir_de_Export_Bdossiers5961516[[#This Row],[Autofinancement]]/Tableau_Lancer_la_requête_à_partir_de_Export_Bdossiers5961516[[#This Row],[Coût total Opération]]</f>
        <v>0.15259984014293099</v>
      </c>
      <c r="M36" s="88">
        <v>42280.3</v>
      </c>
      <c r="N36" s="89" t="s">
        <v>243</v>
      </c>
      <c r="O36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47836.47</v>
      </c>
      <c r="P36" s="88">
        <f>SUM(Tableau_Lancer_la_requête_à_partir_de_Export_Bdossiers5961516[[#This Row],[Auvergne]:[Rhône-Alpes]])</f>
        <v>10828.75</v>
      </c>
      <c r="Q36" s="88">
        <v>10828.75</v>
      </c>
      <c r="R36" s="88"/>
      <c r="S36" s="88"/>
      <c r="T36" s="88"/>
      <c r="U36" s="88"/>
      <c r="V36" s="88"/>
      <c r="W36" s="88">
        <v>20744.72</v>
      </c>
      <c r="X36" s="88">
        <v>20744.72</v>
      </c>
      <c r="Y36" s="88"/>
      <c r="Z36" s="88"/>
      <c r="AA36" s="88"/>
      <c r="AB36" s="88"/>
      <c r="AC36" s="88">
        <f>SUM(Tableau_Lancer_la_requête_à_partir_de_Export_Bdossiers5961516[[#This Row],[03]:[89]])</f>
        <v>7263</v>
      </c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>
        <v>7263</v>
      </c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>
        <v>9000</v>
      </c>
      <c r="BA36" s="112" t="s">
        <v>436</v>
      </c>
      <c r="BB36" s="86" t="s">
        <v>107</v>
      </c>
      <c r="BC36" s="90" t="s">
        <v>44</v>
      </c>
      <c r="BD36" s="111" t="s">
        <v>11</v>
      </c>
      <c r="BE36" s="95"/>
      <c r="BF36" s="98"/>
      <c r="BG36" s="98"/>
      <c r="BH36" s="98"/>
    </row>
    <row r="37" spans="1:65" s="92" customFormat="1" ht="31.5" x14ac:dyDescent="0.25">
      <c r="A37" s="86" t="s">
        <v>179</v>
      </c>
      <c r="B37" s="86" t="s">
        <v>244</v>
      </c>
      <c r="C37" s="86" t="s">
        <v>437</v>
      </c>
      <c r="D37" s="87" t="s">
        <v>245</v>
      </c>
      <c r="E37" s="87" t="s">
        <v>242</v>
      </c>
      <c r="F37" s="88">
        <v>22858</v>
      </c>
      <c r="G37" s="88">
        <v>17294.740000000002</v>
      </c>
      <c r="H37" s="88">
        <f>Tableau_Lancer_la_requête_à_partir_de_Export_Bdossiers5961516[[#This Row],[UE]]+Tableau_Lancer_la_requête_à_partir_de_Export_Bdossiers5961516[[#This Row],[DPN]]</f>
        <v>17293.980000000003</v>
      </c>
      <c r="I37" s="89">
        <f>Tableau_Lancer_la_requête_à_partir_de_Export_Bdossiers5961516[[#This Row],[Part Publique]]/Tableau_Lancer_la_requête_à_partir_de_Export_Bdossiers5961516[[#This Row],[Coût total Eligible FEDER]]</f>
        <v>0.99995605600315485</v>
      </c>
      <c r="J37" s="88"/>
      <c r="K37" s="88">
        <f>Tableau_Lancer_la_requête_à_partir_de_Export_Bdossiers5961516[[#This Row],[Coût total Opération]]-Tableau_Lancer_la_requête_à_partir_de_Export_Bdossiers5961516[[#This Row],[Part Publique]]</f>
        <v>5564.0199999999968</v>
      </c>
      <c r="L37" s="89">
        <f>Tableau_Lancer_la_requête_à_partir_de_Export_Bdossiers5961516[[#This Row],[Autofinancement]]/Tableau_Lancer_la_requête_à_partir_de_Export_Bdossiers5961516[[#This Row],[Coût total Opération]]</f>
        <v>0.24341674687199216</v>
      </c>
      <c r="M37" s="88">
        <v>8647.3700000000008</v>
      </c>
      <c r="N37" s="89" t="s">
        <v>175</v>
      </c>
      <c r="O37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8646.61</v>
      </c>
      <c r="P37" s="88">
        <f>SUM(Tableau_Lancer_la_requête_à_partir_de_Export_Bdossiers5961516[[#This Row],[Auvergne]:[Rhône-Alpes]])</f>
        <v>2810.07</v>
      </c>
      <c r="Q37" s="88">
        <v>2810.07</v>
      </c>
      <c r="R37" s="88"/>
      <c r="S37" s="88"/>
      <c r="T37" s="88"/>
      <c r="U37" s="88"/>
      <c r="V37" s="88"/>
      <c r="W37" s="88">
        <v>0</v>
      </c>
      <c r="X37" s="88"/>
      <c r="Y37" s="88"/>
      <c r="Z37" s="88"/>
      <c r="AA37" s="88"/>
      <c r="AB37" s="88"/>
      <c r="AC37" s="88">
        <f>SUM(Tableau_Lancer_la_requête_à_partir_de_Export_Bdossiers5961516[[#This Row],[03]:[89]])</f>
        <v>3026.47</v>
      </c>
      <c r="AD37" s="88">
        <v>3026.47</v>
      </c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>
        <v>2810.07</v>
      </c>
      <c r="BA37" s="112"/>
      <c r="BB37" s="86" t="s">
        <v>107</v>
      </c>
      <c r="BC37" s="90" t="s">
        <v>29</v>
      </c>
      <c r="BD37" s="111" t="s">
        <v>11</v>
      </c>
      <c r="BE37" s="95"/>
      <c r="BF37" s="98"/>
      <c r="BG37" s="98"/>
      <c r="BH37" s="98"/>
    </row>
    <row r="38" spans="1:65" s="92" customFormat="1" ht="47.25" x14ac:dyDescent="0.25">
      <c r="A38" s="86" t="s">
        <v>190</v>
      </c>
      <c r="B38" s="86" t="s">
        <v>251</v>
      </c>
      <c r="C38" s="86" t="s">
        <v>438</v>
      </c>
      <c r="D38" s="87" t="s">
        <v>249</v>
      </c>
      <c r="E38" s="87" t="s">
        <v>250</v>
      </c>
      <c r="F38" s="88">
        <v>115699.6</v>
      </c>
      <c r="G38" s="88">
        <v>0</v>
      </c>
      <c r="H38" s="88">
        <f>Tableau_Lancer_la_requête_à_partir_de_Export_Bdossiers5961516[[#This Row],[UE]]+Tableau_Lancer_la_requête_à_partir_de_Export_Bdossiers5961516[[#This Row],[DPN]]</f>
        <v>70900</v>
      </c>
      <c r="I38" s="89" t="e">
        <f>Tableau_Lancer_la_requête_à_partir_de_Export_Bdossiers5961516[[#This Row],[Part Publique]]/Tableau_Lancer_la_requête_à_partir_de_Export_Bdossiers5961516[[#This Row],[Coût total Eligible FEDER]]</f>
        <v>#DIV/0!</v>
      </c>
      <c r="J38" s="88"/>
      <c r="K38" s="88">
        <f>Tableau_Lancer_la_requête_à_partir_de_Export_Bdossiers5961516[[#This Row],[Coût total Opération]]-Tableau_Lancer_la_requête_à_partir_de_Export_Bdossiers5961516[[#This Row],[Part Publique]]</f>
        <v>44799.600000000006</v>
      </c>
      <c r="L38" s="89">
        <f>Tableau_Lancer_la_requête_à_partir_de_Export_Bdossiers5961516[[#This Row],[Autofinancement]]/Tableau_Lancer_la_requête_à_partir_de_Export_Bdossiers5961516[[#This Row],[Coût total Opération]]</f>
        <v>0.38720617875947716</v>
      </c>
      <c r="M38" s="88"/>
      <c r="N38" s="89" t="s">
        <v>59</v>
      </c>
      <c r="O38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70900</v>
      </c>
      <c r="P38" s="88">
        <f>SUM(Tableau_Lancer_la_requête_à_partir_de_Export_Bdossiers5961516[[#This Row],[Auvergne]:[Rhône-Alpes]])</f>
        <v>20000</v>
      </c>
      <c r="Q38" s="88">
        <v>20000</v>
      </c>
      <c r="R38" s="88"/>
      <c r="S38" s="88"/>
      <c r="T38" s="88"/>
      <c r="U38" s="88"/>
      <c r="V38" s="88"/>
      <c r="W38" s="88">
        <v>50900</v>
      </c>
      <c r="X38" s="88">
        <v>50900</v>
      </c>
      <c r="Y38" s="88"/>
      <c r="Z38" s="88"/>
      <c r="AA38" s="88"/>
      <c r="AB38" s="88"/>
      <c r="AC38" s="88">
        <f>SUM(Tableau_Lancer_la_requête_à_partir_de_Export_Bdossiers5961516[[#This Row],[03]:[89]])</f>
        <v>0</v>
      </c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112"/>
      <c r="BB38" s="86" t="s">
        <v>107</v>
      </c>
      <c r="BC38" s="90" t="s">
        <v>194</v>
      </c>
      <c r="BD38" s="111" t="s">
        <v>10</v>
      </c>
      <c r="BE38" s="95"/>
      <c r="BF38" s="98"/>
      <c r="BG38" s="98"/>
      <c r="BH38" s="98"/>
    </row>
    <row r="39" spans="1:65" s="91" customFormat="1" ht="31.5" x14ac:dyDescent="0.25">
      <c r="A39" s="86" t="s">
        <v>190</v>
      </c>
      <c r="B39" s="86" t="s">
        <v>191</v>
      </c>
      <c r="C39" s="86" t="s">
        <v>439</v>
      </c>
      <c r="D39" s="87" t="s">
        <v>219</v>
      </c>
      <c r="E39" s="87" t="s">
        <v>220</v>
      </c>
      <c r="F39" s="88">
        <v>331294.55</v>
      </c>
      <c r="G39" s="88">
        <v>0</v>
      </c>
      <c r="H39" s="88">
        <f>Tableau_Lancer_la_requête_à_partir_de_Export_Bdossiers5961516[[#This Row],[UE]]+Tableau_Lancer_la_requête_à_partir_de_Export_Bdossiers5961516[[#This Row],[DPN]]</f>
        <v>166215</v>
      </c>
      <c r="I39" s="89" t="e">
        <f>Tableau_Lancer_la_requête_à_partir_de_Export_Bdossiers5961516[[#This Row],[Part Publique]]/Tableau_Lancer_la_requête_à_partir_de_Export_Bdossiers5961516[[#This Row],[Coût total Eligible FEDER]]</f>
        <v>#DIV/0!</v>
      </c>
      <c r="J39" s="88"/>
      <c r="K39" s="88">
        <f>Tableau_Lancer_la_requête_à_partir_de_Export_Bdossiers5961516[[#This Row],[Coût total Opération]]-Tableau_Lancer_la_requête_à_partir_de_Export_Bdossiers5961516[[#This Row],[Part Publique]]</f>
        <v>165079.54999999999</v>
      </c>
      <c r="L39" s="89">
        <f>Tableau_Lancer_la_requête_à_partir_de_Export_Bdossiers5961516[[#This Row],[Autofinancement]]/Tableau_Lancer_la_requête_à_partir_de_Export_Bdossiers5961516[[#This Row],[Coût total Opération]]</f>
        <v>0.49828634367815589</v>
      </c>
      <c r="M39" s="88"/>
      <c r="N39" s="89" t="s">
        <v>59</v>
      </c>
      <c r="O39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166215</v>
      </c>
      <c r="P39" s="88">
        <f>SUM(Tableau_Lancer_la_requête_à_partir_de_Export_Bdossiers5961516[[#This Row],[Auvergne]:[Rhône-Alpes]])</f>
        <v>26215</v>
      </c>
      <c r="Q39" s="88">
        <v>23215</v>
      </c>
      <c r="R39" s="88"/>
      <c r="S39" s="88"/>
      <c r="T39" s="88"/>
      <c r="U39" s="88">
        <v>3000</v>
      </c>
      <c r="V39" s="88"/>
      <c r="W39" s="88">
        <v>140000</v>
      </c>
      <c r="X39" s="88">
        <v>140000</v>
      </c>
      <c r="Y39" s="88"/>
      <c r="Z39" s="88"/>
      <c r="AA39" s="88"/>
      <c r="AB39" s="88"/>
      <c r="AC39" s="88">
        <f>SUM(Tableau_Lancer_la_requête_à_partir_de_Export_Bdossiers5961516[[#This Row],[03]:[89]])</f>
        <v>0</v>
      </c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112"/>
      <c r="BB39" s="86" t="s">
        <v>107</v>
      </c>
      <c r="BC39" s="90" t="s">
        <v>44</v>
      </c>
      <c r="BD39" s="111" t="s">
        <v>11</v>
      </c>
      <c r="BE39" s="106"/>
      <c r="BF39" s="95"/>
      <c r="BG39" s="95"/>
      <c r="BH39" s="95"/>
    </row>
    <row r="40" spans="1:65" s="91" customFormat="1" ht="110.25" x14ac:dyDescent="0.25">
      <c r="A40" s="86" t="s">
        <v>179</v>
      </c>
      <c r="B40" s="86" t="s">
        <v>234</v>
      </c>
      <c r="C40" s="86" t="s">
        <v>440</v>
      </c>
      <c r="D40" s="87" t="s">
        <v>240</v>
      </c>
      <c r="E40" s="87" t="s">
        <v>275</v>
      </c>
      <c r="F40" s="88">
        <v>82880</v>
      </c>
      <c r="G40" s="88"/>
      <c r="H40" s="88">
        <f>Tableau_Lancer_la_requête_à_partir_de_Export_Bdossiers5961516[[#This Row],[UE]]+Tableau_Lancer_la_requête_à_partir_de_Export_Bdossiers5961516[[#This Row],[DPN]]</f>
        <v>16576</v>
      </c>
      <c r="I40" s="89" t="e">
        <f>Tableau_Lancer_la_requête_à_partir_de_Export_Bdossiers5961516[[#This Row],[Part Publique]]/Tableau_Lancer_la_requête_à_partir_de_Export_Bdossiers5961516[[#This Row],[Coût total Eligible FEDER]]</f>
        <v>#DIV/0!</v>
      </c>
      <c r="J40" s="88"/>
      <c r="K40" s="88">
        <f>Tableau_Lancer_la_requête_à_partir_de_Export_Bdossiers5961516[[#This Row],[Coût total Opération]]-Tableau_Lancer_la_requête_à_partir_de_Export_Bdossiers5961516[[#This Row],[Part Publique]]</f>
        <v>66304</v>
      </c>
      <c r="L40" s="89">
        <f>Tableau_Lancer_la_requête_à_partir_de_Export_Bdossiers5961516[[#This Row],[Autofinancement]]/Tableau_Lancer_la_requête_à_partir_de_Export_Bdossiers5961516[[#This Row],[Coût total Opération]]</f>
        <v>0.8</v>
      </c>
      <c r="M40" s="88"/>
      <c r="N40" s="89" t="s">
        <v>59</v>
      </c>
      <c r="O40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16576</v>
      </c>
      <c r="P40" s="88">
        <f>SUM(Tableau_Lancer_la_requête_à_partir_de_Export_Bdossiers5961516[[#This Row],[Auvergne]:[Rhône-Alpes]])</f>
        <v>0</v>
      </c>
      <c r="Q40" s="88"/>
      <c r="R40" s="88"/>
      <c r="S40" s="88"/>
      <c r="T40" s="88"/>
      <c r="U40" s="88"/>
      <c r="V40" s="88"/>
      <c r="W40" s="88">
        <v>16576</v>
      </c>
      <c r="X40" s="88">
        <v>16576</v>
      </c>
      <c r="Y40" s="88"/>
      <c r="Z40" s="88"/>
      <c r="AA40" s="88"/>
      <c r="AB40" s="88"/>
      <c r="AC40" s="88">
        <f>SUM(Tableau_Lancer_la_requête_à_partir_de_Export_Bdossiers5961516[[#This Row],[03]:[89]])</f>
        <v>0</v>
      </c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112" t="s">
        <v>441</v>
      </c>
      <c r="BB40" s="86" t="s">
        <v>107</v>
      </c>
      <c r="BC40" s="90" t="s">
        <v>44</v>
      </c>
      <c r="BD40" s="111" t="s">
        <v>11</v>
      </c>
      <c r="BE40" s="98"/>
      <c r="BF40" s="95"/>
      <c r="BG40" s="95"/>
      <c r="BH40" s="95"/>
    </row>
    <row r="41" spans="1:65" s="92" customFormat="1" ht="110.25" x14ac:dyDescent="0.25">
      <c r="A41" s="86" t="s">
        <v>179</v>
      </c>
      <c r="B41" s="86" t="s">
        <v>234</v>
      </c>
      <c r="C41" s="86" t="s">
        <v>442</v>
      </c>
      <c r="D41" s="87" t="s">
        <v>276</v>
      </c>
      <c r="E41" s="87" t="s">
        <v>275</v>
      </c>
      <c r="F41" s="88">
        <v>260000</v>
      </c>
      <c r="G41" s="88"/>
      <c r="H41" s="88">
        <f>Tableau_Lancer_la_requête_à_partir_de_Export_Bdossiers5961516[[#This Row],[UE]]+Tableau_Lancer_la_requête_à_partir_de_Export_Bdossiers5961516[[#This Row],[DPN]]</f>
        <v>65000</v>
      </c>
      <c r="I41" s="89" t="e">
        <f>Tableau_Lancer_la_requête_à_partir_de_Export_Bdossiers5961516[[#This Row],[Part Publique]]/Tableau_Lancer_la_requête_à_partir_de_Export_Bdossiers5961516[[#This Row],[Coût total Eligible FEDER]]</f>
        <v>#DIV/0!</v>
      </c>
      <c r="J41" s="88"/>
      <c r="K41" s="88">
        <f>Tableau_Lancer_la_requête_à_partir_de_Export_Bdossiers5961516[[#This Row],[Coût total Opération]]-Tableau_Lancer_la_requête_à_partir_de_Export_Bdossiers5961516[[#This Row],[Part Publique]]</f>
        <v>195000</v>
      </c>
      <c r="L41" s="89">
        <f>Tableau_Lancer_la_requête_à_partir_de_Export_Bdossiers5961516[[#This Row],[Autofinancement]]/Tableau_Lancer_la_requête_à_partir_de_Export_Bdossiers5961516[[#This Row],[Coût total Opération]]</f>
        <v>0.75</v>
      </c>
      <c r="M41" s="88"/>
      <c r="N41" s="89" t="s">
        <v>59</v>
      </c>
      <c r="O41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65000</v>
      </c>
      <c r="P41" s="88">
        <f>SUM(Tableau_Lancer_la_requête_à_partir_de_Export_Bdossiers5961516[[#This Row],[Auvergne]:[Rhône-Alpes]])</f>
        <v>0</v>
      </c>
      <c r="Q41" s="88"/>
      <c r="R41" s="88"/>
      <c r="S41" s="88"/>
      <c r="T41" s="88"/>
      <c r="U41" s="88"/>
      <c r="V41" s="88"/>
      <c r="W41" s="88">
        <v>65000</v>
      </c>
      <c r="X41" s="88">
        <v>65000</v>
      </c>
      <c r="Y41" s="88"/>
      <c r="Z41" s="88"/>
      <c r="AA41" s="88"/>
      <c r="AB41" s="88"/>
      <c r="AC41" s="88">
        <f>SUM(Tableau_Lancer_la_requête_à_partir_de_Export_Bdossiers5961516[[#This Row],[03]:[89]])</f>
        <v>0</v>
      </c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12" t="s">
        <v>441</v>
      </c>
      <c r="BB41" s="86" t="s">
        <v>107</v>
      </c>
      <c r="BC41" s="90" t="s">
        <v>41</v>
      </c>
      <c r="BD41" s="111" t="s">
        <v>23</v>
      </c>
      <c r="BE41" s="91"/>
      <c r="BF41" s="119"/>
      <c r="BG41" s="98"/>
      <c r="BH41" s="98"/>
      <c r="BI41" s="98"/>
    </row>
    <row r="42" spans="1:65" s="98" customFormat="1" ht="110.25" x14ac:dyDescent="0.25">
      <c r="A42" s="86" t="s">
        <v>179</v>
      </c>
      <c r="B42" s="86" t="s">
        <v>234</v>
      </c>
      <c r="C42" s="86" t="s">
        <v>443</v>
      </c>
      <c r="D42" s="87" t="s">
        <v>277</v>
      </c>
      <c r="E42" s="87" t="s">
        <v>275</v>
      </c>
      <c r="F42" s="88">
        <v>172000</v>
      </c>
      <c r="G42" s="88"/>
      <c r="H42" s="88">
        <f>Tableau_Lancer_la_requête_à_partir_de_Export_Bdossiers5961516[[#This Row],[UE]]+Tableau_Lancer_la_requête_à_partir_de_Export_Bdossiers5961516[[#This Row],[DPN]]</f>
        <v>34400</v>
      </c>
      <c r="I42" s="89" t="e">
        <f>Tableau_Lancer_la_requête_à_partir_de_Export_Bdossiers5961516[[#This Row],[Part Publique]]/Tableau_Lancer_la_requête_à_partir_de_Export_Bdossiers5961516[[#This Row],[Coût total Eligible FEDER]]</f>
        <v>#DIV/0!</v>
      </c>
      <c r="J42" s="88"/>
      <c r="K42" s="88">
        <f>Tableau_Lancer_la_requête_à_partir_de_Export_Bdossiers5961516[[#This Row],[Coût total Opération]]-Tableau_Lancer_la_requête_à_partir_de_Export_Bdossiers5961516[[#This Row],[Part Publique]]</f>
        <v>137600</v>
      </c>
      <c r="L42" s="89">
        <f>Tableau_Lancer_la_requête_à_partir_de_Export_Bdossiers5961516[[#This Row],[Autofinancement]]/Tableau_Lancer_la_requête_à_partir_de_Export_Bdossiers5961516[[#This Row],[Coût total Opération]]</f>
        <v>0.8</v>
      </c>
      <c r="M42" s="88"/>
      <c r="N42" s="89" t="s">
        <v>59</v>
      </c>
      <c r="O42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34400</v>
      </c>
      <c r="P42" s="88">
        <f>SUM(Tableau_Lancer_la_requête_à_partir_de_Export_Bdossiers5961516[[#This Row],[Auvergne]:[Rhône-Alpes]])</f>
        <v>0</v>
      </c>
      <c r="Q42" s="88"/>
      <c r="R42" s="88"/>
      <c r="S42" s="88"/>
      <c r="T42" s="88"/>
      <c r="U42" s="88"/>
      <c r="V42" s="88"/>
      <c r="W42" s="88">
        <v>34400</v>
      </c>
      <c r="X42" s="88">
        <v>34400</v>
      </c>
      <c r="Y42" s="88"/>
      <c r="Z42" s="88"/>
      <c r="AA42" s="88"/>
      <c r="AB42" s="88"/>
      <c r="AC42" s="88">
        <f>SUM(Tableau_Lancer_la_requête_à_partir_de_Export_Bdossiers5961516[[#This Row],[03]:[89]])</f>
        <v>0</v>
      </c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12" t="s">
        <v>441</v>
      </c>
      <c r="BB42" s="86" t="s">
        <v>107</v>
      </c>
      <c r="BC42" s="90" t="s">
        <v>29</v>
      </c>
      <c r="BD42" s="111" t="s">
        <v>11</v>
      </c>
      <c r="BF42" s="95"/>
      <c r="BG42" s="91"/>
      <c r="BH42" s="95"/>
      <c r="BI42" s="95"/>
      <c r="BJ42" s="95"/>
    </row>
    <row r="43" spans="1:65" s="91" customFormat="1" ht="110.25" x14ac:dyDescent="0.25">
      <c r="A43" s="86" t="s">
        <v>179</v>
      </c>
      <c r="B43" s="86" t="s">
        <v>234</v>
      </c>
      <c r="C43" s="86" t="s">
        <v>444</v>
      </c>
      <c r="D43" s="87" t="s">
        <v>278</v>
      </c>
      <c r="E43" s="87" t="s">
        <v>275</v>
      </c>
      <c r="F43" s="88">
        <v>172000</v>
      </c>
      <c r="G43" s="88"/>
      <c r="H43" s="88">
        <f>Tableau_Lancer_la_requête_à_partir_de_Export_Bdossiers5961516[[#This Row],[UE]]+Tableau_Lancer_la_requête_à_partir_de_Export_Bdossiers5961516[[#This Row],[DPN]]</f>
        <v>34400</v>
      </c>
      <c r="I43" s="89" t="e">
        <f>Tableau_Lancer_la_requête_à_partir_de_Export_Bdossiers5961516[[#This Row],[Part Publique]]/Tableau_Lancer_la_requête_à_partir_de_Export_Bdossiers5961516[[#This Row],[Coût total Eligible FEDER]]</f>
        <v>#DIV/0!</v>
      </c>
      <c r="J43" s="88"/>
      <c r="K43" s="88">
        <f>Tableau_Lancer_la_requête_à_partir_de_Export_Bdossiers5961516[[#This Row],[Coût total Opération]]-Tableau_Lancer_la_requête_à_partir_de_Export_Bdossiers5961516[[#This Row],[Part Publique]]</f>
        <v>137600</v>
      </c>
      <c r="L43" s="89">
        <f>Tableau_Lancer_la_requête_à_partir_de_Export_Bdossiers5961516[[#This Row],[Autofinancement]]/Tableau_Lancer_la_requête_à_partir_de_Export_Bdossiers5961516[[#This Row],[Coût total Opération]]</f>
        <v>0.8</v>
      </c>
      <c r="M43" s="88"/>
      <c r="N43" s="89" t="s">
        <v>59</v>
      </c>
      <c r="O43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34400</v>
      </c>
      <c r="P43" s="88">
        <f>SUM(Tableau_Lancer_la_requête_à_partir_de_Export_Bdossiers5961516[[#This Row],[Auvergne]:[Rhône-Alpes]])</f>
        <v>0</v>
      </c>
      <c r="Q43" s="88"/>
      <c r="R43" s="88"/>
      <c r="S43" s="88"/>
      <c r="T43" s="88"/>
      <c r="U43" s="88"/>
      <c r="V43" s="88"/>
      <c r="W43" s="88">
        <v>34400</v>
      </c>
      <c r="X43" s="88">
        <v>34400</v>
      </c>
      <c r="Y43" s="88"/>
      <c r="Z43" s="88"/>
      <c r="AA43" s="88"/>
      <c r="AB43" s="88"/>
      <c r="AC43" s="88">
        <f>SUM(Tableau_Lancer_la_requête_à_partir_de_Export_Bdossiers5961516[[#This Row],[03]:[89]])</f>
        <v>0</v>
      </c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112" t="s">
        <v>441</v>
      </c>
      <c r="BB43" s="86" t="s">
        <v>107</v>
      </c>
      <c r="BC43" s="90" t="s">
        <v>45</v>
      </c>
      <c r="BD43" s="111" t="s">
        <v>10</v>
      </c>
      <c r="BE43" s="95"/>
    </row>
    <row r="44" spans="1:65" s="91" customFormat="1" ht="47.25" x14ac:dyDescent="0.25">
      <c r="A44" s="86" t="s">
        <v>190</v>
      </c>
      <c r="B44" s="86" t="s">
        <v>234</v>
      </c>
      <c r="C44" s="86" t="s">
        <v>445</v>
      </c>
      <c r="D44" s="87" t="s">
        <v>235</v>
      </c>
      <c r="E44" s="87" t="s">
        <v>236</v>
      </c>
      <c r="F44" s="88">
        <v>51536.223397635345</v>
      </c>
      <c r="G44" s="88">
        <v>0</v>
      </c>
      <c r="H44" s="88">
        <f>Tableau_Lancer_la_requête_à_partir_de_Export_Bdossiers5961516[[#This Row],[UE]]+Tableau_Lancer_la_requête_à_partir_de_Export_Bdossiers5961516[[#This Row],[DPN]]</f>
        <v>20614.490000000002</v>
      </c>
      <c r="I44" s="89" t="e">
        <f>Tableau_Lancer_la_requête_à_partir_de_Export_Bdossiers5961516[[#This Row],[Part Publique]]/Tableau_Lancer_la_requête_à_partir_de_Export_Bdossiers5961516[[#This Row],[Coût total Eligible FEDER]]</f>
        <v>#DIV/0!</v>
      </c>
      <c r="J44" s="88"/>
      <c r="K44" s="88">
        <f>Tableau_Lancer_la_requête_à_partir_de_Export_Bdossiers5961516[[#This Row],[Coût total Opération]]-Tableau_Lancer_la_requête_à_partir_de_Export_Bdossiers5961516[[#This Row],[Part Publique]]</f>
        <v>30921.733397635344</v>
      </c>
      <c r="L44" s="89">
        <f>Tableau_Lancer_la_requête_à_partir_de_Export_Bdossiers5961516[[#This Row],[Autofinancement]]/Tableau_Lancer_la_requête_à_partir_de_Export_Bdossiers5961516[[#This Row],[Coût total Opération]]</f>
        <v>0.59999998756319683</v>
      </c>
      <c r="M44" s="88"/>
      <c r="N44" s="89" t="s">
        <v>59</v>
      </c>
      <c r="O44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20614.490000000002</v>
      </c>
      <c r="P44" s="88">
        <f>SUM(Tableau_Lancer_la_requête_à_partir_de_Export_Bdossiers5961516[[#This Row],[Auvergne]:[Rhône-Alpes]])</f>
        <v>0</v>
      </c>
      <c r="Q44" s="88"/>
      <c r="R44" s="88"/>
      <c r="S44" s="88"/>
      <c r="T44" s="88"/>
      <c r="U44" s="88"/>
      <c r="V44" s="88"/>
      <c r="W44" s="88">
        <v>20614.490000000002</v>
      </c>
      <c r="X44" s="88">
        <v>20614.490000000002</v>
      </c>
      <c r="Y44" s="88"/>
      <c r="Z44" s="88"/>
      <c r="AA44" s="88"/>
      <c r="AB44" s="88"/>
      <c r="AC44" s="88">
        <f>SUM(Tableau_Lancer_la_requête_à_partir_de_Export_Bdossiers5961516[[#This Row],[03]:[89]])</f>
        <v>0</v>
      </c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112" t="s">
        <v>446</v>
      </c>
      <c r="BB44" s="86" t="s">
        <v>107</v>
      </c>
      <c r="BC44" s="90" t="s">
        <v>38</v>
      </c>
      <c r="BD44" s="111" t="s">
        <v>12</v>
      </c>
      <c r="BE44" s="95"/>
      <c r="BF44" s="98"/>
    </row>
    <row r="45" spans="1:65" s="91" customFormat="1" ht="31.5" x14ac:dyDescent="0.25">
      <c r="A45" s="86" t="s">
        <v>190</v>
      </c>
      <c r="B45" s="86" t="s">
        <v>234</v>
      </c>
      <c r="C45" s="86" t="s">
        <v>447</v>
      </c>
      <c r="D45" s="87" t="s">
        <v>237</v>
      </c>
      <c r="E45" s="87" t="s">
        <v>238</v>
      </c>
      <c r="F45" s="88">
        <v>238020</v>
      </c>
      <c r="G45" s="88">
        <v>0</v>
      </c>
      <c r="H45" s="88">
        <f>Tableau_Lancer_la_requête_à_partir_de_Export_Bdossiers5961516[[#This Row],[UE]]+Tableau_Lancer_la_requête_à_partir_de_Export_Bdossiers5961516[[#This Row],[DPN]]</f>
        <v>119010</v>
      </c>
      <c r="I45" s="89" t="e">
        <f>Tableau_Lancer_la_requête_à_partir_de_Export_Bdossiers5961516[[#This Row],[Part Publique]]/Tableau_Lancer_la_requête_à_partir_de_Export_Bdossiers5961516[[#This Row],[Coût total Eligible FEDER]]</f>
        <v>#DIV/0!</v>
      </c>
      <c r="J45" s="88"/>
      <c r="K45" s="88">
        <f>Tableau_Lancer_la_requête_à_partir_de_Export_Bdossiers5961516[[#This Row],[Coût total Opération]]-Tableau_Lancer_la_requête_à_partir_de_Export_Bdossiers5961516[[#This Row],[Part Publique]]</f>
        <v>119010</v>
      </c>
      <c r="L45" s="89">
        <f>Tableau_Lancer_la_requête_à_partir_de_Export_Bdossiers5961516[[#This Row],[Autofinancement]]/Tableau_Lancer_la_requête_à_partir_de_Export_Bdossiers5961516[[#This Row],[Coût total Opération]]</f>
        <v>0.5</v>
      </c>
      <c r="M45" s="88"/>
      <c r="N45" s="89" t="s">
        <v>59</v>
      </c>
      <c r="O45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119010</v>
      </c>
      <c r="P45" s="88">
        <f>SUM(Tableau_Lancer_la_requête_à_partir_de_Export_Bdossiers5961516[[#This Row],[Auvergne]:[Rhône-Alpes]])</f>
        <v>0</v>
      </c>
      <c r="Q45" s="88"/>
      <c r="R45" s="88"/>
      <c r="S45" s="88"/>
      <c r="T45" s="88"/>
      <c r="U45" s="88"/>
      <c r="V45" s="88"/>
      <c r="W45" s="88">
        <v>119010</v>
      </c>
      <c r="X45" s="88">
        <v>119010</v>
      </c>
      <c r="Y45" s="88"/>
      <c r="Z45" s="88"/>
      <c r="AA45" s="88"/>
      <c r="AB45" s="88"/>
      <c r="AC45" s="88">
        <f>SUM(Tableau_Lancer_la_requête_à_partir_de_Export_Bdossiers5961516[[#This Row],[03]:[89]])</f>
        <v>0</v>
      </c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112" t="s">
        <v>448</v>
      </c>
      <c r="BB45" s="86" t="s">
        <v>107</v>
      </c>
      <c r="BC45" s="90" t="s">
        <v>188</v>
      </c>
      <c r="BD45" s="111" t="s">
        <v>189</v>
      </c>
      <c r="BE45" s="95"/>
      <c r="BF45" s="95"/>
    </row>
    <row r="46" spans="1:65" s="91" customFormat="1" ht="31.5" x14ac:dyDescent="0.25">
      <c r="A46" s="86" t="s">
        <v>190</v>
      </c>
      <c r="B46" s="86" t="s">
        <v>234</v>
      </c>
      <c r="C46" s="86" t="s">
        <v>449</v>
      </c>
      <c r="D46" s="87" t="s">
        <v>239</v>
      </c>
      <c r="E46" s="87" t="s">
        <v>238</v>
      </c>
      <c r="F46" s="88">
        <v>68135</v>
      </c>
      <c r="G46" s="88">
        <v>0</v>
      </c>
      <c r="H46" s="88">
        <f>Tableau_Lancer_la_requête_à_partir_de_Export_Bdossiers5961516[[#This Row],[UE]]+Tableau_Lancer_la_requête_à_partir_de_Export_Bdossiers5961516[[#This Row],[DPN]]</f>
        <v>40881</v>
      </c>
      <c r="I46" s="89" t="e">
        <f>Tableau_Lancer_la_requête_à_partir_de_Export_Bdossiers5961516[[#This Row],[Part Publique]]/Tableau_Lancer_la_requête_à_partir_de_Export_Bdossiers5961516[[#This Row],[Coût total Eligible FEDER]]</f>
        <v>#DIV/0!</v>
      </c>
      <c r="J46" s="88"/>
      <c r="K46" s="88">
        <f>Tableau_Lancer_la_requête_à_partir_de_Export_Bdossiers5961516[[#This Row],[Coût total Opération]]-Tableau_Lancer_la_requête_à_partir_de_Export_Bdossiers5961516[[#This Row],[Part Publique]]</f>
        <v>27254</v>
      </c>
      <c r="L46" s="89">
        <f>Tableau_Lancer_la_requête_à_partir_de_Export_Bdossiers5961516[[#This Row],[Autofinancement]]/Tableau_Lancer_la_requête_à_partir_de_Export_Bdossiers5961516[[#This Row],[Coût total Opération]]</f>
        <v>0.4</v>
      </c>
      <c r="M46" s="88"/>
      <c r="N46" s="89" t="s">
        <v>59</v>
      </c>
      <c r="O46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40881</v>
      </c>
      <c r="P46" s="88">
        <f>SUM(Tableau_Lancer_la_requête_à_partir_de_Export_Bdossiers5961516[[#This Row],[Auvergne]:[Rhône-Alpes]])</f>
        <v>13627</v>
      </c>
      <c r="Q46" s="88"/>
      <c r="R46" s="88"/>
      <c r="S46" s="88"/>
      <c r="T46" s="88"/>
      <c r="U46" s="88">
        <v>13627</v>
      </c>
      <c r="V46" s="88"/>
      <c r="W46" s="88">
        <v>27254</v>
      </c>
      <c r="X46" s="88">
        <v>27254</v>
      </c>
      <c r="Y46" s="88"/>
      <c r="Z46" s="88"/>
      <c r="AA46" s="88"/>
      <c r="AB46" s="88"/>
      <c r="AC46" s="88">
        <f>SUM(Tableau_Lancer_la_requête_à_partir_de_Export_Bdossiers5961516[[#This Row],[03]:[89]])</f>
        <v>0</v>
      </c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12" t="s">
        <v>450</v>
      </c>
      <c r="BB46" s="86" t="s">
        <v>107</v>
      </c>
      <c r="BC46" s="90" t="s">
        <v>32</v>
      </c>
      <c r="BD46" s="111" t="s">
        <v>23</v>
      </c>
      <c r="BE46" s="95"/>
      <c r="BF46" s="95"/>
      <c r="BG46" s="95"/>
      <c r="BH46" s="95"/>
      <c r="BI46" s="95"/>
    </row>
    <row r="47" spans="1:65" s="91" customFormat="1" ht="31.5" x14ac:dyDescent="0.25">
      <c r="A47" s="86" t="s">
        <v>190</v>
      </c>
      <c r="B47" s="86" t="s">
        <v>234</v>
      </c>
      <c r="C47" s="86" t="s">
        <v>451</v>
      </c>
      <c r="D47" s="87" t="s">
        <v>240</v>
      </c>
      <c r="E47" s="87" t="s">
        <v>238</v>
      </c>
      <c r="F47" s="88">
        <v>61000</v>
      </c>
      <c r="G47" s="88">
        <v>0</v>
      </c>
      <c r="H47" s="88">
        <f>Tableau_Lancer_la_requête_à_partir_de_Export_Bdossiers5961516[[#This Row],[UE]]+Tableau_Lancer_la_requête_à_partir_de_Export_Bdossiers5961516[[#This Row],[DPN]]</f>
        <v>43260</v>
      </c>
      <c r="I47" s="89" t="e">
        <f>Tableau_Lancer_la_requête_à_partir_de_Export_Bdossiers5961516[[#This Row],[Part Publique]]/Tableau_Lancer_la_requête_à_partir_de_Export_Bdossiers5961516[[#This Row],[Coût total Eligible FEDER]]</f>
        <v>#DIV/0!</v>
      </c>
      <c r="J47" s="88"/>
      <c r="K47" s="88">
        <f>Tableau_Lancer_la_requête_à_partir_de_Export_Bdossiers5961516[[#This Row],[Coût total Opération]]-Tableau_Lancer_la_requête_à_partir_de_Export_Bdossiers5961516[[#This Row],[Part Publique]]</f>
        <v>17740</v>
      </c>
      <c r="L47" s="89">
        <f>Tableau_Lancer_la_requête_à_partir_de_Export_Bdossiers5961516[[#This Row],[Autofinancement]]/Tableau_Lancer_la_requête_à_partir_de_Export_Bdossiers5961516[[#This Row],[Coût total Opération]]</f>
        <v>0.29081967213114757</v>
      </c>
      <c r="M47" s="88"/>
      <c r="N47" s="89" t="s">
        <v>59</v>
      </c>
      <c r="O47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43260</v>
      </c>
      <c r="P47" s="88">
        <f>SUM(Tableau_Lancer_la_requête_à_partir_de_Export_Bdossiers5961516[[#This Row],[Auvergne]:[Rhône-Alpes]])</f>
        <v>0</v>
      </c>
      <c r="Q47" s="88"/>
      <c r="R47" s="88"/>
      <c r="S47" s="88"/>
      <c r="T47" s="88"/>
      <c r="U47" s="88"/>
      <c r="V47" s="88"/>
      <c r="W47" s="88">
        <v>43260</v>
      </c>
      <c r="X47" s="88">
        <v>43260</v>
      </c>
      <c r="Y47" s="88"/>
      <c r="Z47" s="88"/>
      <c r="AA47" s="88"/>
      <c r="AB47" s="88"/>
      <c r="AC47" s="88">
        <f>SUM(Tableau_Lancer_la_requête_à_partir_de_Export_Bdossiers5961516[[#This Row],[03]:[89]])</f>
        <v>0</v>
      </c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12" t="s">
        <v>452</v>
      </c>
      <c r="BB47" s="86" t="s">
        <v>107</v>
      </c>
      <c r="BC47" s="90" t="s">
        <v>44</v>
      </c>
      <c r="BD47" s="111" t="s">
        <v>11</v>
      </c>
      <c r="BF47" s="95"/>
      <c r="BG47" s="95"/>
      <c r="BH47" s="95"/>
      <c r="BI47" s="95"/>
    </row>
    <row r="48" spans="1:65" s="91" customFormat="1" ht="47.25" x14ac:dyDescent="0.25">
      <c r="A48" s="86" t="s">
        <v>190</v>
      </c>
      <c r="B48" s="86" t="s">
        <v>191</v>
      </c>
      <c r="C48" s="86" t="s">
        <v>453</v>
      </c>
      <c r="D48" s="87" t="s">
        <v>230</v>
      </c>
      <c r="E48" s="87" t="s">
        <v>231</v>
      </c>
      <c r="F48" s="88">
        <v>387264.14285714284</v>
      </c>
      <c r="G48" s="88">
        <v>0</v>
      </c>
      <c r="H48" s="88">
        <f>Tableau_Lancer_la_requête_à_partir_de_Export_Bdossiers5961516[[#This Row],[UE]]+Tableau_Lancer_la_requête_à_partir_de_Export_Bdossiers5961516[[#This Row],[DPN]]</f>
        <v>271084</v>
      </c>
      <c r="I48" s="89" t="e">
        <f>Tableau_Lancer_la_requête_à_partir_de_Export_Bdossiers5961516[[#This Row],[Part Publique]]/Tableau_Lancer_la_requête_à_partir_de_Export_Bdossiers5961516[[#This Row],[Coût total Eligible FEDER]]</f>
        <v>#DIV/0!</v>
      </c>
      <c r="J48" s="88"/>
      <c r="K48" s="88">
        <f>Tableau_Lancer_la_requête_à_partir_de_Export_Bdossiers5961516[[#This Row],[Coût total Opération]]-Tableau_Lancer_la_requête_à_partir_de_Export_Bdossiers5961516[[#This Row],[Part Publique]]</f>
        <v>116180.14285714284</v>
      </c>
      <c r="L48" s="89">
        <f>Tableau_Lancer_la_requête_à_partir_de_Export_Bdossiers5961516[[#This Row],[Autofinancement]]/Tableau_Lancer_la_requête_à_partir_de_Export_Bdossiers5961516[[#This Row],[Coût total Opération]]</f>
        <v>0.3000023239951764</v>
      </c>
      <c r="M48" s="88"/>
      <c r="N48" s="89" t="s">
        <v>59</v>
      </c>
      <c r="O48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271084</v>
      </c>
      <c r="P48" s="88">
        <f>SUM(Tableau_Lancer_la_requête_à_partir_de_Export_Bdossiers5961516[[#This Row],[Auvergne]:[Rhône-Alpes]])</f>
        <v>0</v>
      </c>
      <c r="Q48" s="88"/>
      <c r="R48" s="88"/>
      <c r="S48" s="88"/>
      <c r="T48" s="88"/>
      <c r="U48" s="88"/>
      <c r="V48" s="88"/>
      <c r="W48" s="88">
        <v>271084</v>
      </c>
      <c r="X48" s="88">
        <v>271084</v>
      </c>
      <c r="Y48" s="88"/>
      <c r="Z48" s="88"/>
      <c r="AA48" s="88"/>
      <c r="AB48" s="88"/>
      <c r="AC48" s="88">
        <f>SUM(Tableau_Lancer_la_requête_à_partir_de_Export_Bdossiers5961516[[#This Row],[03]:[89]])</f>
        <v>0</v>
      </c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12" t="s">
        <v>454</v>
      </c>
      <c r="BB48" s="86" t="s">
        <v>107</v>
      </c>
      <c r="BC48" s="90" t="s">
        <v>39</v>
      </c>
      <c r="BD48" s="111" t="s">
        <v>10</v>
      </c>
      <c r="BE48" s="98"/>
      <c r="BF48" s="95"/>
      <c r="BG48" s="95"/>
      <c r="BH48" s="95"/>
      <c r="BI48" s="95"/>
    </row>
    <row r="49" spans="1:66" s="91" customFormat="1" ht="63" x14ac:dyDescent="0.25">
      <c r="A49" s="86" t="s">
        <v>190</v>
      </c>
      <c r="B49" s="86" t="s">
        <v>251</v>
      </c>
      <c r="C49" s="86" t="s">
        <v>455</v>
      </c>
      <c r="D49" s="87" t="s">
        <v>252</v>
      </c>
      <c r="E49" s="87" t="s">
        <v>253</v>
      </c>
      <c r="F49" s="88">
        <v>515500</v>
      </c>
      <c r="G49" s="88">
        <v>515500</v>
      </c>
      <c r="H49" s="88">
        <f>Tableau_Lancer_la_requête_à_partir_de_Export_Bdossiers5961516[[#This Row],[UE]]+Tableau_Lancer_la_requête_à_partir_de_Export_Bdossiers5961516[[#This Row],[DPN]]</f>
        <v>360850</v>
      </c>
      <c r="I49" s="89">
        <f>Tableau_Lancer_la_requête_à_partir_de_Export_Bdossiers5961516[[#This Row],[Part Publique]]/Tableau_Lancer_la_requête_à_partir_de_Export_Bdossiers5961516[[#This Row],[Coût total Eligible FEDER]]</f>
        <v>0.7</v>
      </c>
      <c r="J49" s="88"/>
      <c r="K49" s="88">
        <f>Tableau_Lancer_la_requête_à_partir_de_Export_Bdossiers5961516[[#This Row],[Coût total Opération]]-Tableau_Lancer_la_requête_à_partir_de_Export_Bdossiers5961516[[#This Row],[Part Publique]]</f>
        <v>154650</v>
      </c>
      <c r="L49" s="89">
        <f>Tableau_Lancer_la_requête_à_partir_de_Export_Bdossiers5961516[[#This Row],[Autofinancement]]/Tableau_Lancer_la_requête_à_partir_de_Export_Bdossiers5961516[[#This Row],[Coût total Opération]]</f>
        <v>0.3</v>
      </c>
      <c r="M49" s="88"/>
      <c r="N49" s="89" t="s">
        <v>59</v>
      </c>
      <c r="O49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360850</v>
      </c>
      <c r="P49" s="88">
        <f>SUM(Tableau_Lancer_la_requête_à_partir_de_Export_Bdossiers5961516[[#This Row],[Auvergne]:[Rhône-Alpes]])</f>
        <v>0</v>
      </c>
      <c r="Q49" s="88"/>
      <c r="R49" s="88"/>
      <c r="S49" s="88"/>
      <c r="T49" s="88"/>
      <c r="U49" s="88"/>
      <c r="V49" s="88"/>
      <c r="W49" s="88">
        <v>360850</v>
      </c>
      <c r="X49" s="88">
        <v>360850</v>
      </c>
      <c r="Y49" s="88"/>
      <c r="Z49" s="88"/>
      <c r="AA49" s="88"/>
      <c r="AB49" s="88"/>
      <c r="AC49" s="88">
        <f>SUM(Tableau_Lancer_la_requête_à_partir_de_Export_Bdossiers5961516[[#This Row],[03]:[89]])</f>
        <v>0</v>
      </c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12" t="s">
        <v>456</v>
      </c>
      <c r="BB49" s="86" t="s">
        <v>107</v>
      </c>
      <c r="BC49" s="90" t="s">
        <v>44</v>
      </c>
      <c r="BD49" s="111" t="s">
        <v>11</v>
      </c>
      <c r="BE49" s="95"/>
      <c r="BF49" s="95"/>
      <c r="BG49" s="95"/>
      <c r="BH49" s="95"/>
      <c r="BI49" s="95"/>
    </row>
    <row r="50" spans="1:66" s="91" customFormat="1" ht="63" x14ac:dyDescent="0.25">
      <c r="A50" s="86" t="s">
        <v>190</v>
      </c>
      <c r="B50" s="86" t="s">
        <v>251</v>
      </c>
      <c r="C50" s="86" t="s">
        <v>457</v>
      </c>
      <c r="D50" s="87" t="s">
        <v>254</v>
      </c>
      <c r="E50" s="87" t="s">
        <v>253</v>
      </c>
      <c r="F50" s="88">
        <v>30000</v>
      </c>
      <c r="G50" s="88">
        <v>0</v>
      </c>
      <c r="H50" s="88">
        <f>Tableau_Lancer_la_requête_à_partir_de_Export_Bdossiers5961516[[#This Row],[UE]]+Tableau_Lancer_la_requête_à_partir_de_Export_Bdossiers5961516[[#This Row],[DPN]]</f>
        <v>21000</v>
      </c>
      <c r="I50" s="89" t="e">
        <f>Tableau_Lancer_la_requête_à_partir_de_Export_Bdossiers5961516[[#This Row],[Part Publique]]/Tableau_Lancer_la_requête_à_partir_de_Export_Bdossiers5961516[[#This Row],[Coût total Eligible FEDER]]</f>
        <v>#DIV/0!</v>
      </c>
      <c r="J50" s="88"/>
      <c r="K50" s="88">
        <f>Tableau_Lancer_la_requête_à_partir_de_Export_Bdossiers5961516[[#This Row],[Coût total Opération]]-Tableau_Lancer_la_requête_à_partir_de_Export_Bdossiers5961516[[#This Row],[Part Publique]]</f>
        <v>9000</v>
      </c>
      <c r="L50" s="89">
        <f>Tableau_Lancer_la_requête_à_partir_de_Export_Bdossiers5961516[[#This Row],[Autofinancement]]/Tableau_Lancer_la_requête_à_partir_de_Export_Bdossiers5961516[[#This Row],[Coût total Opération]]</f>
        <v>0.3</v>
      </c>
      <c r="M50" s="88"/>
      <c r="N50" s="89" t="s">
        <v>59</v>
      </c>
      <c r="O50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21000</v>
      </c>
      <c r="P50" s="88">
        <f>SUM(Tableau_Lancer_la_requête_à_partir_de_Export_Bdossiers5961516[[#This Row],[Auvergne]:[Rhône-Alpes]])</f>
        <v>0</v>
      </c>
      <c r="Q50" s="88"/>
      <c r="R50" s="88"/>
      <c r="S50" s="88"/>
      <c r="T50" s="88"/>
      <c r="U50" s="88"/>
      <c r="V50" s="88"/>
      <c r="W50" s="88">
        <v>21000</v>
      </c>
      <c r="X50" s="88">
        <v>21000</v>
      </c>
      <c r="Y50" s="88"/>
      <c r="Z50" s="88"/>
      <c r="AA50" s="88"/>
      <c r="AB50" s="88"/>
      <c r="AC50" s="88">
        <f>SUM(Tableau_Lancer_la_requête_à_partir_de_Export_Bdossiers5961516[[#This Row],[03]:[89]])</f>
        <v>0</v>
      </c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12" t="s">
        <v>456</v>
      </c>
      <c r="BB50" s="86" t="s">
        <v>107</v>
      </c>
      <c r="BC50" s="90" t="s">
        <v>32</v>
      </c>
      <c r="BD50" s="111" t="s">
        <v>23</v>
      </c>
      <c r="BE50" s="95"/>
      <c r="BF50" s="95"/>
      <c r="BG50" s="95"/>
      <c r="BH50" s="95"/>
      <c r="BI50" s="95"/>
    </row>
    <row r="51" spans="1:66" s="91" customFormat="1" ht="63" x14ac:dyDescent="0.25">
      <c r="A51" s="86" t="s">
        <v>190</v>
      </c>
      <c r="B51" s="86" t="s">
        <v>251</v>
      </c>
      <c r="C51" s="86" t="s">
        <v>458</v>
      </c>
      <c r="D51" s="87" t="s">
        <v>255</v>
      </c>
      <c r="E51" s="87" t="s">
        <v>253</v>
      </c>
      <c r="F51" s="88">
        <v>33329.94</v>
      </c>
      <c r="G51" s="88">
        <v>0</v>
      </c>
      <c r="H51" s="88">
        <f>Tableau_Lancer_la_requête_à_partir_de_Export_Bdossiers5961516[[#This Row],[UE]]+Tableau_Lancer_la_requête_à_partir_de_Export_Bdossiers5961516[[#This Row],[DPN]]</f>
        <v>23330</v>
      </c>
      <c r="I51" s="89" t="e">
        <f>Tableau_Lancer_la_requête_à_partir_de_Export_Bdossiers5961516[[#This Row],[Part Publique]]/Tableau_Lancer_la_requête_à_partir_de_Export_Bdossiers5961516[[#This Row],[Coût total Eligible FEDER]]</f>
        <v>#DIV/0!</v>
      </c>
      <c r="J51" s="88"/>
      <c r="K51" s="88">
        <f>Tableau_Lancer_la_requête_à_partir_de_Export_Bdossiers5961516[[#This Row],[Coût total Opération]]-Tableau_Lancer_la_requête_à_partir_de_Export_Bdossiers5961516[[#This Row],[Part Publique]]</f>
        <v>9999.9400000000023</v>
      </c>
      <c r="L51" s="89">
        <f>Tableau_Lancer_la_requête_à_partir_de_Export_Bdossiers5961516[[#This Row],[Autofinancement]]/Tableau_Lancer_la_requête_à_partir_de_Export_Bdossiers5961516[[#This Row],[Coût total Opération]]</f>
        <v>0.30002874292602993</v>
      </c>
      <c r="M51" s="88"/>
      <c r="N51" s="89" t="s">
        <v>59</v>
      </c>
      <c r="O51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23330</v>
      </c>
      <c r="P51" s="88">
        <f>SUM(Tableau_Lancer_la_requête_à_partir_de_Export_Bdossiers5961516[[#This Row],[Auvergne]:[Rhône-Alpes]])</f>
        <v>0</v>
      </c>
      <c r="Q51" s="88"/>
      <c r="R51" s="88"/>
      <c r="S51" s="88"/>
      <c r="T51" s="88"/>
      <c r="U51" s="88"/>
      <c r="V51" s="88"/>
      <c r="W51" s="88">
        <v>23330</v>
      </c>
      <c r="X51" s="88">
        <v>23330</v>
      </c>
      <c r="Y51" s="88"/>
      <c r="Z51" s="88"/>
      <c r="AA51" s="88"/>
      <c r="AB51" s="88"/>
      <c r="AC51" s="88">
        <f>SUM(Tableau_Lancer_la_requête_à_partir_de_Export_Bdossiers5961516[[#This Row],[03]:[89]])</f>
        <v>0</v>
      </c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12" t="s">
        <v>456</v>
      </c>
      <c r="BB51" s="86" t="s">
        <v>107</v>
      </c>
      <c r="BC51" s="90" t="s">
        <v>30</v>
      </c>
      <c r="BD51" s="111" t="s">
        <v>10</v>
      </c>
      <c r="BE51" s="95"/>
      <c r="BF51" s="95"/>
      <c r="BG51" s="95"/>
      <c r="BH51" s="95"/>
      <c r="BI51" s="95"/>
    </row>
    <row r="52" spans="1:66" s="91" customFormat="1" ht="63" x14ac:dyDescent="0.25">
      <c r="A52" s="86" t="s">
        <v>190</v>
      </c>
      <c r="B52" s="86" t="s">
        <v>251</v>
      </c>
      <c r="C52" s="86" t="s">
        <v>459</v>
      </c>
      <c r="D52" s="87" t="s">
        <v>256</v>
      </c>
      <c r="E52" s="87" t="s">
        <v>253</v>
      </c>
      <c r="F52" s="88">
        <v>444000</v>
      </c>
      <c r="G52" s="88">
        <v>0</v>
      </c>
      <c r="H52" s="88">
        <f>Tableau_Lancer_la_requête_à_partir_de_Export_Bdossiers5961516[[#This Row],[UE]]+Tableau_Lancer_la_requête_à_partir_de_Export_Bdossiers5961516[[#This Row],[DPN]]</f>
        <v>228900</v>
      </c>
      <c r="I52" s="89" t="e">
        <f>Tableau_Lancer_la_requête_à_partir_de_Export_Bdossiers5961516[[#This Row],[Part Publique]]/Tableau_Lancer_la_requête_à_partir_de_Export_Bdossiers5961516[[#This Row],[Coût total Eligible FEDER]]</f>
        <v>#DIV/0!</v>
      </c>
      <c r="J52" s="88"/>
      <c r="K52" s="88">
        <f>Tableau_Lancer_la_requête_à_partir_de_Export_Bdossiers5961516[[#This Row],[Coût total Opération]]-Tableau_Lancer_la_requête_à_partir_de_Export_Bdossiers5961516[[#This Row],[Part Publique]]</f>
        <v>215100</v>
      </c>
      <c r="L52" s="89">
        <f>Tableau_Lancer_la_requête_à_partir_de_Export_Bdossiers5961516[[#This Row],[Autofinancement]]/Tableau_Lancer_la_requête_à_partir_de_Export_Bdossiers5961516[[#This Row],[Coût total Opération]]</f>
        <v>0.48445945945945945</v>
      </c>
      <c r="M52" s="88"/>
      <c r="N52" s="89" t="s">
        <v>59</v>
      </c>
      <c r="O52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228900</v>
      </c>
      <c r="P52" s="88">
        <f>SUM(Tableau_Lancer_la_requête_à_partir_de_Export_Bdossiers5961516[[#This Row],[Auvergne]:[Rhône-Alpes]])</f>
        <v>0</v>
      </c>
      <c r="Q52" s="88"/>
      <c r="R52" s="88"/>
      <c r="S52" s="88"/>
      <c r="T52" s="88"/>
      <c r="U52" s="88"/>
      <c r="V52" s="88"/>
      <c r="W52" s="88">
        <v>228900</v>
      </c>
      <c r="X52" s="88">
        <v>228900</v>
      </c>
      <c r="Y52" s="88"/>
      <c r="Z52" s="88"/>
      <c r="AA52" s="88"/>
      <c r="AB52" s="88"/>
      <c r="AC52" s="88">
        <f>SUM(Tableau_Lancer_la_requête_à_partir_de_Export_Bdossiers5961516[[#This Row],[03]:[89]])</f>
        <v>0</v>
      </c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12" t="s">
        <v>456</v>
      </c>
      <c r="BB52" s="86" t="s">
        <v>107</v>
      </c>
      <c r="BC52" s="90" t="s">
        <v>45</v>
      </c>
      <c r="BD52" s="111" t="s">
        <v>10</v>
      </c>
      <c r="BE52" s="95"/>
      <c r="BF52" s="95"/>
      <c r="BG52" s="95"/>
      <c r="BH52" s="95"/>
      <c r="BI52" s="95"/>
    </row>
    <row r="53" spans="1:66" s="91" customFormat="1" ht="63" x14ac:dyDescent="0.25">
      <c r="A53" s="86" t="s">
        <v>190</v>
      </c>
      <c r="B53" s="86" t="s">
        <v>251</v>
      </c>
      <c r="C53" s="86" t="s">
        <v>460</v>
      </c>
      <c r="D53" s="87" t="s">
        <v>257</v>
      </c>
      <c r="E53" s="87" t="s">
        <v>253</v>
      </c>
      <c r="F53" s="88">
        <v>20000</v>
      </c>
      <c r="G53" s="88">
        <v>0</v>
      </c>
      <c r="H53" s="88">
        <f>Tableau_Lancer_la_requête_à_partir_de_Export_Bdossiers5961516[[#This Row],[UE]]+Tableau_Lancer_la_requête_à_partir_de_Export_Bdossiers5961516[[#This Row],[DPN]]</f>
        <v>14000</v>
      </c>
      <c r="I53" s="89" t="e">
        <f>Tableau_Lancer_la_requête_à_partir_de_Export_Bdossiers5961516[[#This Row],[Part Publique]]/Tableau_Lancer_la_requête_à_partir_de_Export_Bdossiers5961516[[#This Row],[Coût total Eligible FEDER]]</f>
        <v>#DIV/0!</v>
      </c>
      <c r="J53" s="88"/>
      <c r="K53" s="88">
        <f>Tableau_Lancer_la_requête_à_partir_de_Export_Bdossiers5961516[[#This Row],[Coût total Opération]]-Tableau_Lancer_la_requête_à_partir_de_Export_Bdossiers5961516[[#This Row],[Part Publique]]</f>
        <v>6000</v>
      </c>
      <c r="L53" s="89">
        <f>Tableau_Lancer_la_requête_à_partir_de_Export_Bdossiers5961516[[#This Row],[Autofinancement]]/Tableau_Lancer_la_requête_à_partir_de_Export_Bdossiers5961516[[#This Row],[Coût total Opération]]</f>
        <v>0.3</v>
      </c>
      <c r="M53" s="88"/>
      <c r="N53" s="89" t="s">
        <v>59</v>
      </c>
      <c r="O53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14000</v>
      </c>
      <c r="P53" s="88">
        <f>SUM(Tableau_Lancer_la_requête_à_partir_de_Export_Bdossiers5961516[[#This Row],[Auvergne]:[Rhône-Alpes]])</f>
        <v>0</v>
      </c>
      <c r="Q53" s="88"/>
      <c r="R53" s="88"/>
      <c r="S53" s="88"/>
      <c r="T53" s="88"/>
      <c r="U53" s="88"/>
      <c r="V53" s="88"/>
      <c r="W53" s="88">
        <v>14000</v>
      </c>
      <c r="X53" s="88">
        <v>14000</v>
      </c>
      <c r="Y53" s="88"/>
      <c r="Z53" s="88"/>
      <c r="AA53" s="88"/>
      <c r="AB53" s="88"/>
      <c r="AC53" s="88">
        <f>SUM(Tableau_Lancer_la_requête_à_partir_de_Export_Bdossiers5961516[[#This Row],[03]:[89]])</f>
        <v>0</v>
      </c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12" t="s">
        <v>456</v>
      </c>
      <c r="BB53" s="86" t="s">
        <v>107</v>
      </c>
      <c r="BC53" s="90" t="s">
        <v>43</v>
      </c>
      <c r="BD53" s="111" t="s">
        <v>21</v>
      </c>
      <c r="BE53" s="95"/>
      <c r="BF53" s="95"/>
      <c r="BG53" s="95"/>
      <c r="BH53" s="95"/>
      <c r="BI53" s="95"/>
    </row>
    <row r="54" spans="1:66" s="91" customFormat="1" ht="63" x14ac:dyDescent="0.25">
      <c r="A54" s="91" t="s">
        <v>190</v>
      </c>
      <c r="B54" s="91" t="s">
        <v>251</v>
      </c>
      <c r="C54" s="91" t="s">
        <v>461</v>
      </c>
      <c r="D54" s="92" t="s">
        <v>258</v>
      </c>
      <c r="E54" s="92" t="s">
        <v>253</v>
      </c>
      <c r="F54" s="93">
        <v>180150</v>
      </c>
      <c r="G54" s="93">
        <v>0</v>
      </c>
      <c r="H54" s="88">
        <f>Tableau_Lancer_la_requête_à_partir_de_Export_Bdossiers5961516[[#This Row],[UE]]+Tableau_Lancer_la_requête_à_partir_de_Export_Bdossiers5961516[[#This Row],[DPN]]</f>
        <v>126105</v>
      </c>
      <c r="I54" s="89" t="e">
        <f>Tableau_Lancer_la_requête_à_partir_de_Export_Bdossiers5961516[[#This Row],[Part Publique]]/Tableau_Lancer_la_requête_à_partir_de_Export_Bdossiers5961516[[#This Row],[Coût total Eligible FEDER]]</f>
        <v>#DIV/0!</v>
      </c>
      <c r="J54" s="93">
        <v>18015</v>
      </c>
      <c r="K54" s="88">
        <f>Tableau_Lancer_la_requête_à_partir_de_Export_Bdossiers5961516[[#This Row],[Coût total Opération]]-Tableau_Lancer_la_requête_à_partir_de_Export_Bdossiers5961516[[#This Row],[Part Publique]]</f>
        <v>54045</v>
      </c>
      <c r="L54" s="89">
        <f>Tableau_Lancer_la_requête_à_partir_de_Export_Bdossiers5961516[[#This Row],[Autofinancement]]/Tableau_Lancer_la_requête_à_partir_de_Export_Bdossiers5961516[[#This Row],[Coût total Opération]]</f>
        <v>0.3</v>
      </c>
      <c r="M54" s="93"/>
      <c r="N54" s="94" t="s">
        <v>59</v>
      </c>
      <c r="O54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126105</v>
      </c>
      <c r="P54" s="88">
        <f>SUM(Tableau_Lancer_la_requête_à_partir_de_Export_Bdossiers5961516[[#This Row],[Auvergne]:[Rhône-Alpes]])</f>
        <v>0</v>
      </c>
      <c r="Q54" s="93"/>
      <c r="R54" s="93"/>
      <c r="S54" s="93"/>
      <c r="T54" s="93"/>
      <c r="U54" s="93"/>
      <c r="V54" s="93"/>
      <c r="W54" s="93">
        <v>126105</v>
      </c>
      <c r="X54" s="93">
        <v>126105</v>
      </c>
      <c r="Y54" s="93"/>
      <c r="Z54" s="93"/>
      <c r="AA54" s="93"/>
      <c r="AB54" s="93"/>
      <c r="AC54" s="88">
        <f>SUM(Tableau_Lancer_la_requête_à_partir_de_Export_Bdossiers5961516[[#This Row],[03]:[89]])</f>
        <v>0</v>
      </c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6" t="s">
        <v>456</v>
      </c>
      <c r="BB54" s="91" t="s">
        <v>107</v>
      </c>
      <c r="BC54" s="95" t="s">
        <v>49</v>
      </c>
      <c r="BD54" s="98" t="s">
        <v>22</v>
      </c>
      <c r="BE54" s="95"/>
      <c r="BF54" s="95"/>
      <c r="BG54" s="95"/>
      <c r="BH54" s="95"/>
      <c r="BI54" s="95"/>
    </row>
    <row r="55" spans="1:66" s="91" customFormat="1" ht="63" x14ac:dyDescent="0.25">
      <c r="A55" s="91" t="s">
        <v>190</v>
      </c>
      <c r="B55" s="91" t="s">
        <v>251</v>
      </c>
      <c r="C55" s="91" t="s">
        <v>462</v>
      </c>
      <c r="D55" s="92" t="s">
        <v>259</v>
      </c>
      <c r="E55" s="92" t="s">
        <v>253</v>
      </c>
      <c r="F55" s="93">
        <v>71000</v>
      </c>
      <c r="G55" s="93">
        <v>0</v>
      </c>
      <c r="H55" s="88">
        <f>Tableau_Lancer_la_requête_à_partir_de_Export_Bdossiers5961516[[#This Row],[UE]]+Tableau_Lancer_la_requête_à_partir_de_Export_Bdossiers5961516[[#This Row],[DPN]]</f>
        <v>49000</v>
      </c>
      <c r="I55" s="89" t="e">
        <f>Tableau_Lancer_la_requête_à_partir_de_Export_Bdossiers5961516[[#This Row],[Part Publique]]/Tableau_Lancer_la_requête_à_partir_de_Export_Bdossiers5961516[[#This Row],[Coût total Eligible FEDER]]</f>
        <v>#DIV/0!</v>
      </c>
      <c r="J55" s="93"/>
      <c r="K55" s="88">
        <f>Tableau_Lancer_la_requête_à_partir_de_Export_Bdossiers5961516[[#This Row],[Coût total Opération]]-Tableau_Lancer_la_requête_à_partir_de_Export_Bdossiers5961516[[#This Row],[Part Publique]]</f>
        <v>22000</v>
      </c>
      <c r="L55" s="89">
        <f>Tableau_Lancer_la_requête_à_partir_de_Export_Bdossiers5961516[[#This Row],[Autofinancement]]/Tableau_Lancer_la_requête_à_partir_de_Export_Bdossiers5961516[[#This Row],[Coût total Opération]]</f>
        <v>0.30985915492957744</v>
      </c>
      <c r="M55" s="93"/>
      <c r="N55" s="94" t="s">
        <v>59</v>
      </c>
      <c r="O55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49000</v>
      </c>
      <c r="P55" s="88">
        <f>SUM(Tableau_Lancer_la_requête_à_partir_de_Export_Bdossiers5961516[[#This Row],[Auvergne]:[Rhône-Alpes]])</f>
        <v>0</v>
      </c>
      <c r="Q55" s="93"/>
      <c r="R55" s="93"/>
      <c r="S55" s="93"/>
      <c r="T55" s="93"/>
      <c r="U55" s="93"/>
      <c r="V55" s="93"/>
      <c r="W55" s="93">
        <v>49000</v>
      </c>
      <c r="X55" s="93">
        <v>49000</v>
      </c>
      <c r="Y55" s="93"/>
      <c r="Z55" s="93"/>
      <c r="AA55" s="93"/>
      <c r="AB55" s="93"/>
      <c r="AC55" s="88">
        <f>SUM(Tableau_Lancer_la_requête_à_partir_de_Export_Bdossiers5961516[[#This Row],[03]:[89]])</f>
        <v>0</v>
      </c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6" t="s">
        <v>456</v>
      </c>
      <c r="BB55" s="91" t="s">
        <v>107</v>
      </c>
      <c r="BC55" s="95" t="s">
        <v>39</v>
      </c>
      <c r="BD55" s="98" t="s">
        <v>10</v>
      </c>
      <c r="BE55" s="95"/>
      <c r="BF55" s="95"/>
      <c r="BG55" s="95"/>
      <c r="BH55" s="95"/>
      <c r="BI55" s="95"/>
    </row>
    <row r="56" spans="1:66" s="91" customFormat="1" ht="47.25" x14ac:dyDescent="0.25">
      <c r="A56" s="91" t="s">
        <v>190</v>
      </c>
      <c r="B56" s="91" t="s">
        <v>244</v>
      </c>
      <c r="C56" s="91" t="s">
        <v>463</v>
      </c>
      <c r="D56" s="92" t="s">
        <v>247</v>
      </c>
      <c r="E56" s="92" t="s">
        <v>248</v>
      </c>
      <c r="F56" s="93">
        <v>289190.59999999998</v>
      </c>
      <c r="G56" s="93">
        <v>0</v>
      </c>
      <c r="H56" s="88">
        <f>Tableau_Lancer_la_requête_à_partir_de_Export_Bdossiers5961516[[#This Row],[UE]]+Tableau_Lancer_la_requête_à_partir_de_Export_Bdossiers5961516[[#This Row],[DPN]]</f>
        <v>95000</v>
      </c>
      <c r="I56" s="89" t="e">
        <f>Tableau_Lancer_la_requête_à_partir_de_Export_Bdossiers5961516[[#This Row],[Part Publique]]/Tableau_Lancer_la_requête_à_partir_de_Export_Bdossiers5961516[[#This Row],[Coût total Eligible FEDER]]</f>
        <v>#DIV/0!</v>
      </c>
      <c r="J56" s="93"/>
      <c r="K56" s="88">
        <f>Tableau_Lancer_la_requête_à_partir_de_Export_Bdossiers5961516[[#This Row],[Coût total Opération]]-Tableau_Lancer_la_requête_à_partir_de_Export_Bdossiers5961516[[#This Row],[Part Publique]]</f>
        <v>194190.59999999998</v>
      </c>
      <c r="L56" s="89">
        <f>Tableau_Lancer_la_requête_à_partir_de_Export_Bdossiers5961516[[#This Row],[Autofinancement]]/Tableau_Lancer_la_requête_à_partir_de_Export_Bdossiers5961516[[#This Row],[Coût total Opération]]</f>
        <v>0.67149692970656716</v>
      </c>
      <c r="M56" s="93"/>
      <c r="N56" s="94" t="s">
        <v>59</v>
      </c>
      <c r="O56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95000</v>
      </c>
      <c r="P56" s="88">
        <f>SUM(Tableau_Lancer_la_requête_à_partir_de_Export_Bdossiers5961516[[#This Row],[Auvergne]:[Rhône-Alpes]])</f>
        <v>0</v>
      </c>
      <c r="Q56" s="93"/>
      <c r="R56" s="93"/>
      <c r="S56" s="93"/>
      <c r="T56" s="93"/>
      <c r="U56" s="93"/>
      <c r="V56" s="93"/>
      <c r="W56" s="93">
        <v>95000</v>
      </c>
      <c r="X56" s="93"/>
      <c r="Y56" s="93">
        <v>95000</v>
      </c>
      <c r="Z56" s="93"/>
      <c r="AA56" s="93"/>
      <c r="AB56" s="93"/>
      <c r="AC56" s="88">
        <f>SUM(Tableau_Lancer_la_requête_à_partir_de_Export_Bdossiers5961516[[#This Row],[03]:[89]])</f>
        <v>0</v>
      </c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6"/>
      <c r="BB56" s="91" t="s">
        <v>107</v>
      </c>
      <c r="BC56" s="95" t="s">
        <v>42</v>
      </c>
      <c r="BD56" s="98" t="s">
        <v>12</v>
      </c>
      <c r="BE56" s="95"/>
      <c r="BF56" s="95"/>
      <c r="BG56" s="95"/>
      <c r="BH56" s="95"/>
      <c r="BI56" s="95"/>
    </row>
    <row r="57" spans="1:66" s="91" customFormat="1" ht="47.25" x14ac:dyDescent="0.25">
      <c r="A57" s="91" t="s">
        <v>190</v>
      </c>
      <c r="B57" s="91" t="s">
        <v>244</v>
      </c>
      <c r="C57" s="91" t="s">
        <v>464</v>
      </c>
      <c r="D57" s="92" t="s">
        <v>205</v>
      </c>
      <c r="E57" s="92" t="s">
        <v>248</v>
      </c>
      <c r="F57" s="93">
        <v>362794</v>
      </c>
      <c r="G57" s="93">
        <v>0</v>
      </c>
      <c r="H57" s="88">
        <f>Tableau_Lancer_la_requête_à_partir_de_Export_Bdossiers5961516[[#This Row],[UE]]+Tableau_Lancer_la_requête_à_partir_de_Export_Bdossiers5961516[[#This Row],[DPN]]</f>
        <v>95000</v>
      </c>
      <c r="I57" s="89" t="e">
        <f>Tableau_Lancer_la_requête_à_partir_de_Export_Bdossiers5961516[[#This Row],[Part Publique]]/Tableau_Lancer_la_requête_à_partir_de_Export_Bdossiers5961516[[#This Row],[Coût total Eligible FEDER]]</f>
        <v>#DIV/0!</v>
      </c>
      <c r="J57" s="93"/>
      <c r="K57" s="88">
        <f>Tableau_Lancer_la_requête_à_partir_de_Export_Bdossiers5961516[[#This Row],[Coût total Opération]]-Tableau_Lancer_la_requête_à_partir_de_Export_Bdossiers5961516[[#This Row],[Part Publique]]</f>
        <v>267794</v>
      </c>
      <c r="L57" s="89">
        <f>Tableau_Lancer_la_requête_à_partir_de_Export_Bdossiers5961516[[#This Row],[Autofinancement]]/Tableau_Lancer_la_requête_à_partir_de_Export_Bdossiers5961516[[#This Row],[Coût total Opération]]</f>
        <v>0.73814340920742905</v>
      </c>
      <c r="M57" s="93"/>
      <c r="N57" s="94" t="s">
        <v>59</v>
      </c>
      <c r="O57" s="88">
        <f>Tableau_Lancer_la_requête_à_partir_de_Export_Bdossiers5961516[[#This Row],[Total CR]]+Tableau_Lancer_la_requête_à_partir_de_Export_Bdossiers5961516[[#This Row],[Total Etat]]+Tableau_Lancer_la_requête_à_partir_de_Export_Bdossiers5961516[[#This Row],[Total CG]]+Tableau_Lancer_la_requête_à_partir_de_Export_Bdossiers5961516[[#This Row],[Autre Public]]</f>
        <v>95000</v>
      </c>
      <c r="P57" s="88">
        <f>SUM(Tableau_Lancer_la_requête_à_partir_de_Export_Bdossiers5961516[[#This Row],[Auvergne]:[Rhône-Alpes]])</f>
        <v>0</v>
      </c>
      <c r="Q57" s="93"/>
      <c r="R57" s="93"/>
      <c r="S57" s="93"/>
      <c r="T57" s="93"/>
      <c r="U57" s="93"/>
      <c r="V57" s="93"/>
      <c r="W57" s="93">
        <v>95000</v>
      </c>
      <c r="X57" s="93">
        <v>95000</v>
      </c>
      <c r="Y57" s="93"/>
      <c r="Z57" s="93"/>
      <c r="AA57" s="93"/>
      <c r="AB57" s="93"/>
      <c r="AC57" s="88">
        <f>SUM(Tableau_Lancer_la_requête_à_partir_de_Export_Bdossiers5961516[[#This Row],[03]:[89]])</f>
        <v>0</v>
      </c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6"/>
      <c r="BB57" s="91" t="s">
        <v>107</v>
      </c>
      <c r="BC57" s="95" t="s">
        <v>188</v>
      </c>
      <c r="BD57" s="98" t="s">
        <v>189</v>
      </c>
      <c r="BE57" s="95"/>
      <c r="BF57" s="95"/>
      <c r="BG57" s="95"/>
      <c r="BH57" s="95"/>
      <c r="BI57" s="95"/>
    </row>
    <row r="58" spans="1:66" x14ac:dyDescent="0.25">
      <c r="C58" s="36" t="s">
        <v>181</v>
      </c>
      <c r="D58" s="31"/>
      <c r="E58" s="31"/>
      <c r="F58" s="37">
        <f>SUMIF(Tableau_Lancer_la_requête_à_partir_de_Export_Bdossiers5961516[Avis Cprog],"1-Favorable",Tableau_Lancer_la_requête_à_partir_de_Export_Bdossiers5961516[Coût total Opération])</f>
        <v>5789010.5402562087</v>
      </c>
      <c r="G58" s="37">
        <f>SUMIF(Tableau_Lancer_la_requête_à_partir_de_Export_Bdossiers5961516[Avis Cprog],"1-Favorable",Tableau_Lancer_la_requête_à_partir_de_Export_Bdossiers5961516[Coût total Eligible FEDER])</f>
        <v>2039525.6035</v>
      </c>
      <c r="H58" s="37">
        <f>SUMIF(Tableau_Lancer_la_requête_à_partir_de_Export_Bdossiers5961516[Avis Cprog],"1-Favorable",Tableau_Lancer_la_requête_à_partir_de_Export_Bdossiers5961516[Part Publique])</f>
        <v>2893934.6035000002</v>
      </c>
      <c r="I58" s="37"/>
      <c r="J58" s="37">
        <f>SUMIF(Tableau_Lancer_la_requête_à_partir_de_Export_Bdossiers5961516[Avis Cprog],"1-Favorable",Tableau_Lancer_la_requête_à_partir_de_Export_Bdossiers5961516[Part privée])</f>
        <v>18015</v>
      </c>
      <c r="K58" s="93">
        <f>SUMIF(Tableau_Lancer_la_requête_à_partir_de_Export_Bdossiers5961516[Avis Cprog],"1-Favorable",Tableau_Lancer_la_requête_à_partir_de_Export_Bdossiers5961516[Autofinancement])</f>
        <v>2895075.9367562081</v>
      </c>
      <c r="L58" s="37"/>
      <c r="M58" s="37">
        <f>SUMIF(Tableau_Lancer_la_requête_à_partir_de_Export_Bdossiers5961516[Avis Cprog],"1-Favorable",Tableau_Lancer_la_requête_à_partir_de_Export_Bdossiers5961516[UE])</f>
        <v>135983.6735</v>
      </c>
      <c r="N58" s="37"/>
      <c r="O58" s="37">
        <f>SUMIF(Tableau_Lancer_la_requête_à_partir_de_Export_Bdossiers5961516[Avis Cprog],"1-Favorable",Tableau_Lancer_la_requête_à_partir_de_Export_Bdossiers5961516[DPN])</f>
        <v>2757950.93</v>
      </c>
      <c r="P58" s="37">
        <f>SUMIF(Tableau_Lancer_la_requête_à_partir_de_Export_Bdossiers5961516[Avis Cprog],"1-Favorable",Tableau_Lancer_la_requête_à_partir_de_Export_Bdossiers5961516[Total CR])</f>
        <v>157378.79999999999</v>
      </c>
      <c r="Q58" s="37">
        <f>SUBTOTAL(109,Tableau_Lancer_la_requête_à_partir_de_Export_Bdossiers5961516[Auvergne])</f>
        <v>126441.8</v>
      </c>
      <c r="R58" s="37">
        <f>SUBTOTAL(109,Tableau_Lancer_la_requête_à_partir_de_Export_Bdossiers5961516[Bourgogne])</f>
        <v>0</v>
      </c>
      <c r="S58" s="37">
        <f>SUBTOTAL(109,Tableau_Lancer_la_requête_à_partir_de_Export_Bdossiers5961516[Languedoc-Roussillon])</f>
        <v>8883</v>
      </c>
      <c r="T58" s="37">
        <f>SUBTOTAL(109,Tableau_Lancer_la_requête_à_partir_de_Export_Bdossiers5961516[Limousin])</f>
        <v>0</v>
      </c>
      <c r="U58" s="37">
        <f>SUBTOTAL(109,Tableau_Lancer_la_requête_à_partir_de_Export_Bdossiers5961516[Midi-Pyrénées])</f>
        <v>19554</v>
      </c>
      <c r="V58" s="37">
        <f>SUBTOTAL(109,Tableau_Lancer_la_requête_à_partir_de_Export_Bdossiers5961516[Rhône-Alpes])</f>
        <v>0</v>
      </c>
      <c r="W58" s="37">
        <f>SUMIF(Tableau_Lancer_la_requête_à_partir_de_Export_Bdossiers5961516[Avis Cprog],"1-Favorable",Tableau_Lancer_la_requête_à_partir_de_Export_Bdossiers5961516[Total Etat])</f>
        <v>2572390.59</v>
      </c>
      <c r="X58" s="37">
        <f>SUBTOTAL(109,Tableau_Lancer_la_requête_à_partir_de_Export_Bdossiers5961516[FNADT])</f>
        <v>2486181.63</v>
      </c>
      <c r="Y58" s="37">
        <f>SUBTOTAL(109,Tableau_Lancer_la_requête_à_partir_de_Export_Bdossiers5961516[Environnement])</f>
        <v>95000</v>
      </c>
      <c r="Z58" s="37">
        <f>SUBTOTAL(109,Tableau_Lancer_la_requête_à_partir_de_Export_Bdossiers5961516[Agriculture])</f>
        <v>0</v>
      </c>
      <c r="AA58" s="37">
        <f>SUBTOTAL(109,Tableau_Lancer_la_requête_à_partir_de_Export_Bdossiers5961516[Autre Etat 3])</f>
        <v>0</v>
      </c>
      <c r="AB58" s="37">
        <f>SUBTOTAL(109,Tableau_Lancer_la_requête_à_partir_de_Export_Bdossiers5961516[Autre Etat Divers])</f>
        <v>0</v>
      </c>
      <c r="AC58" s="37">
        <f>SUMIF(Tableau_Lancer_la_requête_à_partir_de_Export_Bdossiers5961516[Avis Cprog],"1-Favorable",Tableau_Lancer_la_requête_à_partir_de_Export_Bdossiers5961516[Total CG])</f>
        <v>16371.47</v>
      </c>
      <c r="AD58" s="37">
        <f>SUBTOTAL(109,Tableau_Lancer_la_requête_à_partir_de_Export_Bdossiers5961516[03])</f>
        <v>3026.47</v>
      </c>
      <c r="AE58" s="37">
        <f>SUBTOTAL(109,Tableau_Lancer_la_requête_à_partir_de_Export_Bdossiers5961516[07])</f>
        <v>0</v>
      </c>
      <c r="AF58" s="37">
        <f>SUBTOTAL(109,Tableau_Lancer_la_requête_à_partir_de_Export_Bdossiers5961516[11])</f>
        <v>0</v>
      </c>
      <c r="AG58" s="37">
        <f>SUBTOTAL(109,Tableau_Lancer_la_requête_à_partir_de_Export_Bdossiers5961516[12])</f>
        <v>3419</v>
      </c>
      <c r="AH58" s="37">
        <f>SUBTOTAL(109,Tableau_Lancer_la_requête_à_partir_de_Export_Bdossiers5961516[15])</f>
        <v>0</v>
      </c>
      <c r="AI58" s="37">
        <f>SUBTOTAL(109,Tableau_Lancer_la_requête_à_partir_de_Export_Bdossiers5961516[19])</f>
        <v>2663</v>
      </c>
      <c r="AJ58" s="37">
        <f>SUBTOTAL(109,Tableau_Lancer_la_requête_à_partir_de_Export_Bdossiers5961516[21])</f>
        <v>0</v>
      </c>
      <c r="AK58" s="37">
        <f>SUBTOTAL(109,Tableau_Lancer_la_requête_à_partir_de_Export_Bdossiers5961516[23])</f>
        <v>0</v>
      </c>
      <c r="AL58" s="37">
        <f>SUBTOTAL(109,Tableau_Lancer_la_requête_à_partir_de_Export_Bdossiers5961516[30])</f>
        <v>0</v>
      </c>
      <c r="AM58" s="37">
        <f>SUBTOTAL(109,Tableau_Lancer_la_requête_à_partir_de_Export_Bdossiers5961516[34])</f>
        <v>0</v>
      </c>
      <c r="AN58" s="37">
        <f>SUBTOTAL(109,Tableau_Lancer_la_requête_à_partir_de_Export_Bdossiers5961516[42])</f>
        <v>0</v>
      </c>
      <c r="AO58" s="37">
        <f>SUBTOTAL(109,Tableau_Lancer_la_requête_à_partir_de_Export_Bdossiers5961516[43])</f>
        <v>7263</v>
      </c>
      <c r="AP58" s="37">
        <f>SUBTOTAL(109,Tableau_Lancer_la_requête_à_partir_de_Export_Bdossiers5961516[46])</f>
        <v>0</v>
      </c>
      <c r="AQ58" s="37">
        <f>SUBTOTAL(109,Tableau_Lancer_la_requête_à_partir_de_Export_Bdossiers5961516[48])</f>
        <v>0</v>
      </c>
      <c r="AR58" s="37">
        <f>SUBTOTAL(109,Tableau_Lancer_la_requête_à_partir_de_Export_Bdossiers5961516[58])</f>
        <v>0</v>
      </c>
      <c r="AS58" s="37">
        <f>SUBTOTAL(109,Tableau_Lancer_la_requête_à_partir_de_Export_Bdossiers5961516[63])</f>
        <v>0</v>
      </c>
      <c r="AT58" s="37">
        <f>SUBTOTAL(109,Tableau_Lancer_la_requête_à_partir_de_Export_Bdossiers5961516[69])</f>
        <v>0</v>
      </c>
      <c r="AU58" s="37">
        <f>SUBTOTAL(109,Tableau_Lancer_la_requête_à_partir_de_Export_Bdossiers5961516[71])</f>
        <v>0</v>
      </c>
      <c r="AV58" s="37">
        <f>SUBTOTAL(109,Tableau_Lancer_la_requête_à_partir_de_Export_Bdossiers5961516[81])</f>
        <v>0</v>
      </c>
      <c r="AW58" s="37">
        <f>SUBTOTAL(109,Tableau_Lancer_la_requête_à_partir_de_Export_Bdossiers5961516[82])</f>
        <v>0</v>
      </c>
      <c r="AX58" s="37">
        <f>SUBTOTAL(109,Tableau_Lancer_la_requête_à_partir_de_Export_Bdossiers5961516[87])</f>
        <v>0</v>
      </c>
      <c r="AY58" s="37">
        <f>SUBTOTAL(109,Tableau_Lancer_la_requête_à_partir_de_Export_Bdossiers5961516[89])</f>
        <v>0</v>
      </c>
      <c r="AZ58" s="37">
        <f>SUMIF(Tableau_Lancer_la_requête_à_partir_de_Export_Bdossiers5961516[Avis Cprog],"1-Favorable",Tableau_Lancer_la_requête_à_partir_de_Export_Bdossiers5961516[Autre Public])</f>
        <v>11810.07</v>
      </c>
      <c r="BA58" s="75"/>
      <c r="BC58" s="38"/>
      <c r="BD58" s="38">
        <f>SUBTOTAL(103,Tableau_Lancer_la_requête_à_partir_de_Export_Bdossiers5961516[NomReg])</f>
        <v>51</v>
      </c>
      <c r="BE58" s="38"/>
      <c r="BF58" s="38"/>
      <c r="BG58" s="38"/>
      <c r="BJ58" s="36"/>
      <c r="BK58" s="36"/>
      <c r="BL58" s="36"/>
      <c r="BM58" s="36"/>
      <c r="BN58" s="36"/>
    </row>
    <row r="59" spans="1:66" x14ac:dyDescent="0.25">
      <c r="D59" s="31"/>
      <c r="E59" s="31"/>
      <c r="F59" s="37"/>
      <c r="G59" s="37"/>
      <c r="H59" s="37"/>
      <c r="I59" s="37"/>
      <c r="J59" s="37"/>
      <c r="K59" s="93"/>
      <c r="L59" s="37"/>
      <c r="M59" s="77">
        <f>SUBTOTAL(2,Tableau_Lancer_la_requête_à_partir_de_Export_Bdossiers5961516[UE])</f>
        <v>3</v>
      </c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B59" s="38"/>
      <c r="BC59" s="38"/>
      <c r="BD59" s="38"/>
      <c r="BE59" s="38"/>
      <c r="BF59" s="38"/>
      <c r="BG59" s="38"/>
      <c r="BJ59" s="36"/>
      <c r="BK59" s="36"/>
      <c r="BL59" s="36"/>
      <c r="BM59" s="36"/>
      <c r="BN59" s="36"/>
    </row>
    <row r="60" spans="1:66" x14ac:dyDescent="0.25">
      <c r="A60" s="31"/>
      <c r="B60" s="31"/>
      <c r="C60" s="31"/>
      <c r="D60" s="31"/>
      <c r="E60" s="31"/>
      <c r="F60" s="34"/>
      <c r="G60" s="34"/>
      <c r="H60" s="33"/>
      <c r="I60" s="43"/>
      <c r="J60" s="33"/>
      <c r="K60" s="96"/>
      <c r="L60" s="43"/>
      <c r="M60" s="34"/>
      <c r="N60" s="43"/>
      <c r="O60" s="34"/>
      <c r="P60" s="34"/>
      <c r="Q60" s="32"/>
      <c r="R60" s="34"/>
      <c r="S60" s="41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8"/>
      <c r="BF60" s="38"/>
      <c r="BG60" s="38"/>
      <c r="BJ60" s="36"/>
      <c r="BK60" s="36"/>
      <c r="BL60" s="36"/>
      <c r="BM60" s="36"/>
      <c r="BN60" s="36"/>
    </row>
    <row r="61" spans="1:66" x14ac:dyDescent="0.25">
      <c r="A61" s="146" t="s">
        <v>329</v>
      </c>
      <c r="B61" s="146"/>
      <c r="C61" s="146"/>
      <c r="BE61" s="38"/>
      <c r="BF61" s="38"/>
      <c r="BG61" s="38"/>
      <c r="BJ61" s="36"/>
      <c r="BK61" s="36"/>
      <c r="BL61" s="36"/>
      <c r="BM61" s="36"/>
      <c r="BN61" s="36"/>
    </row>
    <row r="62" spans="1:66" ht="32.25" thickBot="1" x14ac:dyDescent="0.3">
      <c r="A62" s="32" t="s">
        <v>178</v>
      </c>
      <c r="B62" s="32" t="s">
        <v>180</v>
      </c>
      <c r="C62" s="32" t="s">
        <v>0</v>
      </c>
      <c r="D62" s="32" t="s">
        <v>1</v>
      </c>
      <c r="E62" s="32" t="s">
        <v>2</v>
      </c>
      <c r="F62" s="32" t="s">
        <v>13</v>
      </c>
      <c r="G62" s="32" t="s">
        <v>14</v>
      </c>
      <c r="H62" s="32" t="s">
        <v>15</v>
      </c>
      <c r="I62" s="33" t="s">
        <v>16</v>
      </c>
      <c r="J62" s="32" t="s">
        <v>8</v>
      </c>
      <c r="K62" s="98" t="s">
        <v>17</v>
      </c>
      <c r="L62" s="33" t="s">
        <v>18</v>
      </c>
      <c r="M62" s="32" t="s">
        <v>3</v>
      </c>
      <c r="N62" s="33" t="s">
        <v>19</v>
      </c>
      <c r="O62" s="32" t="s">
        <v>20</v>
      </c>
      <c r="P62" s="32" t="s">
        <v>4</v>
      </c>
      <c r="Q62" s="32" t="s">
        <v>11</v>
      </c>
      <c r="R62" s="32" t="s">
        <v>21</v>
      </c>
      <c r="S62" s="32" t="s">
        <v>12</v>
      </c>
      <c r="T62" s="32" t="s">
        <v>22</v>
      </c>
      <c r="U62" s="32" t="s">
        <v>23</v>
      </c>
      <c r="V62" s="32" t="s">
        <v>10</v>
      </c>
      <c r="W62" s="32" t="s">
        <v>5</v>
      </c>
      <c r="X62" s="32" t="s">
        <v>24</v>
      </c>
      <c r="Y62" s="32" t="s">
        <v>25</v>
      </c>
      <c r="Z62" s="32" t="s">
        <v>26</v>
      </c>
      <c r="AA62" s="32" t="s">
        <v>27</v>
      </c>
      <c r="AB62" s="32" t="s">
        <v>28</v>
      </c>
      <c r="AC62" s="32" t="s">
        <v>6</v>
      </c>
      <c r="AD62" s="32" t="s">
        <v>29</v>
      </c>
      <c r="AE62" s="32" t="s">
        <v>30</v>
      </c>
      <c r="AF62" s="32" t="s">
        <v>31</v>
      </c>
      <c r="AG62" s="32" t="s">
        <v>32</v>
      </c>
      <c r="AH62" s="32" t="s">
        <v>33</v>
      </c>
      <c r="AI62" s="32" t="s">
        <v>34</v>
      </c>
      <c r="AJ62" s="32" t="s">
        <v>35</v>
      </c>
      <c r="AK62" s="32" t="s">
        <v>36</v>
      </c>
      <c r="AL62" s="32" t="s">
        <v>37</v>
      </c>
      <c r="AM62" s="32" t="s">
        <v>38</v>
      </c>
      <c r="AN62" s="32" t="s">
        <v>39</v>
      </c>
      <c r="AO62" s="32" t="s">
        <v>40</v>
      </c>
      <c r="AP62" s="32" t="s">
        <v>41</v>
      </c>
      <c r="AQ62" s="32" t="s">
        <v>42</v>
      </c>
      <c r="AR62" s="32" t="s">
        <v>43</v>
      </c>
      <c r="AS62" s="32" t="s">
        <v>44</v>
      </c>
      <c r="AT62" s="32" t="s">
        <v>45</v>
      </c>
      <c r="AU62" s="32" t="s">
        <v>46</v>
      </c>
      <c r="AV62" s="32" t="s">
        <v>47</v>
      </c>
      <c r="AW62" s="32" t="s">
        <v>48</v>
      </c>
      <c r="AX62" s="32" t="s">
        <v>49</v>
      </c>
      <c r="AY62" s="32" t="s">
        <v>50</v>
      </c>
      <c r="AZ62" s="32" t="s">
        <v>7</v>
      </c>
      <c r="BA62" s="32" t="s">
        <v>326</v>
      </c>
      <c r="BB62" s="32" t="s">
        <v>51</v>
      </c>
      <c r="BC62" s="32" t="s">
        <v>52</v>
      </c>
      <c r="BD62" s="32" t="s">
        <v>9</v>
      </c>
      <c r="BE62" s="38"/>
      <c r="BF62" s="38"/>
      <c r="BG62" s="38"/>
      <c r="BJ62" s="36"/>
      <c r="BK62" s="36"/>
      <c r="BL62" s="36"/>
      <c r="BM62" s="36"/>
      <c r="BN62" s="36"/>
    </row>
    <row r="63" spans="1:66" ht="48" thickTop="1" x14ac:dyDescent="0.25">
      <c r="A63" s="107" t="s">
        <v>190</v>
      </c>
      <c r="B63" s="107" t="s">
        <v>191</v>
      </c>
      <c r="C63" s="107" t="s">
        <v>468</v>
      </c>
      <c r="D63" s="107" t="s">
        <v>221</v>
      </c>
      <c r="E63" s="107" t="s">
        <v>222</v>
      </c>
      <c r="F63" s="108">
        <v>16687.884572220588</v>
      </c>
      <c r="G63" s="108">
        <v>0</v>
      </c>
      <c r="H63" s="108">
        <v>0</v>
      </c>
      <c r="I63" s="109">
        <v>0</v>
      </c>
      <c r="J63" s="108"/>
      <c r="K63" s="96"/>
      <c r="L63" s="109"/>
      <c r="M63" s="108"/>
      <c r="N63" s="109" t="s">
        <v>59</v>
      </c>
      <c r="O63" s="108">
        <v>0</v>
      </c>
      <c r="P63" s="108">
        <v>0</v>
      </c>
      <c r="Q63" s="108"/>
      <c r="R63" s="108"/>
      <c r="S63" s="108"/>
      <c r="T63" s="108"/>
      <c r="U63" s="108"/>
      <c r="V63" s="108"/>
      <c r="W63" s="108">
        <v>0</v>
      </c>
      <c r="X63" s="108"/>
      <c r="Y63" s="108"/>
      <c r="Z63" s="108"/>
      <c r="AA63" s="108"/>
      <c r="AB63" s="108"/>
      <c r="AC63" s="108">
        <v>0</v>
      </c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7" t="s">
        <v>469</v>
      </c>
      <c r="BB63" s="107" t="s">
        <v>324</v>
      </c>
      <c r="BC63" s="110" t="s">
        <v>44</v>
      </c>
      <c r="BD63" s="110" t="s">
        <v>11</v>
      </c>
      <c r="BE63" s="38"/>
      <c r="BF63" s="38"/>
      <c r="BG63" s="38"/>
      <c r="BJ63" s="36"/>
      <c r="BK63" s="36"/>
      <c r="BL63" s="36"/>
      <c r="BM63" s="36"/>
      <c r="BN63" s="36"/>
    </row>
    <row r="64" spans="1:66" ht="47.25" x14ac:dyDescent="0.25">
      <c r="A64" s="92" t="s">
        <v>190</v>
      </c>
      <c r="B64" s="92" t="s">
        <v>191</v>
      </c>
      <c r="C64" s="92" t="s">
        <v>470</v>
      </c>
      <c r="D64" s="92" t="s">
        <v>223</v>
      </c>
      <c r="E64" s="92" t="s">
        <v>222</v>
      </c>
      <c r="F64" s="96">
        <v>27140.743905084801</v>
      </c>
      <c r="G64" s="96">
        <v>0</v>
      </c>
      <c r="H64" s="96">
        <v>0</v>
      </c>
      <c r="I64" s="97">
        <v>0</v>
      </c>
      <c r="J64" s="96"/>
      <c r="K64" s="96"/>
      <c r="L64" s="97"/>
      <c r="M64" s="96"/>
      <c r="N64" s="97" t="s">
        <v>59</v>
      </c>
      <c r="O64" s="96">
        <v>0</v>
      </c>
      <c r="P64" s="96">
        <v>0</v>
      </c>
      <c r="Q64" s="96"/>
      <c r="R64" s="96"/>
      <c r="S64" s="96"/>
      <c r="T64" s="96"/>
      <c r="U64" s="96"/>
      <c r="V64" s="96"/>
      <c r="W64" s="96">
        <v>0</v>
      </c>
      <c r="X64" s="96"/>
      <c r="Y64" s="96"/>
      <c r="Z64" s="96"/>
      <c r="AA64" s="96"/>
      <c r="AB64" s="96"/>
      <c r="AC64" s="96">
        <v>0</v>
      </c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96"/>
      <c r="BA64" s="92" t="s">
        <v>469</v>
      </c>
      <c r="BB64" s="92" t="s">
        <v>324</v>
      </c>
      <c r="BC64" s="98" t="s">
        <v>40</v>
      </c>
      <c r="BD64" s="98" t="s">
        <v>11</v>
      </c>
      <c r="BE64" s="38"/>
      <c r="BF64" s="38"/>
      <c r="BG64" s="38"/>
      <c r="BJ64" s="36"/>
      <c r="BK64" s="36"/>
      <c r="BL64" s="36"/>
      <c r="BM64" s="36"/>
      <c r="BN64" s="36"/>
    </row>
    <row r="65" spans="1:66" ht="47.25" x14ac:dyDescent="0.25">
      <c r="A65" s="92" t="s">
        <v>190</v>
      </c>
      <c r="B65" s="92" t="s">
        <v>191</v>
      </c>
      <c r="C65" s="92" t="s">
        <v>471</v>
      </c>
      <c r="D65" s="92" t="s">
        <v>211</v>
      </c>
      <c r="E65" s="92" t="s">
        <v>222</v>
      </c>
      <c r="F65" s="96">
        <v>30077.590958937493</v>
      </c>
      <c r="G65" s="96">
        <v>0</v>
      </c>
      <c r="H65" s="96">
        <v>0</v>
      </c>
      <c r="I65" s="97">
        <v>0</v>
      </c>
      <c r="J65" s="96"/>
      <c r="K65" s="96"/>
      <c r="L65" s="97"/>
      <c r="M65" s="96"/>
      <c r="N65" s="97" t="s">
        <v>59</v>
      </c>
      <c r="O65" s="96">
        <v>0</v>
      </c>
      <c r="P65" s="96">
        <v>0</v>
      </c>
      <c r="Q65" s="96"/>
      <c r="R65" s="96"/>
      <c r="S65" s="96"/>
      <c r="T65" s="96"/>
      <c r="U65" s="96"/>
      <c r="V65" s="96"/>
      <c r="W65" s="96">
        <v>0</v>
      </c>
      <c r="X65" s="96"/>
      <c r="Y65" s="96"/>
      <c r="Z65" s="96"/>
      <c r="AA65" s="96"/>
      <c r="AB65" s="96"/>
      <c r="AC65" s="96">
        <v>0</v>
      </c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92" t="s">
        <v>469</v>
      </c>
      <c r="BB65" s="92" t="s">
        <v>324</v>
      </c>
      <c r="BC65" s="98" t="s">
        <v>44</v>
      </c>
      <c r="BD65" s="98" t="s">
        <v>11</v>
      </c>
      <c r="BE65" s="38"/>
      <c r="BF65" s="38"/>
      <c r="BG65" s="38"/>
      <c r="BJ65" s="36"/>
      <c r="BK65" s="36"/>
      <c r="BL65" s="36"/>
      <c r="BM65" s="36"/>
      <c r="BN65" s="36"/>
    </row>
    <row r="66" spans="1:66" ht="47.25" x14ac:dyDescent="0.25">
      <c r="A66" s="92" t="s">
        <v>190</v>
      </c>
      <c r="B66" s="92" t="s">
        <v>191</v>
      </c>
      <c r="C66" s="92" t="s">
        <v>472</v>
      </c>
      <c r="D66" s="92" t="s">
        <v>224</v>
      </c>
      <c r="E66" s="92" t="s">
        <v>222</v>
      </c>
      <c r="F66" s="96">
        <v>5975.0525773195877</v>
      </c>
      <c r="G66" s="96">
        <v>0</v>
      </c>
      <c r="H66" s="96">
        <v>0</v>
      </c>
      <c r="I66" s="97">
        <v>0</v>
      </c>
      <c r="J66" s="96"/>
      <c r="K66" s="96"/>
      <c r="L66" s="97"/>
      <c r="M66" s="96"/>
      <c r="N66" s="97" t="s">
        <v>59</v>
      </c>
      <c r="O66" s="96">
        <v>0</v>
      </c>
      <c r="P66" s="96">
        <v>0</v>
      </c>
      <c r="Q66" s="96"/>
      <c r="R66" s="96"/>
      <c r="S66" s="96"/>
      <c r="T66" s="96"/>
      <c r="U66" s="96"/>
      <c r="V66" s="96"/>
      <c r="W66" s="96">
        <v>0</v>
      </c>
      <c r="X66" s="96"/>
      <c r="Y66" s="96"/>
      <c r="Z66" s="96"/>
      <c r="AA66" s="96"/>
      <c r="AB66" s="96"/>
      <c r="AC66" s="96">
        <v>0</v>
      </c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2" t="s">
        <v>469</v>
      </c>
      <c r="BB66" s="92" t="s">
        <v>324</v>
      </c>
      <c r="BC66" s="98" t="s">
        <v>33</v>
      </c>
      <c r="BD66" s="98" t="s">
        <v>11</v>
      </c>
      <c r="BE66" s="38"/>
      <c r="BF66" s="38"/>
      <c r="BG66" s="38"/>
      <c r="BJ66" s="36"/>
      <c r="BK66" s="36"/>
      <c r="BL66" s="36"/>
      <c r="BM66" s="36"/>
      <c r="BN66" s="36"/>
    </row>
    <row r="67" spans="1:66" ht="47.25" x14ac:dyDescent="0.25">
      <c r="A67" s="92" t="s">
        <v>190</v>
      </c>
      <c r="B67" s="92" t="s">
        <v>191</v>
      </c>
      <c r="C67" s="92" t="s">
        <v>473</v>
      </c>
      <c r="D67" s="92" t="s">
        <v>225</v>
      </c>
      <c r="E67" s="92" t="s">
        <v>222</v>
      </c>
      <c r="F67" s="96">
        <v>25153.99</v>
      </c>
      <c r="G67" s="96">
        <v>0</v>
      </c>
      <c r="H67" s="96">
        <v>0</v>
      </c>
      <c r="I67" s="97">
        <v>0</v>
      </c>
      <c r="J67" s="96"/>
      <c r="K67" s="96"/>
      <c r="L67" s="97"/>
      <c r="M67" s="96"/>
      <c r="N67" s="97" t="s">
        <v>59</v>
      </c>
      <c r="O67" s="96">
        <v>0</v>
      </c>
      <c r="P67" s="96">
        <v>0</v>
      </c>
      <c r="Q67" s="96"/>
      <c r="R67" s="96"/>
      <c r="S67" s="96"/>
      <c r="T67" s="96"/>
      <c r="U67" s="96"/>
      <c r="V67" s="96"/>
      <c r="W67" s="96">
        <v>0</v>
      </c>
      <c r="X67" s="96"/>
      <c r="Y67" s="96"/>
      <c r="Z67" s="96"/>
      <c r="AA67" s="96"/>
      <c r="AB67" s="96"/>
      <c r="AC67" s="96">
        <v>0</v>
      </c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2" t="s">
        <v>469</v>
      </c>
      <c r="BB67" s="92" t="s">
        <v>324</v>
      </c>
      <c r="BC67" s="98" t="s">
        <v>30</v>
      </c>
      <c r="BD67" s="98" t="s">
        <v>10</v>
      </c>
      <c r="BE67" s="38"/>
      <c r="BF67" s="38"/>
      <c r="BG67" s="38"/>
      <c r="BJ67" s="36"/>
      <c r="BK67" s="36"/>
      <c r="BL67" s="36"/>
      <c r="BM67" s="36"/>
      <c r="BN67" s="36"/>
    </row>
    <row r="68" spans="1:66" ht="47.25" x14ac:dyDescent="0.25">
      <c r="A68" s="92" t="s">
        <v>190</v>
      </c>
      <c r="B68" s="92" t="s">
        <v>191</v>
      </c>
      <c r="C68" s="92" t="s">
        <v>474</v>
      </c>
      <c r="D68" s="92" t="s">
        <v>203</v>
      </c>
      <c r="E68" s="92" t="s">
        <v>222</v>
      </c>
      <c r="F68" s="96">
        <v>16449.025672371637</v>
      </c>
      <c r="G68" s="96">
        <v>0</v>
      </c>
      <c r="H68" s="96">
        <v>0</v>
      </c>
      <c r="I68" s="97">
        <v>0</v>
      </c>
      <c r="J68" s="96"/>
      <c r="K68" s="96"/>
      <c r="L68" s="97"/>
      <c r="M68" s="96"/>
      <c r="N68" s="97" t="s">
        <v>59</v>
      </c>
      <c r="O68" s="96">
        <v>0</v>
      </c>
      <c r="P68" s="96">
        <v>0</v>
      </c>
      <c r="Q68" s="96"/>
      <c r="R68" s="96"/>
      <c r="S68" s="96"/>
      <c r="T68" s="96"/>
      <c r="U68" s="96"/>
      <c r="V68" s="96"/>
      <c r="W68" s="96">
        <v>0</v>
      </c>
      <c r="X68" s="96"/>
      <c r="Y68" s="96"/>
      <c r="Z68" s="96"/>
      <c r="AA68" s="96"/>
      <c r="AB68" s="96"/>
      <c r="AC68" s="96">
        <v>0</v>
      </c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2" t="s">
        <v>469</v>
      </c>
      <c r="BB68" s="92" t="s">
        <v>324</v>
      </c>
      <c r="BC68" s="98" t="s">
        <v>32</v>
      </c>
      <c r="BD68" s="98" t="s">
        <v>23</v>
      </c>
      <c r="BE68" s="38"/>
      <c r="BF68" s="38"/>
      <c r="BG68" s="38"/>
      <c r="BJ68" s="36"/>
      <c r="BK68" s="36"/>
      <c r="BL68" s="36"/>
      <c r="BM68" s="36"/>
      <c r="BN68" s="36"/>
    </row>
    <row r="69" spans="1:66" ht="47.25" x14ac:dyDescent="0.25">
      <c r="A69" s="99" t="s">
        <v>190</v>
      </c>
      <c r="B69" s="99" t="s">
        <v>191</v>
      </c>
      <c r="C69" s="99" t="s">
        <v>475</v>
      </c>
      <c r="D69" s="99" t="s">
        <v>208</v>
      </c>
      <c r="E69" s="99" t="s">
        <v>222</v>
      </c>
      <c r="F69" s="100">
        <v>23124.245714285717</v>
      </c>
      <c r="G69" s="100">
        <v>0</v>
      </c>
      <c r="H69" s="100">
        <v>0</v>
      </c>
      <c r="I69" s="101">
        <v>0</v>
      </c>
      <c r="J69" s="100"/>
      <c r="K69" s="100"/>
      <c r="L69" s="101"/>
      <c r="M69" s="100"/>
      <c r="N69" s="101" t="s">
        <v>59</v>
      </c>
      <c r="O69" s="100">
        <v>0</v>
      </c>
      <c r="P69" s="100">
        <v>0</v>
      </c>
      <c r="Q69" s="100"/>
      <c r="R69" s="100"/>
      <c r="S69" s="100"/>
      <c r="T69" s="100"/>
      <c r="U69" s="100"/>
      <c r="V69" s="100"/>
      <c r="W69" s="100">
        <v>0</v>
      </c>
      <c r="X69" s="100"/>
      <c r="Y69" s="100"/>
      <c r="Z69" s="100"/>
      <c r="AA69" s="100"/>
      <c r="AB69" s="100"/>
      <c r="AC69" s="100">
        <v>0</v>
      </c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92" t="s">
        <v>469</v>
      </c>
      <c r="BB69" s="99" t="s">
        <v>324</v>
      </c>
      <c r="BC69" s="102" t="s">
        <v>33</v>
      </c>
      <c r="BD69" s="102" t="s">
        <v>11</v>
      </c>
      <c r="BE69" s="38"/>
      <c r="BF69" s="38"/>
      <c r="BG69" s="38"/>
      <c r="BJ69" s="36"/>
      <c r="BK69" s="36"/>
      <c r="BL69" s="36"/>
      <c r="BM69" s="36"/>
      <c r="BN69" s="36"/>
    </row>
    <row r="70" spans="1:66" ht="47.25" x14ac:dyDescent="0.25">
      <c r="A70" s="103" t="s">
        <v>190</v>
      </c>
      <c r="B70" s="103" t="s">
        <v>191</v>
      </c>
      <c r="C70" s="103" t="s">
        <v>476</v>
      </c>
      <c r="D70" s="103" t="s">
        <v>226</v>
      </c>
      <c r="E70" s="103" t="s">
        <v>222</v>
      </c>
      <c r="F70" s="104">
        <v>41812.733168129693</v>
      </c>
      <c r="G70" s="104">
        <v>0</v>
      </c>
      <c r="H70" s="104">
        <v>0</v>
      </c>
      <c r="I70" s="105">
        <v>0</v>
      </c>
      <c r="J70" s="104"/>
      <c r="K70" s="104"/>
      <c r="L70" s="105"/>
      <c r="M70" s="104"/>
      <c r="N70" s="105" t="s">
        <v>59</v>
      </c>
      <c r="O70" s="104">
        <v>0</v>
      </c>
      <c r="P70" s="104">
        <v>0</v>
      </c>
      <c r="Q70" s="104"/>
      <c r="R70" s="104"/>
      <c r="S70" s="104"/>
      <c r="T70" s="104"/>
      <c r="U70" s="104"/>
      <c r="V70" s="104"/>
      <c r="W70" s="104">
        <v>0</v>
      </c>
      <c r="X70" s="104"/>
      <c r="Y70" s="104"/>
      <c r="Z70" s="104"/>
      <c r="AA70" s="104"/>
      <c r="AB70" s="104"/>
      <c r="AC70" s="104">
        <v>0</v>
      </c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92" t="s">
        <v>469</v>
      </c>
      <c r="BB70" s="103" t="s">
        <v>324</v>
      </c>
      <c r="BC70" s="106" t="s">
        <v>42</v>
      </c>
      <c r="BD70" s="106" t="s">
        <v>12</v>
      </c>
      <c r="BE70" s="38"/>
      <c r="BF70" s="38"/>
      <c r="BG70" s="38"/>
      <c r="BJ70" s="36"/>
      <c r="BK70" s="36"/>
      <c r="BL70" s="36"/>
      <c r="BM70" s="36"/>
      <c r="BN70" s="36"/>
    </row>
    <row r="71" spans="1:66" ht="47.25" x14ac:dyDescent="0.25">
      <c r="A71" s="92" t="s">
        <v>190</v>
      </c>
      <c r="B71" s="92" t="s">
        <v>191</v>
      </c>
      <c r="C71" s="92" t="s">
        <v>477</v>
      </c>
      <c r="D71" s="92" t="s">
        <v>227</v>
      </c>
      <c r="E71" s="92" t="s">
        <v>222</v>
      </c>
      <c r="F71" s="96">
        <v>20490.136164195614</v>
      </c>
      <c r="G71" s="96">
        <v>0</v>
      </c>
      <c r="H71" s="96">
        <v>0</v>
      </c>
      <c r="I71" s="97">
        <v>0</v>
      </c>
      <c r="J71" s="96"/>
      <c r="K71" s="96"/>
      <c r="L71" s="97"/>
      <c r="M71" s="96"/>
      <c r="N71" s="97" t="s">
        <v>59</v>
      </c>
      <c r="O71" s="96">
        <v>0</v>
      </c>
      <c r="P71" s="96">
        <v>0</v>
      </c>
      <c r="Q71" s="96"/>
      <c r="R71" s="96"/>
      <c r="S71" s="96"/>
      <c r="T71" s="96"/>
      <c r="U71" s="96"/>
      <c r="V71" s="96"/>
      <c r="W71" s="96">
        <v>0</v>
      </c>
      <c r="X71" s="96"/>
      <c r="Y71" s="96"/>
      <c r="Z71" s="96"/>
      <c r="AA71" s="96"/>
      <c r="AB71" s="96"/>
      <c r="AC71" s="96">
        <v>0</v>
      </c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 t="s">
        <v>469</v>
      </c>
      <c r="BB71" s="92" t="s">
        <v>324</v>
      </c>
      <c r="BC71" s="98" t="s">
        <v>42</v>
      </c>
      <c r="BD71" s="98" t="s">
        <v>12</v>
      </c>
      <c r="BE71" s="38"/>
      <c r="BF71" s="38"/>
      <c r="BG71" s="38"/>
      <c r="BJ71" s="36"/>
      <c r="BK71" s="36"/>
      <c r="BL71" s="36"/>
      <c r="BM71" s="36"/>
      <c r="BN71" s="36"/>
    </row>
    <row r="72" spans="1:66" ht="47.25" x14ac:dyDescent="0.25">
      <c r="A72" s="92" t="s">
        <v>190</v>
      </c>
      <c r="B72" s="92" t="s">
        <v>191</v>
      </c>
      <c r="C72" s="92" t="s">
        <v>478</v>
      </c>
      <c r="D72" s="92" t="s">
        <v>228</v>
      </c>
      <c r="E72" s="92" t="s">
        <v>222</v>
      </c>
      <c r="F72" s="96">
        <v>34246.224816945978</v>
      </c>
      <c r="G72" s="96">
        <v>0</v>
      </c>
      <c r="H72" s="96">
        <v>0</v>
      </c>
      <c r="I72" s="97">
        <v>0</v>
      </c>
      <c r="J72" s="96"/>
      <c r="K72" s="96"/>
      <c r="L72" s="97"/>
      <c r="M72" s="96"/>
      <c r="N72" s="97" t="s">
        <v>59</v>
      </c>
      <c r="O72" s="96">
        <v>0</v>
      </c>
      <c r="P72" s="96">
        <v>0</v>
      </c>
      <c r="Q72" s="96">
        <v>0</v>
      </c>
      <c r="R72" s="96"/>
      <c r="S72" s="96"/>
      <c r="T72" s="96"/>
      <c r="U72" s="96"/>
      <c r="V72" s="96"/>
      <c r="W72" s="96">
        <v>0</v>
      </c>
      <c r="X72" s="96"/>
      <c r="Y72" s="96"/>
      <c r="Z72" s="96"/>
      <c r="AA72" s="96"/>
      <c r="AB72" s="96"/>
      <c r="AC72" s="96">
        <v>0</v>
      </c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 t="s">
        <v>469</v>
      </c>
      <c r="BB72" s="92" t="s">
        <v>324</v>
      </c>
      <c r="BC72" s="98" t="s">
        <v>38</v>
      </c>
      <c r="BD72" s="98" t="s">
        <v>12</v>
      </c>
      <c r="BE72" s="38"/>
      <c r="BF72" s="38"/>
      <c r="BG72" s="38"/>
      <c r="BJ72" s="36"/>
      <c r="BK72" s="36"/>
      <c r="BL72" s="36"/>
      <c r="BM72" s="36"/>
      <c r="BN72" s="36"/>
    </row>
    <row r="73" spans="1:66" ht="47.25" x14ac:dyDescent="0.25">
      <c r="A73" s="92" t="s">
        <v>190</v>
      </c>
      <c r="B73" s="92" t="s">
        <v>191</v>
      </c>
      <c r="C73" s="92" t="s">
        <v>479</v>
      </c>
      <c r="D73" s="92" t="s">
        <v>216</v>
      </c>
      <c r="E73" s="92" t="s">
        <v>222</v>
      </c>
      <c r="F73" s="96">
        <v>5617.8075949367085</v>
      </c>
      <c r="G73" s="96">
        <v>0</v>
      </c>
      <c r="H73" s="96">
        <v>0</v>
      </c>
      <c r="I73" s="97">
        <v>0</v>
      </c>
      <c r="J73" s="96"/>
      <c r="K73" s="96"/>
      <c r="L73" s="97"/>
      <c r="M73" s="96"/>
      <c r="N73" s="97" t="s">
        <v>59</v>
      </c>
      <c r="O73" s="96">
        <v>0</v>
      </c>
      <c r="P73" s="96">
        <v>0</v>
      </c>
      <c r="Q73" s="96"/>
      <c r="R73" s="96"/>
      <c r="S73" s="96"/>
      <c r="T73" s="96"/>
      <c r="U73" s="96"/>
      <c r="V73" s="96"/>
      <c r="W73" s="96">
        <v>0</v>
      </c>
      <c r="X73" s="96"/>
      <c r="Y73" s="96"/>
      <c r="Z73" s="96"/>
      <c r="AA73" s="96"/>
      <c r="AB73" s="96"/>
      <c r="AC73" s="96">
        <v>0</v>
      </c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6"/>
      <c r="AU73" s="96"/>
      <c r="AV73" s="96"/>
      <c r="AW73" s="96"/>
      <c r="AX73" s="96"/>
      <c r="AY73" s="96"/>
      <c r="AZ73" s="96"/>
      <c r="BA73" s="96" t="s">
        <v>469</v>
      </c>
      <c r="BB73" s="92" t="s">
        <v>324</v>
      </c>
      <c r="BC73" s="98" t="s">
        <v>32</v>
      </c>
      <c r="BD73" s="98" t="s">
        <v>23</v>
      </c>
      <c r="BE73" s="38"/>
      <c r="BF73" s="38"/>
      <c r="BG73" s="38"/>
      <c r="BJ73" s="36"/>
      <c r="BK73" s="36"/>
      <c r="BL73" s="36"/>
      <c r="BM73" s="36"/>
      <c r="BN73" s="36"/>
    </row>
    <row r="74" spans="1:66" ht="47.25" x14ac:dyDescent="0.25">
      <c r="A74" s="92" t="s">
        <v>190</v>
      </c>
      <c r="B74" s="92" t="s">
        <v>191</v>
      </c>
      <c r="C74" s="92" t="s">
        <v>480</v>
      </c>
      <c r="D74" s="92" t="s">
        <v>204</v>
      </c>
      <c r="E74" s="92" t="s">
        <v>222</v>
      </c>
      <c r="F74" s="96">
        <v>31573.647356224985</v>
      </c>
      <c r="G74" s="96">
        <v>0</v>
      </c>
      <c r="H74" s="96">
        <v>0</v>
      </c>
      <c r="I74" s="97">
        <v>0</v>
      </c>
      <c r="J74" s="96"/>
      <c r="K74" s="96"/>
      <c r="L74" s="97"/>
      <c r="M74" s="96"/>
      <c r="N74" s="97" t="s">
        <v>59</v>
      </c>
      <c r="O74" s="96">
        <v>0</v>
      </c>
      <c r="P74" s="96">
        <v>0</v>
      </c>
      <c r="Q74" s="96"/>
      <c r="R74" s="96"/>
      <c r="S74" s="96"/>
      <c r="T74" s="96"/>
      <c r="U74" s="96"/>
      <c r="V74" s="96"/>
      <c r="W74" s="96">
        <v>0</v>
      </c>
      <c r="X74" s="96"/>
      <c r="Y74" s="96"/>
      <c r="Z74" s="96"/>
      <c r="AA74" s="96"/>
      <c r="AB74" s="96"/>
      <c r="AC74" s="96">
        <v>0</v>
      </c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 t="s">
        <v>469</v>
      </c>
      <c r="BB74" s="92" t="s">
        <v>324</v>
      </c>
      <c r="BC74" s="98" t="s">
        <v>40</v>
      </c>
      <c r="BD74" s="98" t="s">
        <v>11</v>
      </c>
      <c r="BE74" s="38"/>
      <c r="BF74" s="38"/>
      <c r="BG74" s="38"/>
      <c r="BJ74" s="36"/>
      <c r="BK74" s="36"/>
      <c r="BL74" s="36"/>
      <c r="BM74" s="36"/>
      <c r="BN74" s="36"/>
    </row>
    <row r="75" spans="1:66" ht="47.25" x14ac:dyDescent="0.25">
      <c r="A75" s="92" t="s">
        <v>190</v>
      </c>
      <c r="B75" s="92" t="s">
        <v>191</v>
      </c>
      <c r="C75" s="92" t="s">
        <v>481</v>
      </c>
      <c r="D75" s="92" t="s">
        <v>229</v>
      </c>
      <c r="E75" s="92" t="s">
        <v>222</v>
      </c>
      <c r="F75" s="96">
        <v>129403.016270105</v>
      </c>
      <c r="G75" s="96">
        <v>0</v>
      </c>
      <c r="H75" s="96">
        <v>0</v>
      </c>
      <c r="I75" s="97">
        <v>0</v>
      </c>
      <c r="J75" s="96"/>
      <c r="K75" s="96"/>
      <c r="L75" s="97"/>
      <c r="M75" s="96"/>
      <c r="N75" s="97" t="s">
        <v>59</v>
      </c>
      <c r="O75" s="96">
        <v>0</v>
      </c>
      <c r="P75" s="96">
        <v>0</v>
      </c>
      <c r="Q75" s="96"/>
      <c r="R75" s="96"/>
      <c r="S75" s="96"/>
      <c r="T75" s="96"/>
      <c r="U75" s="96"/>
      <c r="V75" s="96"/>
      <c r="W75" s="96">
        <v>0</v>
      </c>
      <c r="X75" s="96"/>
      <c r="Y75" s="96"/>
      <c r="Z75" s="96"/>
      <c r="AA75" s="96"/>
      <c r="AB75" s="96"/>
      <c r="AC75" s="96">
        <v>0</v>
      </c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96"/>
      <c r="BA75" s="96" t="s">
        <v>469</v>
      </c>
      <c r="BB75" s="92" t="s">
        <v>324</v>
      </c>
      <c r="BC75" s="98" t="s">
        <v>44</v>
      </c>
      <c r="BD75" s="98" t="s">
        <v>11</v>
      </c>
      <c r="BE75" s="38"/>
      <c r="BF75" s="38"/>
      <c r="BG75" s="38"/>
      <c r="BJ75" s="36"/>
      <c r="BK75" s="36"/>
      <c r="BL75" s="36"/>
      <c r="BM75" s="36"/>
      <c r="BN75" s="36"/>
    </row>
    <row r="76" spans="1:66" s="91" customFormat="1" ht="63" x14ac:dyDescent="0.25">
      <c r="A76" s="92" t="s">
        <v>190</v>
      </c>
      <c r="B76" s="92" t="s">
        <v>191</v>
      </c>
      <c r="C76" s="92" t="s">
        <v>482</v>
      </c>
      <c r="D76" s="92" t="s">
        <v>199</v>
      </c>
      <c r="E76" s="92" t="s">
        <v>233</v>
      </c>
      <c r="F76" s="96">
        <v>69015.5</v>
      </c>
      <c r="G76" s="96">
        <v>0</v>
      </c>
      <c r="H76" s="96">
        <v>19109.55</v>
      </c>
      <c r="I76" s="97">
        <v>0.27688780056653939</v>
      </c>
      <c r="J76" s="96"/>
      <c r="K76" s="96">
        <v>49905.95</v>
      </c>
      <c r="L76" s="97">
        <v>0.72311219943346061</v>
      </c>
      <c r="M76" s="96"/>
      <c r="N76" s="97" t="s">
        <v>59</v>
      </c>
      <c r="O76" s="96">
        <v>19109.55</v>
      </c>
      <c r="P76" s="96">
        <v>19109.55</v>
      </c>
      <c r="Q76" s="96">
        <v>19109.55</v>
      </c>
      <c r="R76" s="96"/>
      <c r="S76" s="96"/>
      <c r="T76" s="96"/>
      <c r="U76" s="96"/>
      <c r="V76" s="96"/>
      <c r="W76" s="96">
        <v>0</v>
      </c>
      <c r="X76" s="96"/>
      <c r="Y76" s="96"/>
      <c r="Z76" s="96"/>
      <c r="AA76" s="96"/>
      <c r="AB76" s="96"/>
      <c r="AC76" s="96">
        <v>0</v>
      </c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96"/>
      <c r="AV76" s="96"/>
      <c r="AW76" s="96"/>
      <c r="AX76" s="96"/>
      <c r="AY76" s="96"/>
      <c r="AZ76" s="96"/>
      <c r="BA76" s="92"/>
      <c r="BB76" s="92" t="s">
        <v>324</v>
      </c>
      <c r="BC76" s="98" t="s">
        <v>44</v>
      </c>
      <c r="BD76" s="98" t="s">
        <v>11</v>
      </c>
      <c r="BE76" s="95"/>
      <c r="BF76" s="95"/>
      <c r="BG76" s="95"/>
      <c r="BH76" s="95"/>
      <c r="BI76" s="95"/>
    </row>
    <row r="77" spans="1:66" s="91" customFormat="1" ht="63" x14ac:dyDescent="0.25">
      <c r="A77" s="92" t="s">
        <v>190</v>
      </c>
      <c r="B77" s="92" t="s">
        <v>191</v>
      </c>
      <c r="C77" s="92" t="s">
        <v>483</v>
      </c>
      <c r="D77" s="92" t="s">
        <v>217</v>
      </c>
      <c r="E77" s="92" t="s">
        <v>233</v>
      </c>
      <c r="F77" s="96">
        <v>57924.42697636511</v>
      </c>
      <c r="G77" s="96">
        <v>0</v>
      </c>
      <c r="H77" s="96">
        <v>13131.11</v>
      </c>
      <c r="I77" s="97">
        <v>0.22669382651567505</v>
      </c>
      <c r="J77" s="96"/>
      <c r="K77" s="96">
        <v>44793.316976365109</v>
      </c>
      <c r="L77" s="97">
        <v>0.77330617348432495</v>
      </c>
      <c r="M77" s="96"/>
      <c r="N77" s="97" t="s">
        <v>59</v>
      </c>
      <c r="O77" s="96">
        <v>13131.11</v>
      </c>
      <c r="P77" s="96">
        <v>13131.11</v>
      </c>
      <c r="Q77" s="96">
        <v>13131.11</v>
      </c>
      <c r="R77" s="96"/>
      <c r="S77" s="96"/>
      <c r="T77" s="96"/>
      <c r="U77" s="96"/>
      <c r="V77" s="96"/>
      <c r="W77" s="96">
        <v>0</v>
      </c>
      <c r="X77" s="96"/>
      <c r="Y77" s="96"/>
      <c r="Z77" s="96"/>
      <c r="AA77" s="96"/>
      <c r="AB77" s="96"/>
      <c r="AC77" s="96">
        <v>0</v>
      </c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96"/>
      <c r="AT77" s="96"/>
      <c r="AU77" s="96"/>
      <c r="AV77" s="96"/>
      <c r="AW77" s="96"/>
      <c r="AX77" s="96"/>
      <c r="AY77" s="96"/>
      <c r="AZ77" s="96"/>
      <c r="BA77" s="96"/>
      <c r="BB77" s="92" t="s">
        <v>324</v>
      </c>
      <c r="BC77" s="98" t="s">
        <v>44</v>
      </c>
      <c r="BD77" s="98" t="s">
        <v>11</v>
      </c>
      <c r="BE77" s="95"/>
      <c r="BF77" s="95"/>
      <c r="BG77" s="95"/>
      <c r="BH77" s="95"/>
      <c r="BI77" s="95"/>
    </row>
    <row r="78" spans="1:66" ht="131.25" customHeight="1" x14ac:dyDescent="0.25">
      <c r="A78" s="92" t="s">
        <v>179</v>
      </c>
      <c r="B78" s="92" t="s">
        <v>234</v>
      </c>
      <c r="C78" s="92" t="s">
        <v>466</v>
      </c>
      <c r="D78" s="92" t="s">
        <v>322</v>
      </c>
      <c r="E78" s="92" t="s">
        <v>323</v>
      </c>
      <c r="F78" s="96">
        <v>1149300</v>
      </c>
      <c r="G78" s="96">
        <v>940987</v>
      </c>
      <c r="H78" s="96">
        <v>315987</v>
      </c>
      <c r="I78" s="97">
        <v>0.27493865831375619</v>
      </c>
      <c r="J78" s="96">
        <v>60000</v>
      </c>
      <c r="K78" s="96">
        <v>773313</v>
      </c>
      <c r="L78" s="97">
        <v>0.67285565126598801</v>
      </c>
      <c r="M78" s="96">
        <v>168887</v>
      </c>
      <c r="N78" s="97" t="s">
        <v>327</v>
      </c>
      <c r="O78" s="96">
        <v>147100</v>
      </c>
      <c r="P78" s="96">
        <v>100000</v>
      </c>
      <c r="Q78" s="96"/>
      <c r="R78" s="96"/>
      <c r="S78" s="96"/>
      <c r="T78" s="96">
        <v>100000</v>
      </c>
      <c r="U78" s="96"/>
      <c r="V78" s="96"/>
      <c r="W78" s="96">
        <v>0</v>
      </c>
      <c r="X78" s="96"/>
      <c r="Y78" s="96"/>
      <c r="Z78" s="96"/>
      <c r="AA78" s="96"/>
      <c r="AB78" s="96"/>
      <c r="AC78" s="96">
        <v>0</v>
      </c>
      <c r="AD78" s="96"/>
      <c r="AE78" s="96"/>
      <c r="AF78" s="96"/>
      <c r="AG78" s="96"/>
      <c r="AH78" s="96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96"/>
      <c r="AT78" s="96"/>
      <c r="AU78" s="96"/>
      <c r="AV78" s="96"/>
      <c r="AW78" s="96"/>
      <c r="AX78" s="96"/>
      <c r="AY78" s="96"/>
      <c r="AZ78" s="96">
        <v>47100</v>
      </c>
      <c r="BA78" s="96" t="s">
        <v>467</v>
      </c>
      <c r="BB78" s="92" t="s">
        <v>324</v>
      </c>
      <c r="BC78" s="98" t="s">
        <v>49</v>
      </c>
      <c r="BD78" s="98" t="s">
        <v>22</v>
      </c>
      <c r="BE78" s="38"/>
      <c r="BF78" s="38"/>
      <c r="BG78" s="38"/>
      <c r="BJ78" s="36"/>
      <c r="BK78" s="36"/>
      <c r="BL78" s="36"/>
      <c r="BM78" s="36"/>
      <c r="BN78" s="36"/>
    </row>
    <row r="79" spans="1:66" s="91" customFormat="1" x14ac:dyDescent="0.25">
      <c r="A79" s="92" t="s">
        <v>190</v>
      </c>
      <c r="B79" s="92" t="s">
        <v>262</v>
      </c>
      <c r="C79" s="92" t="s">
        <v>465</v>
      </c>
      <c r="D79" s="92" t="s">
        <v>260</v>
      </c>
      <c r="E79" s="92" t="s">
        <v>261</v>
      </c>
      <c r="F79" s="96">
        <v>279947.51</v>
      </c>
      <c r="G79" s="96">
        <v>0</v>
      </c>
      <c r="H79" s="96">
        <v>10000</v>
      </c>
      <c r="I79" s="97">
        <v>3.5720982122684354E-2</v>
      </c>
      <c r="J79" s="96"/>
      <c r="K79" s="96">
        <v>269947.51</v>
      </c>
      <c r="L79" s="97">
        <v>0.96427901787731563</v>
      </c>
      <c r="M79" s="96"/>
      <c r="N79" s="97" t="s">
        <v>59</v>
      </c>
      <c r="O79" s="96">
        <v>10000</v>
      </c>
      <c r="P79" s="96">
        <v>10000</v>
      </c>
      <c r="Q79" s="96"/>
      <c r="R79" s="96"/>
      <c r="S79" s="96"/>
      <c r="T79" s="96">
        <v>10000</v>
      </c>
      <c r="U79" s="96"/>
      <c r="V79" s="96"/>
      <c r="W79" s="96">
        <v>0</v>
      </c>
      <c r="X79" s="96"/>
      <c r="Y79" s="96"/>
      <c r="Z79" s="96"/>
      <c r="AA79" s="96"/>
      <c r="AB79" s="96"/>
      <c r="AC79" s="96">
        <v>0</v>
      </c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  <c r="AV79" s="96"/>
      <c r="AW79" s="96"/>
      <c r="AX79" s="96"/>
      <c r="AY79" s="96"/>
      <c r="AZ79" s="96"/>
      <c r="BA79" s="96"/>
      <c r="BB79" s="92" t="s">
        <v>324</v>
      </c>
      <c r="BC79" s="98" t="s">
        <v>44</v>
      </c>
      <c r="BD79" s="98" t="s">
        <v>11</v>
      </c>
      <c r="BE79" s="95"/>
      <c r="BF79" s="95"/>
      <c r="BG79" s="95"/>
      <c r="BH79" s="95"/>
      <c r="BI79" s="95"/>
    </row>
    <row r="80" spans="1:66" x14ac:dyDescent="0.25">
      <c r="C80" s="36" t="s">
        <v>181</v>
      </c>
      <c r="D80" s="31"/>
      <c r="E80" s="31"/>
      <c r="F80" s="37">
        <f>SUMIF(Tableau_Lancer_la_requête_à_partir_de_Export_Bdossiers59615[Avis Cprog],"1-Favorable",Tableau_Lancer_la_requête_à_partir_de_Export_Bdossiers59615[Coût total Opération])</f>
        <v>0</v>
      </c>
      <c r="G80" s="37">
        <f>SUMIF(Tableau_Lancer_la_requête_à_partir_de_Export_Bdossiers59615[Avis Cprog],"1-Favorable",Tableau_Lancer_la_requête_à_partir_de_Export_Bdossiers59615[Coût total Eligible FEDER])</f>
        <v>0</v>
      </c>
      <c r="H80" s="37">
        <f>SUMIF(Tableau_Lancer_la_requête_à_partir_de_Export_Bdossiers59615[NumDpt],"1-Favorable",Tableau_Lancer_la_requête_à_partir_de_Export_Bdossiers59615[Part Publique])</f>
        <v>0</v>
      </c>
      <c r="J80" s="37">
        <f>SUMIF(Tableau_Lancer_la_requête_à_partir_de_Export_Bdossiers59615[Avis Cprog],"1-Favorable",Tableau_Lancer_la_requête_à_partir_de_Export_Bdossiers59615[Part privée])</f>
        <v>0</v>
      </c>
      <c r="K80" s="93">
        <f>SUMIF(Tableau_Lancer_la_requête_à_partir_de_Export_Bdossiers59615[Avis Cprog],"1-Favorable",Tableau_Lancer_la_requête_à_partir_de_Export_Bdossiers59615[Autofinancement])</f>
        <v>0</v>
      </c>
      <c r="M80" s="37">
        <f>SUMIF(Tableau_Lancer_la_requête_à_partir_de_Export_Bdossiers59615[Avis Cprog],"1-Favorable",Tableau_Lancer_la_requête_à_partir_de_Export_Bdossiers59615[UE])</f>
        <v>0</v>
      </c>
      <c r="O80" s="37">
        <f>SUMIF(Tableau_Lancer_la_requête_à_partir_de_Export_Bdossiers59615[Avis Cprog],"1-Favorable",Tableau_Lancer_la_requête_à_partir_de_Export_Bdossiers59615[DPN])</f>
        <v>0</v>
      </c>
      <c r="P80" s="37">
        <f>SUMIF(Tableau_Lancer_la_requête_à_partir_de_Export_Bdossiers59615[Avis Cprog],"1-Favorable",Tableau_Lancer_la_requête_à_partir_de_Export_Bdossiers59615[Total CR])</f>
        <v>0</v>
      </c>
      <c r="Q80" s="37">
        <f>SUMIF(Tableau_Lancer_la_requête_à_partir_de_Export_Bdossiers59615[Avis Cprog],"1-Favorable",Tableau_Lancer_la_requête_à_partir_de_Export_Bdossiers59615[Auvergne])</f>
        <v>0</v>
      </c>
      <c r="R80" s="37">
        <f>SUMIF(Tableau_Lancer_la_requête_à_partir_de_Export_Bdossiers59615[Avis Cprog],"1-Favorable",Tableau_Lancer_la_requête_à_partir_de_Export_Bdossiers59615[Bourgogne])</f>
        <v>0</v>
      </c>
      <c r="S80" s="37">
        <f>SUMIF(Tableau_Lancer_la_requête_à_partir_de_Export_Bdossiers59615[Avis Cprog],"1-Favorable",Tableau_Lancer_la_requête_à_partir_de_Export_Bdossiers59615[Languedoc-Roussillon])</f>
        <v>0</v>
      </c>
      <c r="T80" s="37">
        <f>SUMIF(Tableau_Lancer_la_requête_à_partir_de_Export_Bdossiers59615[Avis Cprog],"1-Favorable",Tableau_Lancer_la_requête_à_partir_de_Export_Bdossiers59615[Limousin])</f>
        <v>0</v>
      </c>
      <c r="U80" s="37">
        <f>SUMIF(Tableau_Lancer_la_requête_à_partir_de_Export_Bdossiers59615[Avis Cprog],"1-Favorable",Tableau_Lancer_la_requête_à_partir_de_Export_Bdossiers59615[Midi-Pyrénées])</f>
        <v>0</v>
      </c>
      <c r="V80" s="37">
        <f>SUMIF(Tableau_Lancer_la_requête_à_partir_de_Export_Bdossiers59615[Avis Cprog],"1-Favorable",Tableau_Lancer_la_requête_à_partir_de_Export_Bdossiers59615[Rhône-Alpes])</f>
        <v>0</v>
      </c>
      <c r="W80" s="37">
        <f>SUMIF(Tableau_Lancer_la_requête_à_partir_de_Export_Bdossiers59615[Avis Cprog],"1-Favorable",Tableau_Lancer_la_requête_à_partir_de_Export_Bdossiers59615[Total Etat])</f>
        <v>0</v>
      </c>
      <c r="X80" s="37">
        <f>SUMIF(Tableau_Lancer_la_requête_à_partir_de_Export_Bdossiers59615[Avis Cprog],"1-Favorable",Tableau_Lancer_la_requête_à_partir_de_Export_Bdossiers59615[FNADT])</f>
        <v>0</v>
      </c>
      <c r="Y80" s="37">
        <f>SUMIF(Tableau_Lancer_la_requête_à_partir_de_Export_Bdossiers59615[Avis Cprog],"1-Favorable",Tableau_Lancer_la_requête_à_partir_de_Export_Bdossiers59615[Environnement])</f>
        <v>0</v>
      </c>
      <c r="Z80" s="37">
        <f>SUMIF(Tableau_Lancer_la_requête_à_partir_de_Export_Bdossiers59615[Avis Cprog],"1-Favorable",Tableau_Lancer_la_requête_à_partir_de_Export_Bdossiers59615[Agriculture])</f>
        <v>0</v>
      </c>
      <c r="AA80" s="37">
        <f>SUMIF(Tableau_Lancer_la_requête_à_partir_de_Export_Bdossiers59615[Avis Cprog],"1-Favorable",Tableau_Lancer_la_requête_à_partir_de_Export_Bdossiers59615[Autre Etat 3])</f>
        <v>0</v>
      </c>
      <c r="AB80" s="37">
        <f>SUMIF(Tableau_Lancer_la_requête_à_partir_de_Export_Bdossiers59615[Avis Cprog],"1-Favorable",Tableau_Lancer_la_requête_à_partir_de_Export_Bdossiers59615[Autre Etat Divers])</f>
        <v>0</v>
      </c>
      <c r="AC80" s="37">
        <f>SUMIF(Tableau_Lancer_la_requête_à_partir_de_Export_Bdossiers59615[Avis Cprog],"1-Favorable",Tableau_Lancer_la_requête_à_partir_de_Export_Bdossiers59615[Total CG])</f>
        <v>0</v>
      </c>
      <c r="AD80" s="37">
        <f>SUMIF(Tableau_Lancer_la_requête_à_partir_de_Export_Bdossiers59615[Avis Cprog],"1-Favorable",Tableau_Lancer_la_requête_à_partir_de_Export_Bdossiers59615[UE])</f>
        <v>0</v>
      </c>
      <c r="AE80" s="37">
        <f>SUMIF(Tableau_Lancer_la_requête_à_partir_de_Export_Bdossiers59615[Avis Cprog],"1-Favorable",Tableau_Lancer_la_requête_à_partir_de_Export_Bdossiers59615[UE])</f>
        <v>0</v>
      </c>
      <c r="AF80" s="37">
        <f>SUMIF(Tableau_Lancer_la_requête_à_partir_de_Export_Bdossiers59615[Avis Cprog],"1-Favorable",Tableau_Lancer_la_requête_à_partir_de_Export_Bdossiers59615[UE])</f>
        <v>0</v>
      </c>
      <c r="AG80" s="37">
        <f>SUMIF(Tableau_Lancer_la_requête_à_partir_de_Export_Bdossiers59615[Avis Cprog],"1-Favorable",Tableau_Lancer_la_requête_à_partir_de_Export_Bdossiers59615[UE])</f>
        <v>0</v>
      </c>
      <c r="AH80" s="37">
        <f>SUMIF(Tableau_Lancer_la_requête_à_partir_de_Export_Bdossiers59615[Avis Cprog],"1-Favorable",Tableau_Lancer_la_requête_à_partir_de_Export_Bdossiers59615[UE])</f>
        <v>0</v>
      </c>
      <c r="AI80" s="37">
        <f>SUMIF(Tableau_Lancer_la_requête_à_partir_de_Export_Bdossiers59615[Avis Cprog],"1-Favorable",Tableau_Lancer_la_requête_à_partir_de_Export_Bdossiers59615[UE])</f>
        <v>0</v>
      </c>
      <c r="AJ80" s="37">
        <f>SUMIF(Tableau_Lancer_la_requête_à_partir_de_Export_Bdossiers59615[Avis Cprog],"1-Favorable",Tableau_Lancer_la_requête_à_partir_de_Export_Bdossiers59615[UE])</f>
        <v>0</v>
      </c>
      <c r="AK80" s="37">
        <f>SUMIF(Tableau_Lancer_la_requête_à_partir_de_Export_Bdossiers59615[Avis Cprog],"1-Favorable",Tableau_Lancer_la_requête_à_partir_de_Export_Bdossiers59615[UE])</f>
        <v>0</v>
      </c>
      <c r="AL80" s="37">
        <f>SUMIF(Tableau_Lancer_la_requête_à_partir_de_Export_Bdossiers59615[Avis Cprog],"1-Favorable",Tableau_Lancer_la_requête_à_partir_de_Export_Bdossiers59615[UE])</f>
        <v>0</v>
      </c>
      <c r="AM80" s="37">
        <f>SUMIF(Tableau_Lancer_la_requête_à_partir_de_Export_Bdossiers59615[Avis Cprog],"1-Favorable",Tableau_Lancer_la_requête_à_partir_de_Export_Bdossiers59615[UE])</f>
        <v>0</v>
      </c>
      <c r="AN80" s="37">
        <f>SUMIF(Tableau_Lancer_la_requête_à_partir_de_Export_Bdossiers59615[Avis Cprog],"1-Favorable",Tableau_Lancer_la_requête_à_partir_de_Export_Bdossiers59615[UE])</f>
        <v>0</v>
      </c>
      <c r="AO80" s="37">
        <f>SUMIF(Tableau_Lancer_la_requête_à_partir_de_Export_Bdossiers59615[Avis Cprog],"1-Favorable",Tableau_Lancer_la_requête_à_partir_de_Export_Bdossiers59615[UE])</f>
        <v>0</v>
      </c>
      <c r="AP80" s="37">
        <f>SUMIF(Tableau_Lancer_la_requête_à_partir_de_Export_Bdossiers59615[Avis Cprog],"1-Favorable",Tableau_Lancer_la_requête_à_partir_de_Export_Bdossiers59615[UE])</f>
        <v>0</v>
      </c>
      <c r="AQ80" s="37">
        <f>SUMIF(Tableau_Lancer_la_requête_à_partir_de_Export_Bdossiers59615[Avis Cprog],"1-Favorable",Tableau_Lancer_la_requête_à_partir_de_Export_Bdossiers59615[UE])</f>
        <v>0</v>
      </c>
      <c r="AR80" s="37">
        <f>SUMIF(Tableau_Lancer_la_requête_à_partir_de_Export_Bdossiers59615[Avis Cprog],"1-Favorable",Tableau_Lancer_la_requête_à_partir_de_Export_Bdossiers59615[UE])</f>
        <v>0</v>
      </c>
      <c r="AS80" s="37">
        <f>SUMIF(Tableau_Lancer_la_requête_à_partir_de_Export_Bdossiers59615[Avis Cprog],"1-Favorable",Tableau_Lancer_la_requête_à_partir_de_Export_Bdossiers59615[UE])</f>
        <v>0</v>
      </c>
      <c r="AT80" s="37">
        <f>SUMIF(Tableau_Lancer_la_requête_à_partir_de_Export_Bdossiers59615[Avis Cprog],"1-Favorable",Tableau_Lancer_la_requête_à_partir_de_Export_Bdossiers59615[UE])</f>
        <v>0</v>
      </c>
      <c r="AU80" s="37">
        <f>SUMIF(Tableau_Lancer_la_requête_à_partir_de_Export_Bdossiers59615[Avis Cprog],"1-Favorable",Tableau_Lancer_la_requête_à_partir_de_Export_Bdossiers59615[UE])</f>
        <v>0</v>
      </c>
      <c r="AV80" s="37">
        <f>SUMIF(Tableau_Lancer_la_requête_à_partir_de_Export_Bdossiers59615[Avis Cprog],"1-Favorable",Tableau_Lancer_la_requête_à_partir_de_Export_Bdossiers59615[UE])</f>
        <v>0</v>
      </c>
      <c r="AW80" s="37">
        <f>SUMIF(Tableau_Lancer_la_requête_à_partir_de_Export_Bdossiers59615[Avis Cprog],"1-Favorable",Tableau_Lancer_la_requête_à_partir_de_Export_Bdossiers59615[UE])</f>
        <v>0</v>
      </c>
      <c r="AX80" s="37">
        <f>SUMIF(Tableau_Lancer_la_requête_à_partir_de_Export_Bdossiers59615[Avis Cprog],"1-Favorable",Tableau_Lancer_la_requête_à_partir_de_Export_Bdossiers59615[UE])</f>
        <v>0</v>
      </c>
      <c r="AY80" s="37">
        <f>SUMIF(Tableau_Lancer_la_requête_à_partir_de_Export_Bdossiers59615[Avis Cprog],"1-Favorable",Tableau_Lancer_la_requête_à_partir_de_Export_Bdossiers59615[UE])</f>
        <v>0</v>
      </c>
      <c r="AZ80" s="37">
        <f>SUMIF(Tableau_Lancer_la_requête_à_partir_de_Export_Bdossiers59615[Avis Cprog],"1-Favorable",Tableau_Lancer_la_requête_à_partir_de_Export_Bdossiers59615[UE])</f>
        <v>0</v>
      </c>
      <c r="BA80" s="75"/>
      <c r="BC80" s="38"/>
      <c r="BD80" s="38"/>
      <c r="BE80" s="38"/>
      <c r="BF80" s="38"/>
      <c r="BG80" s="38"/>
      <c r="BJ80" s="36"/>
      <c r="BK80" s="36"/>
      <c r="BL80" s="36"/>
      <c r="BM80" s="36"/>
      <c r="BN80" s="36"/>
    </row>
    <row r="81" spans="1:66" x14ac:dyDescent="0.25">
      <c r="A81" s="45"/>
      <c r="B81" s="45"/>
      <c r="C81" s="45"/>
      <c r="D81" s="46"/>
      <c r="E81" s="46"/>
      <c r="F81" s="47"/>
      <c r="G81" s="47"/>
      <c r="H81" s="47"/>
      <c r="I81" s="48"/>
      <c r="J81" s="47"/>
      <c r="K81" s="117"/>
      <c r="L81" s="48"/>
      <c r="M81" s="47"/>
      <c r="N81" s="48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5"/>
      <c r="BB81" s="49"/>
      <c r="BC81" s="49"/>
      <c r="BD81" s="49"/>
      <c r="BE81" s="38"/>
      <c r="BF81" s="38"/>
      <c r="BG81" s="38"/>
      <c r="BJ81" s="36"/>
      <c r="BK81" s="36"/>
      <c r="BL81" s="36"/>
      <c r="BM81" s="36"/>
      <c r="BN81" s="36"/>
    </row>
    <row r="82" spans="1:66" x14ac:dyDescent="0.25">
      <c r="A82" s="31"/>
      <c r="B82" s="31"/>
      <c r="C82" s="31"/>
      <c r="D82" s="31"/>
      <c r="E82" s="31"/>
      <c r="F82" s="34"/>
      <c r="G82" s="34"/>
      <c r="H82" s="33"/>
      <c r="I82" s="43"/>
      <c r="J82" s="33"/>
      <c r="K82" s="96"/>
      <c r="L82" s="43"/>
      <c r="M82" s="34"/>
      <c r="N82" s="43"/>
      <c r="O82" s="34"/>
      <c r="P82" s="34"/>
      <c r="Q82" s="32"/>
      <c r="R82" s="34"/>
      <c r="S82" s="41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8"/>
      <c r="BF82" s="70"/>
      <c r="BG82" s="38"/>
      <c r="BJ82" s="36"/>
      <c r="BK82" s="36"/>
      <c r="BL82" s="36"/>
      <c r="BM82" s="36"/>
      <c r="BN82" s="36"/>
    </row>
    <row r="83" spans="1:66" x14ac:dyDescent="0.25">
      <c r="A83" s="146" t="s">
        <v>283</v>
      </c>
      <c r="B83" s="146"/>
      <c r="C83" s="146"/>
      <c r="BE83" s="38"/>
      <c r="BF83" s="37"/>
      <c r="BG83" s="38"/>
      <c r="BJ83" s="36"/>
      <c r="BK83" s="36"/>
      <c r="BL83" s="36"/>
      <c r="BM83" s="36"/>
      <c r="BN83" s="36"/>
    </row>
    <row r="84" spans="1:66" ht="31.5" x14ac:dyDescent="0.25">
      <c r="A84" s="32" t="s">
        <v>178</v>
      </c>
      <c r="B84" s="32" t="s">
        <v>180</v>
      </c>
      <c r="C84" s="32" t="s">
        <v>0</v>
      </c>
      <c r="D84" s="32" t="s">
        <v>1</v>
      </c>
      <c r="E84" s="32" t="s">
        <v>2</v>
      </c>
      <c r="F84" s="32" t="s">
        <v>13</v>
      </c>
      <c r="G84" s="32" t="s">
        <v>14</v>
      </c>
      <c r="H84" s="32" t="s">
        <v>15</v>
      </c>
      <c r="I84" s="33" t="s">
        <v>16</v>
      </c>
      <c r="J84" s="32" t="s">
        <v>8</v>
      </c>
      <c r="K84" s="98" t="s">
        <v>17</v>
      </c>
      <c r="L84" s="33" t="s">
        <v>18</v>
      </c>
      <c r="M84" s="32" t="s">
        <v>3</v>
      </c>
      <c r="N84" s="33" t="s">
        <v>19</v>
      </c>
      <c r="O84" s="32" t="s">
        <v>20</v>
      </c>
      <c r="P84" s="32" t="s">
        <v>4</v>
      </c>
      <c r="Q84" s="32" t="s">
        <v>11</v>
      </c>
      <c r="R84" s="32" t="s">
        <v>21</v>
      </c>
      <c r="S84" s="32" t="s">
        <v>12</v>
      </c>
      <c r="T84" s="32" t="s">
        <v>22</v>
      </c>
      <c r="U84" s="32" t="s">
        <v>23</v>
      </c>
      <c r="V84" s="32" t="s">
        <v>10</v>
      </c>
      <c r="W84" s="32" t="s">
        <v>5</v>
      </c>
      <c r="X84" s="32" t="s">
        <v>24</v>
      </c>
      <c r="Y84" s="32" t="s">
        <v>25</v>
      </c>
      <c r="Z84" s="32" t="s">
        <v>26</v>
      </c>
      <c r="AA84" s="32" t="s">
        <v>27</v>
      </c>
      <c r="AB84" s="32" t="s">
        <v>28</v>
      </c>
      <c r="AC84" s="32" t="s">
        <v>6</v>
      </c>
      <c r="AD84" s="32" t="s">
        <v>29</v>
      </c>
      <c r="AE84" s="32" t="s">
        <v>30</v>
      </c>
      <c r="AF84" s="32" t="s">
        <v>31</v>
      </c>
      <c r="AG84" s="32" t="s">
        <v>32</v>
      </c>
      <c r="AH84" s="32" t="s">
        <v>33</v>
      </c>
      <c r="AI84" s="32" t="s">
        <v>34</v>
      </c>
      <c r="AJ84" s="32" t="s">
        <v>35</v>
      </c>
      <c r="AK84" s="32" t="s">
        <v>36</v>
      </c>
      <c r="AL84" s="32" t="s">
        <v>37</v>
      </c>
      <c r="AM84" s="32" t="s">
        <v>38</v>
      </c>
      <c r="AN84" s="32" t="s">
        <v>39</v>
      </c>
      <c r="AO84" s="32" t="s">
        <v>40</v>
      </c>
      <c r="AP84" s="32" t="s">
        <v>41</v>
      </c>
      <c r="AQ84" s="32" t="s">
        <v>42</v>
      </c>
      <c r="AR84" s="32" t="s">
        <v>43</v>
      </c>
      <c r="AS84" s="32" t="s">
        <v>44</v>
      </c>
      <c r="AT84" s="32" t="s">
        <v>45</v>
      </c>
      <c r="AU84" s="32" t="s">
        <v>46</v>
      </c>
      <c r="AV84" s="32" t="s">
        <v>47</v>
      </c>
      <c r="AW84" s="32" t="s">
        <v>48</v>
      </c>
      <c r="AX84" s="32" t="s">
        <v>49</v>
      </c>
      <c r="AY84" s="32" t="s">
        <v>50</v>
      </c>
      <c r="AZ84" s="32" t="s">
        <v>7</v>
      </c>
      <c r="BA84" s="32" t="s">
        <v>326</v>
      </c>
      <c r="BB84" s="32" t="s">
        <v>51</v>
      </c>
      <c r="BC84" s="32" t="s">
        <v>52</v>
      </c>
      <c r="BD84" s="32" t="s">
        <v>9</v>
      </c>
      <c r="BE84" s="38"/>
    </row>
    <row r="85" spans="1:66" s="32" customFormat="1" ht="94.5" x14ac:dyDescent="0.25">
      <c r="A85" s="36" t="s">
        <v>179</v>
      </c>
      <c r="B85" s="36" t="s">
        <v>234</v>
      </c>
      <c r="C85" s="36" t="s">
        <v>484</v>
      </c>
      <c r="D85" s="31" t="s">
        <v>313</v>
      </c>
      <c r="E85" s="31" t="s">
        <v>314</v>
      </c>
      <c r="F85" s="37">
        <v>54895.03</v>
      </c>
      <c r="G85" s="37">
        <v>0</v>
      </c>
      <c r="H85" s="37">
        <v>0</v>
      </c>
      <c r="I85" s="44">
        <v>0</v>
      </c>
      <c r="J85" s="37"/>
      <c r="K85" s="93"/>
      <c r="L85" s="44"/>
      <c r="M85" s="37"/>
      <c r="N85" s="44" t="s">
        <v>59</v>
      </c>
      <c r="O85" s="37">
        <v>0</v>
      </c>
      <c r="P85" s="37">
        <v>0</v>
      </c>
      <c r="Q85" s="37"/>
      <c r="R85" s="37"/>
      <c r="S85" s="37"/>
      <c r="T85" s="37"/>
      <c r="U85" s="37"/>
      <c r="V85" s="37"/>
      <c r="W85" s="37">
        <v>0</v>
      </c>
      <c r="X85" s="37"/>
      <c r="Y85" s="37"/>
      <c r="Z85" s="37"/>
      <c r="AA85" s="37"/>
      <c r="AB85" s="37"/>
      <c r="AC85" s="37">
        <v>0</v>
      </c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1" t="s">
        <v>485</v>
      </c>
      <c r="BB85" s="36" t="s">
        <v>114</v>
      </c>
      <c r="BC85" s="38" t="s">
        <v>49</v>
      </c>
      <c r="BD85" s="38" t="s">
        <v>22</v>
      </c>
      <c r="BE85" s="38"/>
      <c r="BF85" s="36"/>
      <c r="BG85" s="36"/>
      <c r="BH85" s="38"/>
      <c r="BI85" s="38"/>
      <c r="BJ85" s="38"/>
    </row>
    <row r="86" spans="1:66" x14ac:dyDescent="0.25">
      <c r="C86" s="36" t="s">
        <v>181</v>
      </c>
      <c r="D86" s="31"/>
      <c r="E86" s="31"/>
      <c r="F86" s="37">
        <f>SUBTOTAL(109,Tableau_Lancer_la_requête_à_partir_de_Export_Bdossiers596151617[Coût total Opération])</f>
        <v>54895.03</v>
      </c>
      <c r="G86" s="37">
        <f>SUBTOTAL(109,Tableau_Lancer_la_requête_à_partir_de_Export_Bdossiers596151617[Coût total Eligible FEDER])</f>
        <v>0</v>
      </c>
      <c r="H86" s="37">
        <f>SUBTOTAL(109,Tableau_Lancer_la_requête_à_partir_de_Export_Bdossiers596151617[Part Publique])</f>
        <v>0</v>
      </c>
      <c r="I86" s="37"/>
      <c r="J86" s="37">
        <f>SUBTOTAL(109,Tableau_Lancer_la_requête_à_partir_de_Export_Bdossiers596151617[Part privée])</f>
        <v>0</v>
      </c>
      <c r="K86" s="93">
        <f>SUBTOTAL(109,Tableau_Lancer_la_requête_à_partir_de_Export_Bdossiers596151617[Autofinancement])</f>
        <v>0</v>
      </c>
      <c r="L86" s="37"/>
      <c r="M86" s="37">
        <f>SUBTOTAL(109,Tableau_Lancer_la_requête_à_partir_de_Export_Bdossiers596151617[UE])</f>
        <v>0</v>
      </c>
      <c r="N86" s="37"/>
      <c r="O86" s="37">
        <f>SUBTOTAL(109,Tableau_Lancer_la_requête_à_partir_de_Export_Bdossiers596151617[DPN])</f>
        <v>0</v>
      </c>
      <c r="P86" s="37">
        <f>SUBTOTAL(109,Tableau_Lancer_la_requête_à_partir_de_Export_Bdossiers596151617[Total CR])</f>
        <v>0</v>
      </c>
      <c r="Q86" s="37">
        <f>SUBTOTAL(109,Tableau_Lancer_la_requête_à_partir_de_Export_Bdossiers596151617[Auvergne])</f>
        <v>0</v>
      </c>
      <c r="R86" s="37">
        <f>SUBTOTAL(109,Tableau_Lancer_la_requête_à_partir_de_Export_Bdossiers596151617[Bourgogne])</f>
        <v>0</v>
      </c>
      <c r="S86" s="37">
        <f>SUBTOTAL(109,Tableau_Lancer_la_requête_à_partir_de_Export_Bdossiers596151617[Languedoc-Roussillon])</f>
        <v>0</v>
      </c>
      <c r="T86" s="37">
        <f>SUBTOTAL(109,Tableau_Lancer_la_requête_à_partir_de_Export_Bdossiers596151617[Limousin])</f>
        <v>0</v>
      </c>
      <c r="U86" s="37">
        <f>SUBTOTAL(109,Tableau_Lancer_la_requête_à_partir_de_Export_Bdossiers596151617[Midi-Pyrénées])</f>
        <v>0</v>
      </c>
      <c r="V86" s="37">
        <f>SUBTOTAL(109,Tableau_Lancer_la_requête_à_partir_de_Export_Bdossiers596151617[Rhône-Alpes])</f>
        <v>0</v>
      </c>
      <c r="W86" s="37">
        <f>SUBTOTAL(109,Tableau_Lancer_la_requête_à_partir_de_Export_Bdossiers596151617[Total Etat])</f>
        <v>0</v>
      </c>
      <c r="X86" s="37">
        <f>SUBTOTAL(109,Tableau_Lancer_la_requête_à_partir_de_Export_Bdossiers596151617[FNADT])</f>
        <v>0</v>
      </c>
      <c r="Y86" s="37">
        <f>SUBTOTAL(109,Tableau_Lancer_la_requête_à_partir_de_Export_Bdossiers596151617[Environnement])</f>
        <v>0</v>
      </c>
      <c r="Z86" s="37">
        <f>SUBTOTAL(109,Tableau_Lancer_la_requête_à_partir_de_Export_Bdossiers596151617[Agriculture])</f>
        <v>0</v>
      </c>
      <c r="AA86" s="37">
        <f>SUBTOTAL(109,Tableau_Lancer_la_requête_à_partir_de_Export_Bdossiers596151617[Autre Etat 3])</f>
        <v>0</v>
      </c>
      <c r="AB86" s="37">
        <f>SUBTOTAL(109,Tableau_Lancer_la_requête_à_partir_de_Export_Bdossiers596151617[Autre Etat Divers])</f>
        <v>0</v>
      </c>
      <c r="AC86" s="37">
        <f>SUBTOTAL(109,Tableau_Lancer_la_requête_à_partir_de_Export_Bdossiers596151617[Total CG])</f>
        <v>0</v>
      </c>
      <c r="AD86" s="37">
        <f>SUBTOTAL(109,Tableau_Lancer_la_requête_à_partir_de_Export_Bdossiers596151617[03])</f>
        <v>0</v>
      </c>
      <c r="AE86" s="37">
        <f>SUBTOTAL(109,Tableau_Lancer_la_requête_à_partir_de_Export_Bdossiers596151617[07])</f>
        <v>0</v>
      </c>
      <c r="AF86" s="37">
        <f>SUBTOTAL(109,Tableau_Lancer_la_requête_à_partir_de_Export_Bdossiers596151617[11])</f>
        <v>0</v>
      </c>
      <c r="AG86" s="37">
        <f>SUBTOTAL(109,Tableau_Lancer_la_requête_à_partir_de_Export_Bdossiers596151617[12])</f>
        <v>0</v>
      </c>
      <c r="AH86" s="37">
        <f>SUBTOTAL(109,Tableau_Lancer_la_requête_à_partir_de_Export_Bdossiers596151617[15])</f>
        <v>0</v>
      </c>
      <c r="AI86" s="37">
        <f>SUBTOTAL(109,Tableau_Lancer_la_requête_à_partir_de_Export_Bdossiers596151617[19])</f>
        <v>0</v>
      </c>
      <c r="AJ86" s="37">
        <f>SUBTOTAL(109,Tableau_Lancer_la_requête_à_partir_de_Export_Bdossiers596151617[21])</f>
        <v>0</v>
      </c>
      <c r="AK86" s="37">
        <f>SUBTOTAL(109,Tableau_Lancer_la_requête_à_partir_de_Export_Bdossiers596151617[23])</f>
        <v>0</v>
      </c>
      <c r="AL86" s="37">
        <f>SUBTOTAL(109,Tableau_Lancer_la_requête_à_partir_de_Export_Bdossiers596151617[30])</f>
        <v>0</v>
      </c>
      <c r="AM86" s="37">
        <f>SUBTOTAL(109,Tableau_Lancer_la_requête_à_partir_de_Export_Bdossiers596151617[34])</f>
        <v>0</v>
      </c>
      <c r="AN86" s="37">
        <f>SUBTOTAL(109,Tableau_Lancer_la_requête_à_partir_de_Export_Bdossiers596151617[42])</f>
        <v>0</v>
      </c>
      <c r="AO86" s="37">
        <f>SUBTOTAL(109,Tableau_Lancer_la_requête_à_partir_de_Export_Bdossiers596151617[43])</f>
        <v>0</v>
      </c>
      <c r="AP86" s="37">
        <f>SUBTOTAL(109,Tableau_Lancer_la_requête_à_partir_de_Export_Bdossiers596151617[46])</f>
        <v>0</v>
      </c>
      <c r="AQ86" s="37">
        <f>SUBTOTAL(109,Tableau_Lancer_la_requête_à_partir_de_Export_Bdossiers596151617[48])</f>
        <v>0</v>
      </c>
      <c r="AR86" s="37">
        <f>SUBTOTAL(109,Tableau_Lancer_la_requête_à_partir_de_Export_Bdossiers596151617[58])</f>
        <v>0</v>
      </c>
      <c r="AS86" s="37">
        <f>SUBTOTAL(109,Tableau_Lancer_la_requête_à_partir_de_Export_Bdossiers596151617[63])</f>
        <v>0</v>
      </c>
      <c r="AT86" s="37">
        <f>SUBTOTAL(109,Tableau_Lancer_la_requête_à_partir_de_Export_Bdossiers596151617[69])</f>
        <v>0</v>
      </c>
      <c r="AU86" s="37">
        <f>SUBTOTAL(109,Tableau_Lancer_la_requête_à_partir_de_Export_Bdossiers596151617[71])</f>
        <v>0</v>
      </c>
      <c r="AV86" s="37">
        <f>SUBTOTAL(109,Tableau_Lancer_la_requête_à_partir_de_Export_Bdossiers596151617[81])</f>
        <v>0</v>
      </c>
      <c r="AW86" s="37">
        <f>SUBTOTAL(109,Tableau_Lancer_la_requête_à_partir_de_Export_Bdossiers596151617[82])</f>
        <v>0</v>
      </c>
      <c r="AX86" s="37">
        <f>SUBTOTAL(109,Tableau_Lancer_la_requête_à_partir_de_Export_Bdossiers596151617[87])</f>
        <v>0</v>
      </c>
      <c r="AY86" s="37">
        <f>SUBTOTAL(109,Tableau_Lancer_la_requête_à_partir_de_Export_Bdossiers596151617[89])</f>
        <v>0</v>
      </c>
      <c r="AZ86" s="37">
        <f>SUBTOTAL(109,Tableau_Lancer_la_requête_à_partir_de_Export_Bdossiers596151617[Autre Public])</f>
        <v>0</v>
      </c>
      <c r="BA86" s="75"/>
      <c r="BC86" s="38"/>
      <c r="BD86" s="38"/>
      <c r="BE86" s="38"/>
      <c r="BF86" s="32"/>
      <c r="BK86" s="36"/>
      <c r="BL86" s="36"/>
      <c r="BM86" s="36"/>
      <c r="BN86" s="36"/>
    </row>
    <row r="87" spans="1:66" x14ac:dyDescent="0.25">
      <c r="D87" s="31"/>
      <c r="E87" s="31"/>
      <c r="F87" s="37"/>
      <c r="G87" s="37"/>
      <c r="H87" s="37"/>
      <c r="I87" s="37"/>
      <c r="J87" s="37"/>
      <c r="K87" s="93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75"/>
      <c r="BC87" s="38"/>
      <c r="BD87" s="38"/>
      <c r="BE87" s="38"/>
      <c r="BF87" s="32"/>
      <c r="BG87" s="38"/>
      <c r="BJ87" s="36"/>
      <c r="BK87" s="36"/>
      <c r="BL87" s="36"/>
      <c r="BM87" s="36"/>
      <c r="BN87" s="36"/>
    </row>
    <row r="88" spans="1:66" x14ac:dyDescent="0.25">
      <c r="D88" s="31"/>
      <c r="E88" s="31"/>
      <c r="F88" s="37"/>
      <c r="G88" s="37"/>
      <c r="H88" s="37"/>
      <c r="I88" s="37"/>
      <c r="J88" s="37"/>
      <c r="K88" s="93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B88" s="38"/>
      <c r="BC88" s="38"/>
      <c r="BD88" s="38"/>
      <c r="BE88" s="38"/>
      <c r="BF88" s="71"/>
      <c r="BG88" s="38"/>
      <c r="BJ88" s="36"/>
      <c r="BK88" s="36"/>
      <c r="BL88" s="36"/>
      <c r="BM88" s="36"/>
      <c r="BN88" s="36"/>
    </row>
    <row r="89" spans="1:66" hidden="1" x14ac:dyDescent="0.25">
      <c r="A89" s="146" t="s">
        <v>330</v>
      </c>
      <c r="B89" s="146"/>
      <c r="C89" s="146"/>
      <c r="BE89" s="38"/>
      <c r="BG89" s="38"/>
      <c r="BJ89" s="36"/>
      <c r="BK89" s="36"/>
      <c r="BL89" s="36"/>
      <c r="BM89" s="36"/>
      <c r="BN89" s="36"/>
    </row>
    <row r="90" spans="1:66" ht="31.5" hidden="1" x14ac:dyDescent="0.25">
      <c r="A90" s="32" t="s">
        <v>178</v>
      </c>
      <c r="B90" s="32" t="s">
        <v>180</v>
      </c>
      <c r="C90" s="32" t="s">
        <v>0</v>
      </c>
      <c r="D90" s="32" t="s">
        <v>1</v>
      </c>
      <c r="E90" s="32" t="s">
        <v>2</v>
      </c>
      <c r="F90" s="32" t="s">
        <v>13</v>
      </c>
      <c r="G90" s="32" t="s">
        <v>14</v>
      </c>
      <c r="H90" s="32" t="s">
        <v>15</v>
      </c>
      <c r="I90" s="33" t="s">
        <v>16</v>
      </c>
      <c r="J90" s="32" t="s">
        <v>8</v>
      </c>
      <c r="K90" s="98" t="s">
        <v>17</v>
      </c>
      <c r="L90" s="33" t="s">
        <v>18</v>
      </c>
      <c r="M90" s="32" t="s">
        <v>3</v>
      </c>
      <c r="N90" s="33" t="s">
        <v>19</v>
      </c>
      <c r="O90" s="32" t="s">
        <v>20</v>
      </c>
      <c r="P90" s="32" t="s">
        <v>4</v>
      </c>
      <c r="Q90" s="32" t="s">
        <v>11</v>
      </c>
      <c r="R90" s="32" t="s">
        <v>21</v>
      </c>
      <c r="S90" s="32" t="s">
        <v>12</v>
      </c>
      <c r="T90" s="32" t="s">
        <v>22</v>
      </c>
      <c r="U90" s="32" t="s">
        <v>23</v>
      </c>
      <c r="V90" s="32" t="s">
        <v>10</v>
      </c>
      <c r="W90" s="32" t="s">
        <v>5</v>
      </c>
      <c r="X90" s="32" t="s">
        <v>24</v>
      </c>
      <c r="Y90" s="32" t="s">
        <v>25</v>
      </c>
      <c r="Z90" s="32" t="s">
        <v>26</v>
      </c>
      <c r="AA90" s="32" t="s">
        <v>27</v>
      </c>
      <c r="AB90" s="32" t="s">
        <v>28</v>
      </c>
      <c r="AC90" s="32" t="s">
        <v>6</v>
      </c>
      <c r="AD90" s="32" t="s">
        <v>29</v>
      </c>
      <c r="AE90" s="32" t="s">
        <v>30</v>
      </c>
      <c r="AF90" s="32" t="s">
        <v>31</v>
      </c>
      <c r="AG90" s="32" t="s">
        <v>32</v>
      </c>
      <c r="AH90" s="32" t="s">
        <v>33</v>
      </c>
      <c r="AI90" s="32" t="s">
        <v>34</v>
      </c>
      <c r="AJ90" s="32" t="s">
        <v>35</v>
      </c>
      <c r="AK90" s="32" t="s">
        <v>36</v>
      </c>
      <c r="AL90" s="32" t="s">
        <v>37</v>
      </c>
      <c r="AM90" s="32" t="s">
        <v>38</v>
      </c>
      <c r="AN90" s="32" t="s">
        <v>39</v>
      </c>
      <c r="AO90" s="32" t="s">
        <v>40</v>
      </c>
      <c r="AP90" s="32" t="s">
        <v>41</v>
      </c>
      <c r="AQ90" s="32" t="s">
        <v>42</v>
      </c>
      <c r="AR90" s="32" t="s">
        <v>43</v>
      </c>
      <c r="AS90" s="32" t="s">
        <v>44</v>
      </c>
      <c r="AT90" s="32" t="s">
        <v>45</v>
      </c>
      <c r="AU90" s="32" t="s">
        <v>46</v>
      </c>
      <c r="AV90" s="32" t="s">
        <v>47</v>
      </c>
      <c r="AW90" s="32" t="s">
        <v>48</v>
      </c>
      <c r="AX90" s="32" t="s">
        <v>49</v>
      </c>
      <c r="AY90" s="32" t="s">
        <v>50</v>
      </c>
      <c r="AZ90" s="32" t="s">
        <v>7</v>
      </c>
      <c r="BA90" s="32" t="s">
        <v>326</v>
      </c>
      <c r="BB90" s="32" t="s">
        <v>51</v>
      </c>
      <c r="BC90" s="32" t="s">
        <v>52</v>
      </c>
      <c r="BD90" s="32" t="s">
        <v>9</v>
      </c>
      <c r="BE90" s="38"/>
      <c r="BG90" s="38"/>
      <c r="BJ90" s="36"/>
      <c r="BK90" s="36"/>
      <c r="BL90" s="36"/>
      <c r="BM90" s="36"/>
      <c r="BN90" s="36"/>
    </row>
    <row r="91" spans="1:66" hidden="1" x14ac:dyDescent="0.25">
      <c r="D91" s="31"/>
      <c r="E91" s="31"/>
      <c r="F91" s="37"/>
      <c r="G91" s="37"/>
      <c r="H91" s="37"/>
      <c r="I91" s="44"/>
      <c r="J91" s="37"/>
      <c r="K91" s="93"/>
      <c r="L91" s="44"/>
      <c r="M91" s="37"/>
      <c r="N91" s="44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C91" s="38"/>
      <c r="BD91" s="38"/>
      <c r="BE91" s="38"/>
      <c r="BG91" s="38"/>
      <c r="BJ91" s="36"/>
      <c r="BK91" s="36"/>
      <c r="BL91" s="36"/>
      <c r="BM91" s="36"/>
      <c r="BN91" s="36"/>
    </row>
    <row r="92" spans="1:66" hidden="1" x14ac:dyDescent="0.25">
      <c r="A92" s="78"/>
      <c r="B92" s="78"/>
      <c r="C92" s="78" t="s">
        <v>181</v>
      </c>
      <c r="D92" s="79"/>
      <c r="E92" s="79"/>
      <c r="F92" s="80">
        <f>SUBTOTAL(109,Tableau_Lancer_la_requête_à_partir_de_Export_Bdossiers59614[Coût total Opération])</f>
        <v>0</v>
      </c>
      <c r="G92" s="80">
        <f>SUBTOTAL(109,Tableau_Lancer_la_requête_à_partir_de_Export_Bdossiers59614[Coût total Eligible FEDER])</f>
        <v>0</v>
      </c>
      <c r="H92" s="80">
        <f>SUBTOTAL(109,Tableau_Lancer_la_requête_à_partir_de_Export_Bdossiers59614[Part Publique])</f>
        <v>0</v>
      </c>
      <c r="I92" s="81"/>
      <c r="J92" s="80">
        <f>SUBTOTAL(109,Tableau_Lancer_la_requête_à_partir_de_Export_Bdossiers59614[Part privée])</f>
        <v>0</v>
      </c>
      <c r="K92" s="88">
        <f>SUBTOTAL(109,Tableau_Lancer_la_requête_à_partir_de_Export_Bdossiers59614[Autofinancement])</f>
        <v>0</v>
      </c>
      <c r="L92" s="81"/>
      <c r="M92" s="80">
        <f>SUBTOTAL(109,Tableau_Lancer_la_requête_à_partir_de_Export_Bdossiers59614[UE])</f>
        <v>0</v>
      </c>
      <c r="N92" s="81"/>
      <c r="O92" s="80">
        <f>SUBTOTAL(109,Tableau_Lancer_la_requête_à_partir_de_Export_Bdossiers59614[DPN])</f>
        <v>0</v>
      </c>
      <c r="P92" s="80">
        <f>SUBTOTAL(109,Tableau_Lancer_la_requête_à_partir_de_Export_Bdossiers59614[Total CR])</f>
        <v>0</v>
      </c>
      <c r="Q92" s="80">
        <f>SUBTOTAL(109,Tableau_Lancer_la_requête_à_partir_de_Export_Bdossiers59614[Auvergne])</f>
        <v>0</v>
      </c>
      <c r="R92" s="80">
        <f>SUBTOTAL(109,Tableau_Lancer_la_requête_à_partir_de_Export_Bdossiers59614[Bourgogne])</f>
        <v>0</v>
      </c>
      <c r="S92" s="80">
        <f>SUBTOTAL(109,Tableau_Lancer_la_requête_à_partir_de_Export_Bdossiers59614[Languedoc-Roussillon])</f>
        <v>0</v>
      </c>
      <c r="T92" s="80">
        <f>SUBTOTAL(109,Tableau_Lancer_la_requête_à_partir_de_Export_Bdossiers59614[Limousin])</f>
        <v>0</v>
      </c>
      <c r="U92" s="80">
        <f>SUBTOTAL(109,Tableau_Lancer_la_requête_à_partir_de_Export_Bdossiers59614[Midi-Pyrénées])</f>
        <v>0</v>
      </c>
      <c r="V92" s="80">
        <f>SUBTOTAL(109,Tableau_Lancer_la_requête_à_partir_de_Export_Bdossiers59614[Rhône-Alpes])</f>
        <v>0</v>
      </c>
      <c r="W92" s="80">
        <f>SUBTOTAL(109,Tableau_Lancer_la_requête_à_partir_de_Export_Bdossiers59614[Total Etat])</f>
        <v>0</v>
      </c>
      <c r="X92" s="80">
        <f>SUBTOTAL(109,Tableau_Lancer_la_requête_à_partir_de_Export_Bdossiers59614[FNADT])</f>
        <v>0</v>
      </c>
      <c r="Y92" s="80">
        <f>SUBTOTAL(109,Tableau_Lancer_la_requête_à_partir_de_Export_Bdossiers59614[Environnement])</f>
        <v>0</v>
      </c>
      <c r="Z92" s="80">
        <f>SUBTOTAL(109,Tableau_Lancer_la_requête_à_partir_de_Export_Bdossiers59614[Agriculture])</f>
        <v>0</v>
      </c>
      <c r="AA92" s="80">
        <f>SUBTOTAL(109,Tableau_Lancer_la_requête_à_partir_de_Export_Bdossiers59614[Autre Etat 3])</f>
        <v>0</v>
      </c>
      <c r="AB92" s="80">
        <f>SUBTOTAL(109,Tableau_Lancer_la_requête_à_partir_de_Export_Bdossiers59614[Autre Etat Divers])</f>
        <v>0</v>
      </c>
      <c r="AC92" s="80">
        <f>SUBTOTAL(109,Tableau_Lancer_la_requête_à_partir_de_Export_Bdossiers59614[Total CG])</f>
        <v>0</v>
      </c>
      <c r="AD92" s="80">
        <f>SUBTOTAL(109,Tableau_Lancer_la_requête_à_partir_de_Export_Bdossiers59614[03])</f>
        <v>0</v>
      </c>
      <c r="AE92" s="80">
        <f>SUBTOTAL(109,Tableau_Lancer_la_requête_à_partir_de_Export_Bdossiers59614[07])</f>
        <v>0</v>
      </c>
      <c r="AF92" s="80">
        <f>SUBTOTAL(109,Tableau_Lancer_la_requête_à_partir_de_Export_Bdossiers59614[11])</f>
        <v>0</v>
      </c>
      <c r="AG92" s="80">
        <f>SUBTOTAL(109,Tableau_Lancer_la_requête_à_partir_de_Export_Bdossiers59614[12])</f>
        <v>0</v>
      </c>
      <c r="AH92" s="80">
        <f>SUBTOTAL(109,Tableau_Lancer_la_requête_à_partir_de_Export_Bdossiers59614[15])</f>
        <v>0</v>
      </c>
      <c r="AI92" s="80">
        <f>SUBTOTAL(109,Tableau_Lancer_la_requête_à_partir_de_Export_Bdossiers59614[19])</f>
        <v>0</v>
      </c>
      <c r="AJ92" s="80">
        <f>SUBTOTAL(109,Tableau_Lancer_la_requête_à_partir_de_Export_Bdossiers59614[21])</f>
        <v>0</v>
      </c>
      <c r="AK92" s="80">
        <f>SUBTOTAL(109,Tableau_Lancer_la_requête_à_partir_de_Export_Bdossiers59614[23])</f>
        <v>0</v>
      </c>
      <c r="AL92" s="80">
        <f>SUBTOTAL(109,Tableau_Lancer_la_requête_à_partir_de_Export_Bdossiers59614[30])</f>
        <v>0</v>
      </c>
      <c r="AM92" s="80">
        <f>SUBTOTAL(109,Tableau_Lancer_la_requête_à_partir_de_Export_Bdossiers59614[34])</f>
        <v>0</v>
      </c>
      <c r="AN92" s="80">
        <f>SUBTOTAL(109,Tableau_Lancer_la_requête_à_partir_de_Export_Bdossiers59614[42])</f>
        <v>0</v>
      </c>
      <c r="AO92" s="80">
        <f>SUBTOTAL(109,Tableau_Lancer_la_requête_à_partir_de_Export_Bdossiers59614[43])</f>
        <v>0</v>
      </c>
      <c r="AP92" s="80">
        <f>SUBTOTAL(109,Tableau_Lancer_la_requête_à_partir_de_Export_Bdossiers59614[46])</f>
        <v>0</v>
      </c>
      <c r="AQ92" s="80">
        <f>SUBTOTAL(109,Tableau_Lancer_la_requête_à_partir_de_Export_Bdossiers59614[48])</f>
        <v>0</v>
      </c>
      <c r="AR92" s="80">
        <f>SUBTOTAL(109,Tableau_Lancer_la_requête_à_partir_de_Export_Bdossiers59614[58])</f>
        <v>0</v>
      </c>
      <c r="AS92" s="80">
        <f>SUBTOTAL(109,Tableau_Lancer_la_requête_à_partir_de_Export_Bdossiers59614[63])</f>
        <v>0</v>
      </c>
      <c r="AT92" s="80">
        <f>SUBTOTAL(109,Tableau_Lancer_la_requête_à_partir_de_Export_Bdossiers59614[69])</f>
        <v>0</v>
      </c>
      <c r="AU92" s="80">
        <f>SUBTOTAL(109,Tableau_Lancer_la_requête_à_partir_de_Export_Bdossiers59614[71])</f>
        <v>0</v>
      </c>
      <c r="AV92" s="80">
        <f>SUBTOTAL(109,Tableau_Lancer_la_requête_à_partir_de_Export_Bdossiers59614[81])</f>
        <v>0</v>
      </c>
      <c r="AW92" s="80">
        <f>SUBTOTAL(109,Tableau_Lancer_la_requête_à_partir_de_Export_Bdossiers59614[82])</f>
        <v>0</v>
      </c>
      <c r="AX92" s="80">
        <f>SUBTOTAL(109,Tableau_Lancer_la_requête_à_partir_de_Export_Bdossiers59614[87])</f>
        <v>0</v>
      </c>
      <c r="AY92" s="80">
        <f>SUBTOTAL(109,Tableau_Lancer_la_requête_à_partir_de_Export_Bdossiers59614[89])</f>
        <v>0</v>
      </c>
      <c r="AZ92" s="80">
        <f>SUBTOTAL(109,Tableau_Lancer_la_requête_à_partir_de_Export_Bdossiers59614[Autre Public])</f>
        <v>0</v>
      </c>
      <c r="BA92" s="78"/>
      <c r="BB92" s="80"/>
      <c r="BC92" s="80"/>
      <c r="BD92" s="80"/>
      <c r="BE92" s="38"/>
    </row>
    <row r="93" spans="1:66" x14ac:dyDescent="0.25">
      <c r="D93" s="31"/>
      <c r="E93" s="31"/>
      <c r="F93" s="37"/>
      <c r="G93" s="37"/>
      <c r="H93" s="37"/>
      <c r="J93" s="37"/>
      <c r="K93" s="93"/>
      <c r="M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B93" s="37"/>
      <c r="BC93" s="37"/>
      <c r="BD93" s="37"/>
      <c r="BG93" s="38"/>
      <c r="BJ93" s="36"/>
      <c r="BK93" s="36"/>
      <c r="BL93" s="36"/>
      <c r="BM93" s="36"/>
      <c r="BN93" s="36"/>
    </row>
    <row r="94" spans="1:66" x14ac:dyDescent="0.25">
      <c r="D94" s="31"/>
      <c r="E94" s="31"/>
      <c r="F94" s="37"/>
      <c r="G94" s="37"/>
      <c r="H94" s="37"/>
      <c r="I94" s="44"/>
      <c r="J94" s="37"/>
      <c r="K94" s="93"/>
      <c r="L94" s="44"/>
      <c r="M94" s="37"/>
      <c r="N94" s="44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C94" s="38"/>
      <c r="BD94" s="38"/>
      <c r="BG94" s="38"/>
      <c r="BJ94" s="36"/>
      <c r="BK94" s="36"/>
      <c r="BL94" s="36"/>
      <c r="BM94" s="36"/>
      <c r="BN94" s="36"/>
    </row>
    <row r="95" spans="1:66" x14ac:dyDescent="0.25">
      <c r="D95" s="31"/>
      <c r="E95" s="31"/>
      <c r="F95" s="37"/>
      <c r="G95" s="37"/>
      <c r="H95" s="37"/>
      <c r="I95" s="44"/>
      <c r="J95" s="37"/>
      <c r="K95" s="93"/>
      <c r="L95" s="44"/>
      <c r="M95" s="37"/>
      <c r="N95" s="44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C95" s="38"/>
      <c r="BD95" s="38"/>
      <c r="BG95" s="38"/>
      <c r="BJ95" s="36"/>
      <c r="BK95" s="36"/>
      <c r="BL95" s="36"/>
      <c r="BM95" s="36"/>
      <c r="BN95" s="36"/>
    </row>
    <row r="96" spans="1:66" x14ac:dyDescent="0.25">
      <c r="D96" s="31"/>
      <c r="E96" s="31"/>
      <c r="F96" s="37"/>
      <c r="G96" s="37"/>
      <c r="H96" s="37"/>
      <c r="I96" s="44"/>
      <c r="J96" s="37"/>
      <c r="K96" s="93"/>
      <c r="L96" s="44"/>
      <c r="M96" s="37"/>
      <c r="N96" s="44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C96" s="38"/>
      <c r="BD96" s="38"/>
    </row>
    <row r="97" spans="1:66" s="32" customFormat="1" x14ac:dyDescent="0.25">
      <c r="A97" s="36"/>
      <c r="B97" s="36"/>
      <c r="C97" s="36"/>
      <c r="D97" s="31"/>
      <c r="E97" s="31"/>
      <c r="F97" s="37"/>
      <c r="G97" s="37"/>
      <c r="H97" s="37"/>
      <c r="I97" s="44"/>
      <c r="J97" s="37"/>
      <c r="K97" s="93"/>
      <c r="L97" s="44"/>
      <c r="M97" s="37"/>
      <c r="N97" s="44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6"/>
      <c r="BB97" s="36"/>
      <c r="BC97" s="38"/>
      <c r="BD97" s="38"/>
      <c r="BE97" s="36"/>
      <c r="BF97" s="36"/>
      <c r="BG97" s="36"/>
      <c r="BH97" s="38"/>
      <c r="BI97" s="38"/>
      <c r="BJ97" s="38"/>
    </row>
    <row r="98" spans="1:66" s="31" customFormat="1" x14ac:dyDescent="0.25">
      <c r="A98" s="36"/>
      <c r="B98" s="36"/>
      <c r="C98" s="36"/>
      <c r="F98" s="37"/>
      <c r="G98" s="37"/>
      <c r="H98" s="37"/>
      <c r="I98" s="44"/>
      <c r="J98" s="37"/>
      <c r="K98" s="93"/>
      <c r="L98" s="44"/>
      <c r="M98" s="37"/>
      <c r="N98" s="44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6"/>
      <c r="BB98" s="36"/>
      <c r="BC98" s="38"/>
      <c r="BD98" s="38"/>
      <c r="BE98" s="36"/>
      <c r="BF98" s="36"/>
      <c r="BG98" s="36"/>
      <c r="BH98" s="38"/>
      <c r="BI98" s="38"/>
      <c r="BJ98" s="38"/>
    </row>
    <row r="99" spans="1:66" x14ac:dyDescent="0.25">
      <c r="D99" s="31"/>
      <c r="E99" s="31"/>
      <c r="F99" s="37"/>
      <c r="G99" s="37"/>
      <c r="H99" s="37"/>
      <c r="I99" s="44"/>
      <c r="J99" s="37"/>
      <c r="K99" s="93"/>
      <c r="L99" s="44"/>
      <c r="M99" s="37"/>
      <c r="N99" s="44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C99" s="38"/>
      <c r="BD99" s="38"/>
      <c r="BG99" s="38"/>
      <c r="BJ99" s="36"/>
      <c r="BK99" s="36"/>
      <c r="BL99" s="36"/>
      <c r="BM99" s="36"/>
      <c r="BN99" s="36"/>
    </row>
    <row r="100" spans="1:66" x14ac:dyDescent="0.25">
      <c r="D100" s="31"/>
      <c r="E100" s="31"/>
      <c r="F100" s="37"/>
      <c r="G100" s="37"/>
      <c r="H100" s="37"/>
      <c r="I100" s="44"/>
      <c r="J100" s="37"/>
      <c r="K100" s="93"/>
      <c r="L100" s="44"/>
      <c r="M100" s="37"/>
      <c r="N100" s="44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C100" s="38"/>
      <c r="BD100" s="38"/>
      <c r="BG100" s="38"/>
      <c r="BJ100" s="36"/>
      <c r="BK100" s="36"/>
      <c r="BL100" s="36"/>
      <c r="BM100" s="36"/>
      <c r="BN100" s="36"/>
    </row>
    <row r="101" spans="1:66" x14ac:dyDescent="0.25">
      <c r="D101" s="31"/>
      <c r="E101" s="31"/>
      <c r="F101" s="37"/>
      <c r="G101" s="37"/>
      <c r="H101" s="37"/>
      <c r="I101" s="44"/>
      <c r="J101" s="37"/>
      <c r="K101" s="93"/>
      <c r="L101" s="44"/>
      <c r="M101" s="37"/>
      <c r="N101" s="44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C101" s="38"/>
      <c r="BD101" s="38"/>
    </row>
    <row r="102" spans="1:66" x14ac:dyDescent="0.25">
      <c r="D102" s="31"/>
      <c r="E102" s="31"/>
      <c r="F102" s="37"/>
      <c r="G102" s="37"/>
      <c r="H102" s="37"/>
      <c r="I102" s="44"/>
      <c r="J102" s="37"/>
      <c r="K102" s="93"/>
      <c r="L102" s="44"/>
      <c r="M102" s="37"/>
      <c r="N102" s="44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C102" s="38"/>
      <c r="BD102" s="38"/>
    </row>
    <row r="103" spans="1:66" x14ac:dyDescent="0.25">
      <c r="D103" s="31"/>
      <c r="E103" s="31"/>
      <c r="F103" s="37"/>
      <c r="G103" s="37"/>
      <c r="H103" s="37"/>
      <c r="I103" s="44"/>
      <c r="J103" s="37"/>
      <c r="K103" s="93"/>
      <c r="L103" s="44"/>
      <c r="M103" s="37"/>
      <c r="N103" s="44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C103" s="38"/>
      <c r="BD103" s="38"/>
    </row>
    <row r="104" spans="1:66" x14ac:dyDescent="0.25">
      <c r="D104" s="31"/>
      <c r="E104" s="31"/>
      <c r="F104" s="37"/>
      <c r="G104" s="37"/>
      <c r="H104" s="37"/>
      <c r="I104" s="44"/>
      <c r="J104" s="37"/>
      <c r="K104" s="93"/>
      <c r="L104" s="44"/>
      <c r="M104" s="37"/>
      <c r="N104" s="44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C104" s="38"/>
      <c r="BD104" s="38"/>
    </row>
    <row r="105" spans="1:66" x14ac:dyDescent="0.25">
      <c r="D105" s="31"/>
      <c r="E105" s="31"/>
      <c r="F105" s="37"/>
      <c r="G105" s="37"/>
      <c r="H105" s="37"/>
      <c r="I105" s="44"/>
      <c r="J105" s="37"/>
      <c r="K105" s="93"/>
      <c r="L105" s="44"/>
      <c r="M105" s="37"/>
      <c r="N105" s="44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C105" s="38"/>
      <c r="BD105" s="38"/>
    </row>
    <row r="106" spans="1:66" x14ac:dyDescent="0.25">
      <c r="D106" s="31"/>
      <c r="E106" s="31"/>
      <c r="F106" s="37"/>
      <c r="G106" s="37"/>
      <c r="H106" s="37"/>
      <c r="I106" s="44"/>
      <c r="J106" s="37"/>
      <c r="K106" s="93"/>
      <c r="L106" s="44"/>
      <c r="M106" s="37"/>
      <c r="N106" s="44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C106" s="38"/>
      <c r="BD106" s="38"/>
    </row>
    <row r="107" spans="1:66" x14ac:dyDescent="0.25">
      <c r="D107" s="31"/>
      <c r="E107" s="31"/>
      <c r="F107" s="37"/>
      <c r="G107" s="37"/>
      <c r="H107" s="37"/>
      <c r="I107" s="44"/>
      <c r="J107" s="37"/>
      <c r="K107" s="93"/>
      <c r="L107" s="44"/>
      <c r="M107" s="37"/>
      <c r="N107" s="44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C107" s="38"/>
      <c r="BD107" s="38"/>
    </row>
    <row r="108" spans="1:66" x14ac:dyDescent="0.25">
      <c r="D108" s="31"/>
      <c r="E108" s="31"/>
      <c r="F108" s="37"/>
      <c r="G108" s="37"/>
      <c r="H108" s="37"/>
      <c r="I108" s="44"/>
      <c r="J108" s="37"/>
      <c r="K108" s="93"/>
      <c r="L108" s="44"/>
      <c r="M108" s="37"/>
      <c r="N108" s="44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C108" s="38"/>
      <c r="BD108" s="38"/>
    </row>
    <row r="109" spans="1:66" x14ac:dyDescent="0.25">
      <c r="D109" s="31"/>
      <c r="E109" s="31"/>
      <c r="F109" s="37"/>
      <c r="G109" s="37"/>
      <c r="H109" s="37"/>
      <c r="I109" s="44"/>
      <c r="J109" s="37"/>
      <c r="K109" s="93"/>
      <c r="L109" s="44"/>
      <c r="M109" s="37"/>
      <c r="N109" s="44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C109" s="38"/>
      <c r="BD109" s="38"/>
    </row>
    <row r="110" spans="1:66" x14ac:dyDescent="0.25">
      <c r="D110" s="31"/>
      <c r="E110" s="31"/>
      <c r="F110" s="37"/>
      <c r="G110" s="37"/>
      <c r="H110" s="37"/>
      <c r="I110" s="44"/>
      <c r="J110" s="37"/>
      <c r="K110" s="93"/>
      <c r="L110" s="44"/>
      <c r="M110" s="37"/>
      <c r="N110" s="44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C110" s="38"/>
      <c r="BD110" s="38"/>
    </row>
    <row r="111" spans="1:66" x14ac:dyDescent="0.25">
      <c r="D111" s="31"/>
      <c r="E111" s="31"/>
      <c r="F111" s="37"/>
      <c r="G111" s="37"/>
      <c r="H111" s="37"/>
      <c r="I111" s="44"/>
      <c r="J111" s="37"/>
      <c r="K111" s="93"/>
      <c r="L111" s="44"/>
      <c r="M111" s="37"/>
      <c r="N111" s="44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C111" s="38"/>
      <c r="BD111" s="38"/>
    </row>
    <row r="112" spans="1:66" x14ac:dyDescent="0.25">
      <c r="D112" s="31"/>
      <c r="E112" s="31"/>
      <c r="F112" s="37"/>
      <c r="G112" s="37"/>
      <c r="H112" s="37"/>
      <c r="I112" s="44"/>
      <c r="J112" s="37"/>
      <c r="K112" s="93"/>
      <c r="L112" s="44"/>
      <c r="M112" s="37"/>
      <c r="N112" s="44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C112" s="38"/>
      <c r="BD112" s="38"/>
    </row>
    <row r="113" spans="4:56" x14ac:dyDescent="0.25">
      <c r="D113" s="31"/>
      <c r="E113" s="31"/>
      <c r="F113" s="37"/>
      <c r="G113" s="37"/>
      <c r="H113" s="37"/>
      <c r="I113" s="44"/>
      <c r="J113" s="37"/>
      <c r="K113" s="93"/>
      <c r="L113" s="44"/>
      <c r="M113" s="37"/>
      <c r="N113" s="44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C113" s="38"/>
      <c r="BD113" s="38"/>
    </row>
    <row r="114" spans="4:56" x14ac:dyDescent="0.25">
      <c r="D114" s="31"/>
      <c r="E114" s="31"/>
      <c r="F114" s="37"/>
      <c r="G114" s="37"/>
      <c r="H114" s="37"/>
      <c r="I114" s="44"/>
      <c r="J114" s="37"/>
      <c r="K114" s="93"/>
      <c r="L114" s="44"/>
      <c r="M114" s="37"/>
      <c r="N114" s="44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C114" s="38"/>
      <c r="BD114" s="38"/>
    </row>
    <row r="115" spans="4:56" x14ac:dyDescent="0.25">
      <c r="D115" s="31"/>
      <c r="E115" s="31"/>
      <c r="F115" s="37"/>
      <c r="G115" s="37"/>
      <c r="H115" s="37"/>
      <c r="I115" s="44"/>
      <c r="J115" s="37"/>
      <c r="K115" s="93"/>
      <c r="L115" s="44"/>
      <c r="M115" s="37"/>
      <c r="N115" s="44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C115" s="38"/>
      <c r="BD115" s="38"/>
    </row>
    <row r="116" spans="4:56" x14ac:dyDescent="0.25">
      <c r="D116" s="31"/>
      <c r="E116" s="31"/>
      <c r="F116" s="37"/>
      <c r="G116" s="37"/>
      <c r="H116" s="37"/>
      <c r="I116" s="44"/>
      <c r="J116" s="37"/>
      <c r="K116" s="93"/>
      <c r="L116" s="44"/>
      <c r="M116" s="37"/>
      <c r="N116" s="44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C116" s="38"/>
      <c r="BD116" s="38"/>
    </row>
    <row r="117" spans="4:56" x14ac:dyDescent="0.25">
      <c r="D117" s="31"/>
      <c r="E117" s="31"/>
      <c r="F117" s="37"/>
      <c r="G117" s="37"/>
      <c r="H117" s="37"/>
      <c r="I117" s="44"/>
      <c r="J117" s="37"/>
      <c r="K117" s="93"/>
      <c r="L117" s="44"/>
      <c r="M117" s="37"/>
      <c r="N117" s="44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C117" s="38"/>
      <c r="BD117" s="38"/>
    </row>
    <row r="118" spans="4:56" x14ac:dyDescent="0.25">
      <c r="D118" s="31"/>
      <c r="E118" s="31"/>
      <c r="F118" s="37"/>
      <c r="G118" s="37"/>
      <c r="H118" s="37"/>
      <c r="I118" s="44"/>
      <c r="J118" s="37"/>
      <c r="K118" s="93"/>
      <c r="L118" s="44"/>
      <c r="M118" s="37"/>
      <c r="N118" s="44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C118" s="38"/>
      <c r="BD118" s="38"/>
    </row>
    <row r="119" spans="4:56" x14ac:dyDescent="0.25">
      <c r="D119" s="31"/>
      <c r="E119" s="31"/>
      <c r="F119" s="37"/>
      <c r="G119" s="37"/>
      <c r="H119" s="37"/>
      <c r="I119" s="44"/>
      <c r="J119" s="37"/>
      <c r="K119" s="93"/>
      <c r="L119" s="44"/>
      <c r="M119" s="37"/>
      <c r="N119" s="44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C119" s="38"/>
      <c r="BD119" s="38"/>
    </row>
    <row r="120" spans="4:56" x14ac:dyDescent="0.25">
      <c r="D120" s="31"/>
      <c r="E120" s="31"/>
      <c r="F120" s="37"/>
      <c r="G120" s="37"/>
      <c r="H120" s="37"/>
      <c r="I120" s="44"/>
      <c r="J120" s="37"/>
      <c r="K120" s="93"/>
      <c r="L120" s="44"/>
      <c r="M120" s="37"/>
      <c r="N120" s="44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C120" s="38"/>
      <c r="BD120" s="38"/>
    </row>
    <row r="121" spans="4:56" x14ac:dyDescent="0.25">
      <c r="D121" s="31"/>
      <c r="E121" s="31"/>
      <c r="F121" s="37"/>
      <c r="G121" s="37"/>
      <c r="H121" s="37"/>
      <c r="I121" s="44"/>
      <c r="J121" s="37"/>
      <c r="K121" s="93"/>
      <c r="L121" s="44"/>
      <c r="M121" s="37"/>
      <c r="N121" s="44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C121" s="38"/>
      <c r="BD121" s="38"/>
    </row>
    <row r="122" spans="4:56" x14ac:dyDescent="0.25">
      <c r="D122" s="31"/>
      <c r="E122" s="31"/>
      <c r="F122" s="37"/>
      <c r="G122" s="37"/>
      <c r="H122" s="37"/>
      <c r="I122" s="44"/>
      <c r="J122" s="37"/>
      <c r="K122" s="93"/>
      <c r="L122" s="44"/>
      <c r="M122" s="37"/>
      <c r="N122" s="44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C122" s="38"/>
      <c r="BD122" s="38"/>
    </row>
    <row r="123" spans="4:56" x14ac:dyDescent="0.25">
      <c r="D123" s="31"/>
      <c r="E123" s="31"/>
      <c r="F123" s="37"/>
      <c r="G123" s="37"/>
      <c r="H123" s="37"/>
      <c r="I123" s="44"/>
      <c r="J123" s="37"/>
      <c r="K123" s="93"/>
      <c r="L123" s="44"/>
      <c r="M123" s="37"/>
      <c r="N123" s="44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C123" s="38"/>
      <c r="BD123" s="38"/>
    </row>
    <row r="124" spans="4:56" x14ac:dyDescent="0.25">
      <c r="D124" s="31"/>
      <c r="E124" s="31"/>
      <c r="F124" s="37"/>
      <c r="G124" s="37"/>
      <c r="H124" s="37"/>
      <c r="I124" s="44"/>
      <c r="J124" s="37"/>
      <c r="K124" s="93"/>
      <c r="L124" s="44"/>
      <c r="M124" s="37"/>
      <c r="N124" s="44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C124" s="38"/>
      <c r="BD124" s="38"/>
    </row>
    <row r="125" spans="4:56" x14ac:dyDescent="0.25">
      <c r="D125" s="31"/>
      <c r="E125" s="31"/>
      <c r="F125" s="37"/>
      <c r="G125" s="37"/>
      <c r="H125" s="37"/>
      <c r="I125" s="44"/>
      <c r="J125" s="37"/>
      <c r="K125" s="93"/>
      <c r="L125" s="44"/>
      <c r="M125" s="37"/>
      <c r="N125" s="44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C125" s="38"/>
      <c r="BD125" s="38"/>
    </row>
    <row r="126" spans="4:56" x14ac:dyDescent="0.25">
      <c r="D126" s="31"/>
      <c r="E126" s="31"/>
      <c r="F126" s="37"/>
      <c r="G126" s="37"/>
      <c r="H126" s="37"/>
      <c r="I126" s="44"/>
      <c r="J126" s="37"/>
      <c r="K126" s="93"/>
      <c r="L126" s="44"/>
      <c r="M126" s="37"/>
      <c r="N126" s="44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C126" s="38"/>
      <c r="BD126" s="38"/>
    </row>
    <row r="127" spans="4:56" x14ac:dyDescent="0.25">
      <c r="D127" s="31"/>
      <c r="E127" s="31"/>
      <c r="F127" s="37"/>
      <c r="G127" s="37"/>
      <c r="H127" s="37"/>
      <c r="I127" s="44"/>
      <c r="J127" s="37"/>
      <c r="K127" s="93"/>
      <c r="L127" s="44"/>
      <c r="M127" s="37"/>
      <c r="N127" s="44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C127" s="38"/>
      <c r="BD127" s="38"/>
    </row>
    <row r="128" spans="4:56" x14ac:dyDescent="0.25">
      <c r="D128" s="31"/>
      <c r="E128" s="31"/>
      <c r="F128" s="37"/>
      <c r="G128" s="37"/>
      <c r="H128" s="37"/>
      <c r="I128" s="44"/>
      <c r="J128" s="37"/>
      <c r="K128" s="93"/>
      <c r="L128" s="44"/>
      <c r="M128" s="37"/>
      <c r="N128" s="44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C128" s="38"/>
      <c r="BD128" s="38"/>
    </row>
    <row r="129" spans="4:56" x14ac:dyDescent="0.25">
      <c r="D129" s="31"/>
      <c r="E129" s="31"/>
      <c r="F129" s="37"/>
      <c r="G129" s="37"/>
      <c r="H129" s="37"/>
      <c r="I129" s="44"/>
      <c r="J129" s="37"/>
      <c r="K129" s="93"/>
      <c r="L129" s="44"/>
      <c r="M129" s="37"/>
      <c r="N129" s="44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C129" s="38"/>
      <c r="BD129" s="38"/>
    </row>
    <row r="130" spans="4:56" x14ac:dyDescent="0.25">
      <c r="D130" s="31"/>
      <c r="E130" s="31"/>
      <c r="F130" s="37"/>
      <c r="G130" s="37"/>
      <c r="H130" s="37"/>
      <c r="I130" s="44"/>
      <c r="J130" s="37"/>
      <c r="K130" s="93"/>
      <c r="L130" s="44"/>
      <c r="M130" s="37"/>
      <c r="N130" s="44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C130" s="38"/>
      <c r="BD130" s="38"/>
    </row>
    <row r="131" spans="4:56" x14ac:dyDescent="0.25">
      <c r="D131" s="31"/>
      <c r="E131" s="31"/>
      <c r="F131" s="37"/>
      <c r="G131" s="37"/>
      <c r="H131" s="37"/>
      <c r="I131" s="44"/>
      <c r="J131" s="37"/>
      <c r="K131" s="93"/>
      <c r="L131" s="44"/>
      <c r="M131" s="37"/>
      <c r="N131" s="44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C131" s="38"/>
      <c r="BD131" s="38"/>
    </row>
    <row r="132" spans="4:56" x14ac:dyDescent="0.25">
      <c r="D132" s="31"/>
      <c r="E132" s="31"/>
      <c r="F132" s="37"/>
      <c r="G132" s="37"/>
      <c r="H132" s="37"/>
      <c r="I132" s="44"/>
      <c r="J132" s="37"/>
      <c r="K132" s="93"/>
      <c r="L132" s="44"/>
      <c r="M132" s="37"/>
      <c r="N132" s="44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C132" s="38"/>
      <c r="BD132" s="38"/>
    </row>
    <row r="133" spans="4:56" x14ac:dyDescent="0.25">
      <c r="D133" s="31"/>
      <c r="E133" s="31"/>
      <c r="F133" s="37"/>
      <c r="G133" s="37"/>
      <c r="H133" s="37"/>
      <c r="I133" s="44"/>
      <c r="J133" s="37"/>
      <c r="K133" s="93"/>
      <c r="L133" s="44"/>
      <c r="M133" s="37"/>
      <c r="N133" s="44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C133" s="38"/>
      <c r="BD133" s="38"/>
    </row>
    <row r="134" spans="4:56" x14ac:dyDescent="0.25">
      <c r="D134" s="31"/>
      <c r="E134" s="31"/>
      <c r="F134" s="37"/>
      <c r="G134" s="37"/>
      <c r="H134" s="37"/>
      <c r="J134" s="37"/>
      <c r="K134" s="93"/>
      <c r="M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B134" s="37"/>
      <c r="BC134" s="37"/>
      <c r="BD134" s="37"/>
    </row>
  </sheetData>
  <dataConsolidate/>
  <mergeCells count="6">
    <mergeCell ref="A83:C83"/>
    <mergeCell ref="A1:F1"/>
    <mergeCell ref="A89:C89"/>
    <mergeCell ref="A61:C61"/>
    <mergeCell ref="A4:C4"/>
    <mergeCell ref="A2:H2"/>
  </mergeCells>
  <conditionalFormatting sqref="BB1:BB38 BB41:BB44 BB46:BB50 BB52:BB1048576">
    <cfRule type="cellIs" dxfId="474" priority="13" operator="equal">
      <formula>"4-Ajournement"</formula>
    </cfRule>
    <cfRule type="cellIs" dxfId="473" priority="14" operator="equal">
      <formula>"5-Défavorable"</formula>
    </cfRule>
    <cfRule type="cellIs" dxfId="472" priority="16" operator="equal">
      <formula>"1-Favorable"</formula>
    </cfRule>
  </conditionalFormatting>
  <conditionalFormatting sqref="BB39">
    <cfRule type="cellIs" dxfId="471" priority="10" operator="equal">
      <formula>"4-Ajournement"</formula>
    </cfRule>
    <cfRule type="cellIs" dxfId="470" priority="11" operator="equal">
      <formula>"5-Défavorable"</formula>
    </cfRule>
    <cfRule type="cellIs" dxfId="469" priority="12" operator="equal">
      <formula>"1-Favorable"</formula>
    </cfRule>
  </conditionalFormatting>
  <conditionalFormatting sqref="BB40">
    <cfRule type="cellIs" dxfId="468" priority="7" operator="equal">
      <formula>"4-Ajournement"</formula>
    </cfRule>
    <cfRule type="cellIs" dxfId="467" priority="8" operator="equal">
      <formula>"5-Défavorable"</formula>
    </cfRule>
    <cfRule type="cellIs" dxfId="466" priority="9" operator="equal">
      <formula>"1-Favorable"</formula>
    </cfRule>
  </conditionalFormatting>
  <conditionalFormatting sqref="BB45">
    <cfRule type="cellIs" dxfId="465" priority="4" operator="equal">
      <formula>"4-Ajournement"</formula>
    </cfRule>
    <cfRule type="cellIs" dxfId="464" priority="5" operator="equal">
      <formula>"5-Défavorable"</formula>
    </cfRule>
    <cfRule type="cellIs" dxfId="463" priority="6" operator="equal">
      <formula>"1-Favorable"</formula>
    </cfRule>
  </conditionalFormatting>
  <conditionalFormatting sqref="BB51">
    <cfRule type="cellIs" dxfId="462" priority="1" operator="equal">
      <formula>"4-Ajournement"</formula>
    </cfRule>
    <cfRule type="cellIs" dxfId="461" priority="2" operator="equal">
      <formula>"5-Défavorable"</formula>
    </cfRule>
    <cfRule type="cellIs" dxfId="460" priority="3" operator="equal">
      <formula>"1-Favorable"</formula>
    </cfRule>
  </conditionalFormatting>
  <printOptions horizontalCentered="1" verticalCentered="1"/>
  <pageMargins left="0.11811023622047245" right="0.11811023622047245" top="0.15748031496062992" bottom="0.15748031496062992" header="0.31496062992125984" footer="0.31496062992125984"/>
  <pageSetup paperSize="8" scale="39" fitToHeight="16" orientation="landscape" r:id="rId1"/>
  <rowBreaks count="1" manualBreakCount="1">
    <brk id="41" max="16383" man="1"/>
  </rowBreaks>
  <drawing r:id="rId2"/>
  <tableParts count="4"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05"/>
  <sheetViews>
    <sheetView topLeftCell="H1" zoomScale="75" zoomScaleNormal="75" workbookViewId="0">
      <selection activeCell="L55" sqref="L55"/>
    </sheetView>
  </sheetViews>
  <sheetFormatPr baseColWidth="10" defaultRowHeight="15" outlineLevelRow="1" outlineLevelCol="1" x14ac:dyDescent="0.25"/>
  <cols>
    <col min="2" max="2" width="15.42578125" hidden="1" customWidth="1"/>
    <col min="4" max="4" width="23.5703125" customWidth="1"/>
    <col min="5" max="5" width="61.85546875" customWidth="1"/>
    <col min="12" max="12" width="14.140625" bestFit="1" customWidth="1"/>
    <col min="17" max="22" width="11.42578125" hidden="1" customWidth="1" outlineLevel="1"/>
    <col min="23" max="23" width="11.42578125" collapsed="1"/>
    <col min="24" max="28" width="11.42578125" hidden="1" customWidth="1" outlineLevel="1"/>
    <col min="29" max="29" width="11.42578125" collapsed="1"/>
    <col min="30" max="51" width="11.42578125" hidden="1" customWidth="1" outlineLevel="1"/>
    <col min="52" max="52" width="11.42578125" collapsed="1"/>
  </cols>
  <sheetData>
    <row r="1" spans="1:59" ht="33.75" x14ac:dyDescent="0.25">
      <c r="A1" s="147" t="s">
        <v>266</v>
      </c>
      <c r="B1" s="147"/>
      <c r="C1" s="147"/>
      <c r="D1" s="147"/>
      <c r="E1" s="147"/>
      <c r="F1" s="147"/>
    </row>
    <row r="2" spans="1:59" s="75" customFormat="1" ht="21" x14ac:dyDescent="0.25">
      <c r="A2" s="143" t="s">
        <v>320</v>
      </c>
      <c r="B2" s="143"/>
      <c r="C2" s="143"/>
      <c r="D2" s="143"/>
      <c r="E2" s="143"/>
      <c r="F2" s="143"/>
      <c r="G2" s="143"/>
      <c r="H2" s="143"/>
      <c r="I2" s="143"/>
    </row>
    <row r="3" spans="1:59" s="75" customFormat="1" ht="15.75" x14ac:dyDescent="0.25">
      <c r="A3" s="68"/>
      <c r="B3" s="68"/>
      <c r="C3" s="68"/>
      <c r="D3" s="68"/>
      <c r="E3" s="68"/>
      <c r="F3" s="68"/>
    </row>
    <row r="5" spans="1:59" x14ac:dyDescent="0.25">
      <c r="A5" s="30" t="s">
        <v>244</v>
      </c>
    </row>
    <row r="6" spans="1:59" ht="45" x14ac:dyDescent="0.25">
      <c r="A6" s="6" t="s">
        <v>178</v>
      </c>
      <c r="B6" s="7" t="s">
        <v>180</v>
      </c>
      <c r="C6" s="7" t="s">
        <v>0</v>
      </c>
      <c r="D6" s="7" t="s">
        <v>1</v>
      </c>
      <c r="E6" s="7" t="s">
        <v>2</v>
      </c>
      <c r="F6" s="7" t="s">
        <v>13</v>
      </c>
      <c r="G6" s="7" t="s">
        <v>14</v>
      </c>
      <c r="H6" s="7" t="s">
        <v>15</v>
      </c>
      <c r="I6" s="8" t="s">
        <v>16</v>
      </c>
      <c r="J6" s="7" t="s">
        <v>8</v>
      </c>
      <c r="K6" s="7" t="s">
        <v>17</v>
      </c>
      <c r="L6" s="8" t="s">
        <v>18</v>
      </c>
      <c r="M6" s="7" t="s">
        <v>3</v>
      </c>
      <c r="N6" s="8" t="s">
        <v>19</v>
      </c>
      <c r="O6" s="7" t="s">
        <v>20</v>
      </c>
      <c r="P6" s="7" t="s">
        <v>4</v>
      </c>
      <c r="Q6" s="7" t="s">
        <v>11</v>
      </c>
      <c r="R6" s="7" t="s">
        <v>21</v>
      </c>
      <c r="S6" s="7" t="s">
        <v>12</v>
      </c>
      <c r="T6" s="7" t="s">
        <v>22</v>
      </c>
      <c r="U6" s="7" t="s">
        <v>23</v>
      </c>
      <c r="V6" s="7" t="s">
        <v>10</v>
      </c>
      <c r="W6" s="7" t="s">
        <v>5</v>
      </c>
      <c r="X6" s="7" t="s">
        <v>24</v>
      </c>
      <c r="Y6" s="7" t="s">
        <v>25</v>
      </c>
      <c r="Z6" s="7" t="s">
        <v>26</v>
      </c>
      <c r="AA6" s="7" t="s">
        <v>27</v>
      </c>
      <c r="AB6" s="7" t="s">
        <v>28</v>
      </c>
      <c r="AC6" s="7" t="s">
        <v>6</v>
      </c>
      <c r="AD6" s="7" t="s">
        <v>29</v>
      </c>
      <c r="AE6" s="7" t="s">
        <v>30</v>
      </c>
      <c r="AF6" s="7" t="s">
        <v>31</v>
      </c>
      <c r="AG6" s="7" t="s">
        <v>32</v>
      </c>
      <c r="AH6" s="7" t="s">
        <v>33</v>
      </c>
      <c r="AI6" s="7" t="s">
        <v>34</v>
      </c>
      <c r="AJ6" s="7" t="s">
        <v>35</v>
      </c>
      <c r="AK6" s="7" t="s">
        <v>36</v>
      </c>
      <c r="AL6" s="7" t="s">
        <v>37</v>
      </c>
      <c r="AM6" s="7" t="s">
        <v>38</v>
      </c>
      <c r="AN6" s="7" t="s">
        <v>39</v>
      </c>
      <c r="AO6" s="7" t="s">
        <v>40</v>
      </c>
      <c r="AP6" s="7" t="s">
        <v>41</v>
      </c>
      <c r="AQ6" s="7" t="s">
        <v>42</v>
      </c>
      <c r="AR6" s="7" t="s">
        <v>43</v>
      </c>
      <c r="AS6" s="7" t="s">
        <v>44</v>
      </c>
      <c r="AT6" s="7" t="s">
        <v>45</v>
      </c>
      <c r="AU6" s="7" t="s">
        <v>46</v>
      </c>
      <c r="AV6" s="7" t="s">
        <v>47</v>
      </c>
      <c r="AW6" s="7" t="s">
        <v>48</v>
      </c>
      <c r="AX6" s="7" t="s">
        <v>49</v>
      </c>
      <c r="AY6" s="7" t="s">
        <v>50</v>
      </c>
      <c r="AZ6" s="7" t="s">
        <v>7</v>
      </c>
      <c r="BA6" s="7" t="s">
        <v>51</v>
      </c>
      <c r="BB6" s="7" t="s">
        <v>52</v>
      </c>
      <c r="BC6" s="9" t="s">
        <v>9</v>
      </c>
    </row>
    <row r="7" spans="1:59" ht="30" x14ac:dyDescent="0.25">
      <c r="A7" s="17" t="s">
        <v>179</v>
      </c>
      <c r="B7" s="18" t="s">
        <v>244</v>
      </c>
      <c r="C7" s="18" t="s">
        <v>298</v>
      </c>
      <c r="D7" s="19" t="s">
        <v>296</v>
      </c>
      <c r="E7" s="19" t="s">
        <v>242</v>
      </c>
      <c r="F7" s="20">
        <f>SUM(F8:F9)</f>
        <v>208940.28999999998</v>
      </c>
      <c r="G7" s="20">
        <f t="shared" ref="G7:O7" si="0">SUM(G8:G9)</f>
        <v>208940.28999999998</v>
      </c>
      <c r="H7" s="20">
        <f t="shared" si="0"/>
        <v>132591.64000000001</v>
      </c>
      <c r="I7" s="21">
        <f>H7/F7</f>
        <v>0.63459105948402783</v>
      </c>
      <c r="J7" s="20">
        <f t="shared" si="0"/>
        <v>0</v>
      </c>
      <c r="K7" s="20">
        <f t="shared" si="0"/>
        <v>76348.649999999994</v>
      </c>
      <c r="L7" s="21">
        <f>K7/F7</f>
        <v>0.36540894051597228</v>
      </c>
      <c r="M7" s="20">
        <f t="shared" si="0"/>
        <v>0</v>
      </c>
      <c r="N7" s="21">
        <f>M7/F7</f>
        <v>0</v>
      </c>
      <c r="O7" s="20">
        <f t="shared" si="0"/>
        <v>132591.64000000001</v>
      </c>
      <c r="P7" s="20">
        <f t="shared" ref="P7" si="1">SUM(P8:P9)</f>
        <v>8234</v>
      </c>
      <c r="Q7" s="20">
        <f t="shared" ref="Q7" si="2">SUM(Q8:Q9)</f>
        <v>5307</v>
      </c>
      <c r="R7" s="20">
        <f t="shared" ref="R7" si="3">SUM(R8:R9)</f>
        <v>0</v>
      </c>
      <c r="S7" s="20">
        <f t="shared" ref="S7" si="4">SUM(S8:S9)</f>
        <v>0</v>
      </c>
      <c r="T7" s="20">
        <f t="shared" ref="T7" si="5">SUM(T8:T9)</f>
        <v>0</v>
      </c>
      <c r="U7" s="20">
        <f t="shared" ref="U7" si="6">SUM(U8:U9)</f>
        <v>2927</v>
      </c>
      <c r="V7" s="20">
        <f t="shared" ref="V7" si="7">SUM(V8:V9)</f>
        <v>0</v>
      </c>
      <c r="W7" s="20">
        <f t="shared" ref="W7" si="8">SUM(W8:W9)</f>
        <v>124357.64000000001</v>
      </c>
      <c r="X7" s="20">
        <f t="shared" ref="X7" si="9">SUM(X8:X9)</f>
        <v>124357.64000000001</v>
      </c>
      <c r="Y7" s="20">
        <f t="shared" ref="Y7" si="10">SUM(Y8:Y9)</f>
        <v>0</v>
      </c>
      <c r="Z7" s="20">
        <f t="shared" ref="Z7" si="11">SUM(Z8:Z9)</f>
        <v>0</v>
      </c>
      <c r="AA7" s="20">
        <f t="shared" ref="AA7" si="12">SUM(AA8:AA9)</f>
        <v>0</v>
      </c>
      <c r="AB7" s="20">
        <f t="shared" ref="AB7" si="13">SUM(AB8:AB9)</f>
        <v>0</v>
      </c>
      <c r="AC7" s="20">
        <f t="shared" ref="AC7" si="14">SUM(AC8:AC9)</f>
        <v>0</v>
      </c>
      <c r="AD7" s="20">
        <f t="shared" ref="AD7" si="15">SUM(AD8:AD9)</f>
        <v>0</v>
      </c>
      <c r="AE7" s="20">
        <f t="shared" ref="AE7" si="16">SUM(AE8:AE9)</f>
        <v>0</v>
      </c>
      <c r="AF7" s="20">
        <f t="shared" ref="AF7" si="17">SUM(AF8:AF9)</f>
        <v>0</v>
      </c>
      <c r="AG7" s="20">
        <f t="shared" ref="AG7" si="18">SUM(AG8:AG9)</f>
        <v>0</v>
      </c>
      <c r="AH7" s="20">
        <f t="shared" ref="AH7" si="19">SUM(AH8:AH9)</f>
        <v>0</v>
      </c>
      <c r="AI7" s="20">
        <f t="shared" ref="AI7" si="20">SUM(AI8:AI9)</f>
        <v>0</v>
      </c>
      <c r="AJ7" s="20">
        <f t="shared" ref="AJ7" si="21">SUM(AJ8:AJ9)</f>
        <v>0</v>
      </c>
      <c r="AK7" s="20">
        <f t="shared" ref="AK7" si="22">SUM(AK8:AK9)</f>
        <v>0</v>
      </c>
      <c r="AL7" s="20">
        <f t="shared" ref="AL7" si="23">SUM(AL8:AL9)</f>
        <v>0</v>
      </c>
      <c r="AM7" s="20">
        <f t="shared" ref="AM7" si="24">SUM(AM8:AM9)</f>
        <v>0</v>
      </c>
      <c r="AN7" s="20">
        <f t="shared" ref="AN7" si="25">SUM(AN8:AN9)</f>
        <v>0</v>
      </c>
      <c r="AO7" s="20">
        <f t="shared" ref="AO7" si="26">SUM(AO8:AO9)</f>
        <v>0</v>
      </c>
      <c r="AP7" s="20">
        <f t="shared" ref="AP7" si="27">SUM(AP8:AP9)</f>
        <v>0</v>
      </c>
      <c r="AQ7" s="20">
        <f t="shared" ref="AQ7" si="28">SUM(AQ8:AQ9)</f>
        <v>0</v>
      </c>
      <c r="AR7" s="20">
        <f t="shared" ref="AR7" si="29">SUM(AR8:AR9)</f>
        <v>0</v>
      </c>
      <c r="AS7" s="20">
        <f t="shared" ref="AS7" si="30">SUM(AS8:AS9)</f>
        <v>0</v>
      </c>
      <c r="AT7" s="20">
        <f t="shared" ref="AT7" si="31">SUM(AT8:AT9)</f>
        <v>0</v>
      </c>
      <c r="AU7" s="20">
        <f t="shared" ref="AU7" si="32">SUM(AU8:AU9)</f>
        <v>0</v>
      </c>
      <c r="AV7" s="20">
        <f t="shared" ref="AV7" si="33">SUM(AV8:AV9)</f>
        <v>0</v>
      </c>
      <c r="AW7" s="20">
        <f t="shared" ref="AW7" si="34">SUM(AW8:AW9)</f>
        <v>0</v>
      </c>
      <c r="AX7" s="20">
        <f t="shared" ref="AX7" si="35">SUM(AX8:AX9)</f>
        <v>0</v>
      </c>
      <c r="AY7" s="20">
        <f t="shared" ref="AY7" si="36">SUM(AY8:AY9)</f>
        <v>0</v>
      </c>
      <c r="AZ7" s="20">
        <f t="shared" ref="AZ7" si="37">SUM(AZ8:AZ9)</f>
        <v>0</v>
      </c>
      <c r="BA7" s="18"/>
      <c r="BB7" s="22" t="s">
        <v>297</v>
      </c>
      <c r="BC7" s="23" t="s">
        <v>11</v>
      </c>
    </row>
    <row r="8" spans="1:59" ht="45" hidden="1" outlineLevel="1" x14ac:dyDescent="0.25">
      <c r="A8" s="10" t="str">
        <f>'Fil de l''eau'!A6</f>
        <v>CIMAC</v>
      </c>
      <c r="B8" s="11" t="str">
        <f>'Fil de l''eau'!B6</f>
        <v>MOH</v>
      </c>
      <c r="C8" s="11" t="str">
        <f>'Fil de l''eau'!C6</f>
        <v>D005a</v>
      </c>
      <c r="D8" s="12" t="str">
        <f>'Fil de l''eau'!D6</f>
        <v>FNCIVAM</v>
      </c>
      <c r="E8" s="12" t="str">
        <f>'Fil de l''eau'!E6</f>
        <v xml:space="preserve">Agriculture Durable de Moyenne Montagne : Identifier, accompagner et encourager l’adoption de pratiques économes et autonomes pour des fermes productrices de valeur ajoutée sur le Massif Central </v>
      </c>
      <c r="F8" s="13">
        <f>'Fil de l''eau'!F6</f>
        <v>109005.68</v>
      </c>
      <c r="G8" s="13">
        <f>'Fil de l''eau'!G6</f>
        <v>109005.68</v>
      </c>
      <c r="H8" s="13">
        <f>'Fil de l''eau'!H6</f>
        <v>70710.41</v>
      </c>
      <c r="I8" s="14">
        <f>'Fil de l''eau'!I6</f>
        <v>0.6486855547343956</v>
      </c>
      <c r="J8" s="13">
        <f>'Fil de l''eau'!J6</f>
        <v>0</v>
      </c>
      <c r="K8" s="13">
        <f>'Fil de l''eau'!K6</f>
        <v>38295.26999999999</v>
      </c>
      <c r="L8" s="14">
        <f>'Fil de l''eau'!L6</f>
        <v>0.35131444526560446</v>
      </c>
      <c r="M8" s="13">
        <f>'Fil de l''eau'!M6</f>
        <v>0</v>
      </c>
      <c r="N8" s="14" t="str">
        <f>'Fil de l''eau'!N6</f>
        <v/>
      </c>
      <c r="O8" s="13">
        <f>'Fil de l''eau'!O6</f>
        <v>70710.41</v>
      </c>
      <c r="P8" s="13">
        <f>'Fil de l''eau'!P6</f>
        <v>5307</v>
      </c>
      <c r="Q8" s="13">
        <f>'Fil de l''eau'!Q6</f>
        <v>5307</v>
      </c>
      <c r="R8" s="13">
        <f>'Fil de l''eau'!R6</f>
        <v>0</v>
      </c>
      <c r="S8" s="13">
        <f>'Fil de l''eau'!S6</f>
        <v>0</v>
      </c>
      <c r="T8" s="13">
        <f>'Fil de l''eau'!T6</f>
        <v>0</v>
      </c>
      <c r="U8" s="13">
        <f>'Fil de l''eau'!U6</f>
        <v>0</v>
      </c>
      <c r="V8" s="13">
        <f>'Fil de l''eau'!V6</f>
        <v>0</v>
      </c>
      <c r="W8" s="13">
        <f>'Fil de l''eau'!W6</f>
        <v>65403.41</v>
      </c>
      <c r="X8" s="13">
        <f>'Fil de l''eau'!X6</f>
        <v>65403.41</v>
      </c>
      <c r="Y8" s="13">
        <f>'Fil de l''eau'!Y6</f>
        <v>0</v>
      </c>
      <c r="Z8" s="13">
        <f>'Fil de l''eau'!Z6</f>
        <v>0</v>
      </c>
      <c r="AA8" s="13">
        <f>'Fil de l''eau'!AA6</f>
        <v>0</v>
      </c>
      <c r="AB8" s="13">
        <f>'Fil de l''eau'!AB6</f>
        <v>0</v>
      </c>
      <c r="AC8" s="13">
        <f>'Fil de l''eau'!AC6</f>
        <v>0</v>
      </c>
      <c r="AD8" s="13">
        <f>'Fil de l''eau'!AD6</f>
        <v>0</v>
      </c>
      <c r="AE8" s="13">
        <f>'Fil de l''eau'!AE6</f>
        <v>0</v>
      </c>
      <c r="AF8" s="13">
        <f>'Fil de l''eau'!AF6</f>
        <v>0</v>
      </c>
      <c r="AG8" s="13">
        <f>'Fil de l''eau'!AG6</f>
        <v>0</v>
      </c>
      <c r="AH8" s="13">
        <f>'Fil de l''eau'!AH6</f>
        <v>0</v>
      </c>
      <c r="AI8" s="13">
        <f>'Fil de l''eau'!AI6</f>
        <v>0</v>
      </c>
      <c r="AJ8" s="13">
        <f>'Fil de l''eau'!AJ6</f>
        <v>0</v>
      </c>
      <c r="AK8" s="13">
        <f>'Fil de l''eau'!AK6</f>
        <v>0</v>
      </c>
      <c r="AL8" s="13">
        <f>'Fil de l''eau'!AL6</f>
        <v>0</v>
      </c>
      <c r="AM8" s="13">
        <f>'Fil de l''eau'!AM6</f>
        <v>0</v>
      </c>
      <c r="AN8" s="13">
        <f>'Fil de l''eau'!AN6</f>
        <v>0</v>
      </c>
      <c r="AO8" s="13">
        <f>'Fil de l''eau'!AO6</f>
        <v>0</v>
      </c>
      <c r="AP8" s="13">
        <f>'Fil de l''eau'!AP6</f>
        <v>0</v>
      </c>
      <c r="AQ8" s="13">
        <f>'Fil de l''eau'!AQ6</f>
        <v>0</v>
      </c>
      <c r="AR8" s="13">
        <f>'Fil de l''eau'!AR6</f>
        <v>0</v>
      </c>
      <c r="AS8" s="13">
        <f>'Fil de l''eau'!AS6</f>
        <v>0</v>
      </c>
      <c r="AT8" s="13">
        <f>'Fil de l''eau'!AT6</f>
        <v>0</v>
      </c>
      <c r="AU8" s="13">
        <f>'Fil de l''eau'!AU6</f>
        <v>0</v>
      </c>
      <c r="AV8" s="13">
        <f>'Fil de l''eau'!AV6</f>
        <v>0</v>
      </c>
      <c r="AW8" s="13">
        <f>'Fil de l''eau'!AW6</f>
        <v>0</v>
      </c>
      <c r="AX8" s="13">
        <f>'Fil de l''eau'!AX6</f>
        <v>0</v>
      </c>
      <c r="AY8" s="13">
        <f>'Fil de l''eau'!AY6</f>
        <v>0</v>
      </c>
      <c r="AZ8" s="13">
        <f>'Fil de l''eau'!AZ6</f>
        <v>0</v>
      </c>
      <c r="BA8" s="11" t="str">
        <f>'Fil de l''eau'!BB6</f>
        <v>1-Favorable</v>
      </c>
      <c r="BB8" s="15" t="str">
        <f>'Fil de l''eau'!BC6</f>
        <v>75</v>
      </c>
      <c r="BC8" s="16" t="str">
        <f>'Fil de l''eau'!BD6</f>
        <v>Ile-de-France</v>
      </c>
    </row>
    <row r="9" spans="1:59" ht="30" hidden="1" outlineLevel="1" x14ac:dyDescent="0.25">
      <c r="A9" s="17" t="str">
        <f>'Fil de l''eau'!A7</f>
        <v>CIMAC</v>
      </c>
      <c r="B9" s="18" t="str">
        <f>'Fil de l''eau'!B7</f>
        <v>MOH</v>
      </c>
      <c r="C9" s="18" t="str">
        <f>'Fil de l''eau'!C7</f>
        <v>D005b</v>
      </c>
      <c r="D9" s="19" t="str">
        <f>'Fil de l''eau'!D7</f>
        <v>APABA</v>
      </c>
      <c r="E9" s="19" t="str">
        <f>'Fil de l''eau'!E7</f>
        <v xml:space="preserve">Agriculture Durable de Moyenne Montagne : Identifier, accompagner et encourager l’adoption de pratiques économes et autonomes pour des fermes productrices de valeur ajoutée sur le Massif Central </v>
      </c>
      <c r="F9" s="20">
        <f>'Fil de l''eau'!F7</f>
        <v>99934.61</v>
      </c>
      <c r="G9" s="20">
        <f>'Fil de l''eau'!G7</f>
        <v>99934.61</v>
      </c>
      <c r="H9" s="20">
        <f>'Fil de l''eau'!H7</f>
        <v>61881.23</v>
      </c>
      <c r="I9" s="21">
        <f>'Fil de l''eau'!I7</f>
        <v>0.6192172061310891</v>
      </c>
      <c r="J9" s="20">
        <f>'Fil de l''eau'!J7</f>
        <v>0</v>
      </c>
      <c r="K9" s="20">
        <f>'Fil de l''eau'!K7</f>
        <v>38053.379999999997</v>
      </c>
      <c r="L9" s="21">
        <f>'Fil de l''eau'!L7</f>
        <v>0.38078279386891084</v>
      </c>
      <c r="M9" s="20">
        <f>'Fil de l''eau'!M7</f>
        <v>0</v>
      </c>
      <c r="N9" s="21" t="str">
        <f>'Fil de l''eau'!N7</f>
        <v/>
      </c>
      <c r="O9" s="20">
        <f>'Fil de l''eau'!O7</f>
        <v>61881.23</v>
      </c>
      <c r="P9" s="20">
        <f>'Fil de l''eau'!P7</f>
        <v>2927</v>
      </c>
      <c r="Q9" s="20">
        <f>'Fil de l''eau'!Q7</f>
        <v>0</v>
      </c>
      <c r="R9" s="20">
        <f>'Fil de l''eau'!R7</f>
        <v>0</v>
      </c>
      <c r="S9" s="20">
        <f>'Fil de l''eau'!S7</f>
        <v>0</v>
      </c>
      <c r="T9" s="20">
        <f>'Fil de l''eau'!T7</f>
        <v>0</v>
      </c>
      <c r="U9" s="20">
        <f>'Fil de l''eau'!U7</f>
        <v>2927</v>
      </c>
      <c r="V9" s="20">
        <f>'Fil de l''eau'!V7</f>
        <v>0</v>
      </c>
      <c r="W9" s="20">
        <f>'Fil de l''eau'!W7</f>
        <v>58954.23</v>
      </c>
      <c r="X9" s="20">
        <f>'Fil de l''eau'!X7</f>
        <v>58954.23</v>
      </c>
      <c r="Y9" s="20">
        <f>'Fil de l''eau'!Y7</f>
        <v>0</v>
      </c>
      <c r="Z9" s="20">
        <f>'Fil de l''eau'!Z7</f>
        <v>0</v>
      </c>
      <c r="AA9" s="20">
        <f>'Fil de l''eau'!AA7</f>
        <v>0</v>
      </c>
      <c r="AB9" s="20">
        <f>'Fil de l''eau'!AB7</f>
        <v>0</v>
      </c>
      <c r="AC9" s="20">
        <f>'Fil de l''eau'!AC7</f>
        <v>0</v>
      </c>
      <c r="AD9" s="20">
        <f>'Fil de l''eau'!AD7</f>
        <v>0</v>
      </c>
      <c r="AE9" s="20">
        <f>'Fil de l''eau'!AE7</f>
        <v>0</v>
      </c>
      <c r="AF9" s="20">
        <f>'Fil de l''eau'!AF7</f>
        <v>0</v>
      </c>
      <c r="AG9" s="20">
        <f>'Fil de l''eau'!AG7</f>
        <v>0</v>
      </c>
      <c r="AH9" s="20">
        <f>'Fil de l''eau'!AH7</f>
        <v>0</v>
      </c>
      <c r="AI9" s="20">
        <f>'Fil de l''eau'!AI7</f>
        <v>0</v>
      </c>
      <c r="AJ9" s="20">
        <f>'Fil de l''eau'!AJ7</f>
        <v>0</v>
      </c>
      <c r="AK9" s="20">
        <f>'Fil de l''eau'!AK7</f>
        <v>0</v>
      </c>
      <c r="AL9" s="20">
        <f>'Fil de l''eau'!AL7</f>
        <v>0</v>
      </c>
      <c r="AM9" s="20">
        <f>'Fil de l''eau'!AM7</f>
        <v>0</v>
      </c>
      <c r="AN9" s="20">
        <f>'Fil de l''eau'!AN7</f>
        <v>0</v>
      </c>
      <c r="AO9" s="20">
        <f>'Fil de l''eau'!AO7</f>
        <v>0</v>
      </c>
      <c r="AP9" s="20">
        <f>'Fil de l''eau'!AP7</f>
        <v>0</v>
      </c>
      <c r="AQ9" s="20">
        <f>'Fil de l''eau'!AQ7</f>
        <v>0</v>
      </c>
      <c r="AR9" s="20">
        <f>'Fil de l''eau'!AR7</f>
        <v>0</v>
      </c>
      <c r="AS9" s="20">
        <f>'Fil de l''eau'!AS7</f>
        <v>0</v>
      </c>
      <c r="AT9" s="20">
        <f>'Fil de l''eau'!AT7</f>
        <v>0</v>
      </c>
      <c r="AU9" s="20">
        <f>'Fil de l''eau'!AU7</f>
        <v>0</v>
      </c>
      <c r="AV9" s="20">
        <f>'Fil de l''eau'!AV7</f>
        <v>0</v>
      </c>
      <c r="AW9" s="20">
        <f>'Fil de l''eau'!AW7</f>
        <v>0</v>
      </c>
      <c r="AX9" s="20">
        <f>'Fil de l''eau'!AX7</f>
        <v>0</v>
      </c>
      <c r="AY9" s="20">
        <f>'Fil de l''eau'!AY7</f>
        <v>0</v>
      </c>
      <c r="AZ9" s="20">
        <f>'Fil de l''eau'!AZ7</f>
        <v>0</v>
      </c>
      <c r="BA9" s="18" t="str">
        <f>'Fil de l''eau'!BB7</f>
        <v>1-Favorable</v>
      </c>
      <c r="BB9" s="22" t="str">
        <f>'Fil de l''eau'!BC7</f>
        <v>12</v>
      </c>
      <c r="BC9" s="23" t="str">
        <f>'Fil de l''eau'!BD7</f>
        <v>Midi-Pyrénées</v>
      </c>
    </row>
    <row r="10" spans="1:59" ht="45" collapsed="1" x14ac:dyDescent="0.25">
      <c r="A10" s="10" t="s">
        <v>190</v>
      </c>
      <c r="B10" s="11" t="s">
        <v>244</v>
      </c>
      <c r="C10" s="11" t="s">
        <v>246</v>
      </c>
      <c r="D10" s="12" t="s">
        <v>299</v>
      </c>
      <c r="E10" s="12" t="s">
        <v>248</v>
      </c>
      <c r="F10" s="13">
        <f>SUM(F11:F12)</f>
        <v>438746.85</v>
      </c>
      <c r="G10" s="13">
        <f t="shared" ref="G10:O10" si="38">SUM(G11:G12)</f>
        <v>75952.850000000006</v>
      </c>
      <c r="H10" s="13">
        <f t="shared" si="38"/>
        <v>130476.43</v>
      </c>
      <c r="I10" s="14">
        <f>H10/F10</f>
        <v>0.29738431170502988</v>
      </c>
      <c r="J10" s="13">
        <f t="shared" si="38"/>
        <v>0</v>
      </c>
      <c r="K10" s="13">
        <f t="shared" si="38"/>
        <v>308270.42</v>
      </c>
      <c r="L10" s="14">
        <f>K10/F10</f>
        <v>0.70261568829497012</v>
      </c>
      <c r="M10" s="13">
        <f t="shared" si="38"/>
        <v>0</v>
      </c>
      <c r="N10" s="14">
        <f>M10/F10</f>
        <v>0</v>
      </c>
      <c r="O10" s="13">
        <f t="shared" si="38"/>
        <v>130476.43</v>
      </c>
      <c r="P10" s="13">
        <f t="shared" ref="P10" si="39">SUM(P11:P12)</f>
        <v>2500</v>
      </c>
      <c r="Q10" s="13">
        <f t="shared" ref="Q10" si="40">SUM(Q11:Q12)</f>
        <v>0</v>
      </c>
      <c r="R10" s="13">
        <f t="shared" ref="R10" si="41">SUM(R11:R12)</f>
        <v>0</v>
      </c>
      <c r="S10" s="13">
        <f t="shared" ref="S10" si="42">SUM(S11:S12)</f>
        <v>0</v>
      </c>
      <c r="T10" s="13">
        <f t="shared" ref="T10" si="43">SUM(T11:T12)</f>
        <v>0</v>
      </c>
      <c r="U10" s="13">
        <f t="shared" ref="U10" si="44">SUM(U11:U12)</f>
        <v>0</v>
      </c>
      <c r="V10" s="13">
        <f t="shared" ref="V10" si="45">SUM(V11:V12)</f>
        <v>0</v>
      </c>
      <c r="W10" s="13">
        <f t="shared" ref="W10" si="46">SUM(W11:W12)</f>
        <v>127976.43</v>
      </c>
      <c r="X10" s="13">
        <f t="shared" ref="X10" si="47">SUM(X11:X12)</f>
        <v>127976.43</v>
      </c>
      <c r="Y10" s="13">
        <f t="shared" ref="Y10" si="48">SUM(Y11:Y12)</f>
        <v>0</v>
      </c>
      <c r="Z10" s="13">
        <f t="shared" ref="Z10" si="49">SUM(Z11:Z12)</f>
        <v>0</v>
      </c>
      <c r="AA10" s="13">
        <f t="shared" ref="AA10" si="50">SUM(AA11:AA12)</f>
        <v>0</v>
      </c>
      <c r="AB10" s="13">
        <f t="shared" ref="AB10" si="51">SUM(AB11:AB12)</f>
        <v>0</v>
      </c>
      <c r="AC10" s="13">
        <f t="shared" ref="AC10" si="52">SUM(AC11:AC12)</f>
        <v>0</v>
      </c>
      <c r="AD10" s="13">
        <f t="shared" ref="AD10" si="53">SUM(AD11:AD12)</f>
        <v>0</v>
      </c>
      <c r="AE10" s="13">
        <f t="shared" ref="AE10" si="54">SUM(AE11:AE12)</f>
        <v>0</v>
      </c>
      <c r="AF10" s="13">
        <f t="shared" ref="AF10" si="55">SUM(AF11:AF12)</f>
        <v>0</v>
      </c>
      <c r="AG10" s="13">
        <f t="shared" ref="AG10" si="56">SUM(AG11:AG12)</f>
        <v>0</v>
      </c>
      <c r="AH10" s="13">
        <f t="shared" ref="AH10" si="57">SUM(AH11:AH12)</f>
        <v>0</v>
      </c>
      <c r="AI10" s="13">
        <f t="shared" ref="AI10" si="58">SUM(AI11:AI12)</f>
        <v>0</v>
      </c>
      <c r="AJ10" s="13">
        <f t="shared" ref="AJ10" si="59">SUM(AJ11:AJ12)</f>
        <v>0</v>
      </c>
      <c r="AK10" s="13">
        <f t="shared" ref="AK10" si="60">SUM(AK11:AK12)</f>
        <v>0</v>
      </c>
      <c r="AL10" s="13">
        <f t="shared" ref="AL10" si="61">SUM(AL11:AL12)</f>
        <v>0</v>
      </c>
      <c r="AM10" s="13">
        <f t="shared" ref="AM10" si="62">SUM(AM11:AM12)</f>
        <v>0</v>
      </c>
      <c r="AN10" s="13">
        <f t="shared" ref="AN10" si="63">SUM(AN11:AN12)</f>
        <v>0</v>
      </c>
      <c r="AO10" s="13">
        <f t="shared" ref="AO10" si="64">SUM(AO11:AO12)</f>
        <v>0</v>
      </c>
      <c r="AP10" s="13">
        <f t="shared" ref="AP10" si="65">SUM(AP11:AP12)</f>
        <v>0</v>
      </c>
      <c r="AQ10" s="13">
        <f t="shared" ref="AQ10" si="66">SUM(AQ11:AQ12)</f>
        <v>0</v>
      </c>
      <c r="AR10" s="13">
        <f t="shared" ref="AR10" si="67">SUM(AR11:AR12)</f>
        <v>0</v>
      </c>
      <c r="AS10" s="13">
        <f t="shared" ref="AS10" si="68">SUM(AS11:AS12)</f>
        <v>0</v>
      </c>
      <c r="AT10" s="13">
        <f t="shared" ref="AT10" si="69">SUM(AT11:AT12)</f>
        <v>0</v>
      </c>
      <c r="AU10" s="13">
        <f t="shared" ref="AU10" si="70">SUM(AU11:AU12)</f>
        <v>0</v>
      </c>
      <c r="AV10" s="13">
        <f t="shared" ref="AV10" si="71">SUM(AV11:AV12)</f>
        <v>0</v>
      </c>
      <c r="AW10" s="13">
        <f t="shared" ref="AW10" si="72">SUM(AW11:AW12)</f>
        <v>0</v>
      </c>
      <c r="AX10" s="13">
        <f t="shared" ref="AX10" si="73">SUM(AX11:AX12)</f>
        <v>0</v>
      </c>
      <c r="AY10" s="13">
        <f t="shared" ref="AY10" si="74">SUM(AY11:AY12)</f>
        <v>0</v>
      </c>
      <c r="AZ10" s="13">
        <f t="shared" ref="AZ10" si="75">SUM(AZ11:AZ12)</f>
        <v>0</v>
      </c>
      <c r="BA10" s="11"/>
      <c r="BB10" s="15" t="s">
        <v>297</v>
      </c>
      <c r="BC10" s="16" t="s">
        <v>292</v>
      </c>
    </row>
    <row r="11" spans="1:59" ht="30" hidden="1" outlineLevel="1" x14ac:dyDescent="0.25">
      <c r="A11" s="10" t="str">
        <f>'Fil de l''eau'!A8</f>
        <v>CIMAC</v>
      </c>
      <c r="B11" s="11" t="str">
        <f>'Fil de l''eau'!B8</f>
        <v>MOH</v>
      </c>
      <c r="C11" s="11" t="str">
        <f>'Fil de l''eau'!C8</f>
        <v>D005c</v>
      </c>
      <c r="D11" s="12" t="str">
        <f>'Fil de l''eau'!D8</f>
        <v>FRCIVAM Rhône-Alpes</v>
      </c>
      <c r="E11" s="12" t="str">
        <f>'Fil de l''eau'!E8</f>
        <v xml:space="preserve">Agriculture Durable de Moyenne Montagne : Identifier, accompagner et encourager l’adoption de pratiques économes et autonomes pour des fermes productrices de valeur ajoutée sur le Massif Central </v>
      </c>
      <c r="F11" s="13">
        <f>'Fil de l''eau'!F8</f>
        <v>75952.850000000006</v>
      </c>
      <c r="G11" s="13">
        <f>'Fil de l''eau'!G8</f>
        <v>75952.850000000006</v>
      </c>
      <c r="H11" s="13">
        <f>'Fil de l''eau'!H8</f>
        <v>35476.43</v>
      </c>
      <c r="I11" s="14">
        <f>'Fil de l''eau'!I8</f>
        <v>0.46708490859789986</v>
      </c>
      <c r="J11" s="13">
        <f>'Fil de l''eau'!J8</f>
        <v>0</v>
      </c>
      <c r="K11" s="13">
        <f>'Fil de l''eau'!K8</f>
        <v>40476.420000000006</v>
      </c>
      <c r="L11" s="14">
        <f>'Fil de l''eau'!L8</f>
        <v>0.53291509140210014</v>
      </c>
      <c r="M11" s="13">
        <f>'Fil de l''eau'!M8</f>
        <v>0</v>
      </c>
      <c r="N11" s="14" t="str">
        <f>'Fil de l''eau'!N8</f>
        <v/>
      </c>
      <c r="O11" s="13">
        <f>'Fil de l''eau'!O8</f>
        <v>35476.43</v>
      </c>
      <c r="P11" s="13">
        <f>'Fil de l''eau'!P8</f>
        <v>2500</v>
      </c>
      <c r="Q11" s="13">
        <f>'Fil de l''eau'!Q8</f>
        <v>0</v>
      </c>
      <c r="R11" s="13">
        <f>'Fil de l''eau'!R8</f>
        <v>0</v>
      </c>
      <c r="S11" s="13">
        <f>'Fil de l''eau'!S8</f>
        <v>0</v>
      </c>
      <c r="T11" s="13">
        <f>'Fil de l''eau'!T8</f>
        <v>0</v>
      </c>
      <c r="U11" s="13">
        <f>'Fil de l''eau'!U8</f>
        <v>0</v>
      </c>
      <c r="V11" s="13">
        <f>'Fil de l''eau'!V8</f>
        <v>0</v>
      </c>
      <c r="W11" s="13">
        <f>'Fil de l''eau'!W8</f>
        <v>32976.43</v>
      </c>
      <c r="X11" s="13">
        <f>'Fil de l''eau'!X8</f>
        <v>32976.43</v>
      </c>
      <c r="Y11" s="13">
        <f>'Fil de l''eau'!Y8</f>
        <v>0</v>
      </c>
      <c r="Z11" s="13">
        <f>'Fil de l''eau'!Z8</f>
        <v>0</v>
      </c>
      <c r="AA11" s="13">
        <f>'Fil de l''eau'!AA8</f>
        <v>0</v>
      </c>
      <c r="AB11" s="13">
        <f>'Fil de l''eau'!AB8</f>
        <v>0</v>
      </c>
      <c r="AC11" s="13">
        <f>'Fil de l''eau'!AC8</f>
        <v>0</v>
      </c>
      <c r="AD11" s="13">
        <f>'Fil de l''eau'!AD8</f>
        <v>0</v>
      </c>
      <c r="AE11" s="13">
        <f>'Fil de l''eau'!AE8</f>
        <v>0</v>
      </c>
      <c r="AF11" s="13">
        <f>'Fil de l''eau'!AF8</f>
        <v>0</v>
      </c>
      <c r="AG11" s="13">
        <f>'Fil de l''eau'!AG8</f>
        <v>0</v>
      </c>
      <c r="AH11" s="13">
        <f>'Fil de l''eau'!AH8</f>
        <v>0</v>
      </c>
      <c r="AI11" s="13">
        <f>'Fil de l''eau'!AI8</f>
        <v>0</v>
      </c>
      <c r="AJ11" s="13">
        <f>'Fil de l''eau'!AJ8</f>
        <v>0</v>
      </c>
      <c r="AK11" s="13">
        <f>'Fil de l''eau'!AK8</f>
        <v>0</v>
      </c>
      <c r="AL11" s="13">
        <f>'Fil de l''eau'!AL8</f>
        <v>0</v>
      </c>
      <c r="AM11" s="13">
        <f>'Fil de l''eau'!AM8</f>
        <v>0</v>
      </c>
      <c r="AN11" s="13">
        <f>'Fil de l''eau'!AN8</f>
        <v>0</v>
      </c>
      <c r="AO11" s="13">
        <f>'Fil de l''eau'!AO8</f>
        <v>0</v>
      </c>
      <c r="AP11" s="13">
        <f>'Fil de l''eau'!AP8</f>
        <v>0</v>
      </c>
      <c r="AQ11" s="13">
        <f>'Fil de l''eau'!AQ8</f>
        <v>0</v>
      </c>
      <c r="AR11" s="13">
        <f>'Fil de l''eau'!AR8</f>
        <v>0</v>
      </c>
      <c r="AS11" s="13">
        <f>'Fil de l''eau'!AS8</f>
        <v>0</v>
      </c>
      <c r="AT11" s="13">
        <f>'Fil de l''eau'!AT8</f>
        <v>0</v>
      </c>
      <c r="AU11" s="13">
        <f>'Fil de l''eau'!AU8</f>
        <v>0</v>
      </c>
      <c r="AV11" s="13">
        <f>'Fil de l''eau'!AV8</f>
        <v>0</v>
      </c>
      <c r="AW11" s="13">
        <f>'Fil de l''eau'!AW8</f>
        <v>0</v>
      </c>
      <c r="AX11" s="13">
        <f>'Fil de l''eau'!AX8</f>
        <v>0</v>
      </c>
      <c r="AY11" s="13">
        <f>'Fil de l''eau'!AY8</f>
        <v>0</v>
      </c>
      <c r="AZ11" s="13">
        <f>'Fil de l''eau'!AZ8</f>
        <v>0</v>
      </c>
      <c r="BA11" s="11"/>
      <c r="BB11" s="15" t="str">
        <f>'Fil de l''eau'!BC8</f>
        <v>26</v>
      </c>
      <c r="BC11" s="16" t="str">
        <f>'Fil de l''eau'!BD8</f>
        <v>Rhône-Alpes</v>
      </c>
    </row>
    <row r="12" spans="1:59" ht="30" hidden="1" outlineLevel="1" x14ac:dyDescent="0.25">
      <c r="A12" s="17" t="str">
        <f>'Fil de l''eau'!A57</f>
        <v>CIMAC</v>
      </c>
      <c r="B12" s="18" t="str">
        <f>'Fil de l''eau'!B57</f>
        <v>MOH</v>
      </c>
      <c r="C12" s="18" t="str">
        <f>'Fil de l''eau'!C57</f>
        <v>D053b</v>
      </c>
      <c r="D12" s="19" t="str">
        <f>'Fil de l''eau'!D57</f>
        <v>Institut de l'Elevage</v>
      </c>
      <c r="E12" s="19" t="str">
        <f>'Fil de l''eau'!E57</f>
        <v>Mil'ouv. Les milieux ouverts pastoraux du Massif central ont de la ressource ! Partageons les savoirs pour préserver la biodiversité. Volet PNC 2015-2016</v>
      </c>
      <c r="F12" s="20">
        <f>'Fil de l''eau'!F57</f>
        <v>362794</v>
      </c>
      <c r="G12" s="20">
        <f>'Fil de l''eau'!G57</f>
        <v>0</v>
      </c>
      <c r="H12" s="20">
        <f>'Fil de l''eau'!H57</f>
        <v>95000</v>
      </c>
      <c r="I12" s="21" t="e">
        <f>'Fil de l''eau'!I57</f>
        <v>#DIV/0!</v>
      </c>
      <c r="J12" s="20">
        <f>'Fil de l''eau'!J57</f>
        <v>0</v>
      </c>
      <c r="K12" s="20">
        <f>'Fil de l''eau'!K57</f>
        <v>267794</v>
      </c>
      <c r="L12" s="21">
        <f>'Fil de l''eau'!L57</f>
        <v>0.73814340920742905</v>
      </c>
      <c r="M12" s="20">
        <f>'Fil de l''eau'!M57</f>
        <v>0</v>
      </c>
      <c r="N12" s="21" t="str">
        <f>'Fil de l''eau'!N57</f>
        <v/>
      </c>
      <c r="O12" s="20">
        <f>'Fil de l''eau'!O57</f>
        <v>95000</v>
      </c>
      <c r="P12" s="20">
        <f>'Fil de l''eau'!P57</f>
        <v>0</v>
      </c>
      <c r="Q12" s="20">
        <f>'Fil de l''eau'!Q57</f>
        <v>0</v>
      </c>
      <c r="R12" s="20">
        <f>'Fil de l''eau'!R57</f>
        <v>0</v>
      </c>
      <c r="S12" s="20">
        <f>'Fil de l''eau'!S57</f>
        <v>0</v>
      </c>
      <c r="T12" s="20">
        <f>'Fil de l''eau'!T57</f>
        <v>0</v>
      </c>
      <c r="U12" s="20">
        <f>'Fil de l''eau'!U57</f>
        <v>0</v>
      </c>
      <c r="V12" s="20">
        <f>'Fil de l''eau'!V57</f>
        <v>0</v>
      </c>
      <c r="W12" s="20">
        <f>'Fil de l''eau'!W57</f>
        <v>95000</v>
      </c>
      <c r="X12" s="20">
        <f>'Fil de l''eau'!X57</f>
        <v>95000</v>
      </c>
      <c r="Y12" s="20">
        <f>'Fil de l''eau'!Y57</f>
        <v>0</v>
      </c>
      <c r="Z12" s="20">
        <f>'Fil de l''eau'!Z57</f>
        <v>0</v>
      </c>
      <c r="AA12" s="20">
        <f>'Fil de l''eau'!AA57</f>
        <v>0</v>
      </c>
      <c r="AB12" s="20">
        <f>'Fil de l''eau'!AB57</f>
        <v>0</v>
      </c>
      <c r="AC12" s="20">
        <f>'Fil de l''eau'!AC57</f>
        <v>0</v>
      </c>
      <c r="AD12" s="20">
        <f>'Fil de l''eau'!AD57</f>
        <v>0</v>
      </c>
      <c r="AE12" s="20">
        <f>'Fil de l''eau'!AE57</f>
        <v>0</v>
      </c>
      <c r="AF12" s="20">
        <f>'Fil de l''eau'!AF57</f>
        <v>0</v>
      </c>
      <c r="AG12" s="20">
        <f>'Fil de l''eau'!AG57</f>
        <v>0</v>
      </c>
      <c r="AH12" s="20">
        <f>'Fil de l''eau'!AH57</f>
        <v>0</v>
      </c>
      <c r="AI12" s="20">
        <f>'Fil de l''eau'!AI57</f>
        <v>0</v>
      </c>
      <c r="AJ12" s="20">
        <f>'Fil de l''eau'!AJ57</f>
        <v>0</v>
      </c>
      <c r="AK12" s="20">
        <f>'Fil de l''eau'!AK57</f>
        <v>0</v>
      </c>
      <c r="AL12" s="20">
        <f>'Fil de l''eau'!AL57</f>
        <v>0</v>
      </c>
      <c r="AM12" s="20">
        <f>'Fil de l''eau'!AM57</f>
        <v>0</v>
      </c>
      <c r="AN12" s="20">
        <f>'Fil de l''eau'!AN57</f>
        <v>0</v>
      </c>
      <c r="AO12" s="20">
        <f>'Fil de l''eau'!AO57</f>
        <v>0</v>
      </c>
      <c r="AP12" s="20">
        <f>'Fil de l''eau'!AP57</f>
        <v>0</v>
      </c>
      <c r="AQ12" s="20">
        <f>'Fil de l''eau'!AQ57</f>
        <v>0</v>
      </c>
      <c r="AR12" s="20">
        <f>'Fil de l''eau'!AR57</f>
        <v>0</v>
      </c>
      <c r="AS12" s="20">
        <f>'Fil de l''eau'!AS57</f>
        <v>0</v>
      </c>
      <c r="AT12" s="20">
        <f>'Fil de l''eau'!AT57</f>
        <v>0</v>
      </c>
      <c r="AU12" s="20">
        <f>'Fil de l''eau'!AU57</f>
        <v>0</v>
      </c>
      <c r="AV12" s="20">
        <f>'Fil de l''eau'!AV57</f>
        <v>0</v>
      </c>
      <c r="AW12" s="20">
        <f>'Fil de l''eau'!AW57</f>
        <v>0</v>
      </c>
      <c r="AX12" s="20">
        <f>'Fil de l''eau'!AX57</f>
        <v>0</v>
      </c>
      <c r="AY12" s="20">
        <f>'Fil de l''eau'!AY57</f>
        <v>0</v>
      </c>
      <c r="AZ12" s="20">
        <f>'Fil de l''eau'!AZ57</f>
        <v>0</v>
      </c>
      <c r="BA12" s="18"/>
      <c r="BB12" s="22" t="str">
        <f>'Fil de l''eau'!BC57</f>
        <v>75</v>
      </c>
      <c r="BC12" s="23" t="str">
        <f>'Fil de l''eau'!BD57</f>
        <v>Ile-de-France</v>
      </c>
    </row>
    <row r="13" spans="1:59" s="1" customFormat="1" collapsed="1" x14ac:dyDescent="0.25">
      <c r="A13" s="2"/>
      <c r="D13" s="3"/>
      <c r="E13" s="25" t="s">
        <v>290</v>
      </c>
      <c r="F13" s="26">
        <f>SUM(F10,F7)</f>
        <v>647687.1399999999</v>
      </c>
      <c r="G13" s="26">
        <f t="shared" ref="G13:AZ13" si="76">SUM(G10,G7)</f>
        <v>284893.14</v>
      </c>
      <c r="H13" s="26">
        <f t="shared" si="76"/>
        <v>263068.07</v>
      </c>
      <c r="I13" s="28">
        <f>H13/F13</f>
        <v>0.40616534396529791</v>
      </c>
      <c r="J13" s="26">
        <f t="shared" si="76"/>
        <v>0</v>
      </c>
      <c r="K13" s="26">
        <f t="shared" si="76"/>
        <v>384619.06999999995</v>
      </c>
      <c r="L13" s="28">
        <f>K13/F13</f>
        <v>0.5938346560347022</v>
      </c>
      <c r="M13" s="27">
        <f t="shared" si="76"/>
        <v>0</v>
      </c>
      <c r="N13" s="29">
        <f>M13/F13</f>
        <v>0</v>
      </c>
      <c r="O13" s="25">
        <f t="shared" si="76"/>
        <v>263068.07</v>
      </c>
      <c r="P13" s="25">
        <f t="shared" si="76"/>
        <v>10734</v>
      </c>
      <c r="Q13" s="25">
        <f t="shared" si="76"/>
        <v>5307</v>
      </c>
      <c r="R13" s="25">
        <f t="shared" si="76"/>
        <v>0</v>
      </c>
      <c r="S13" s="25">
        <f t="shared" si="76"/>
        <v>0</v>
      </c>
      <c r="T13" s="25">
        <f t="shared" si="76"/>
        <v>0</v>
      </c>
      <c r="U13" s="25">
        <f t="shared" si="76"/>
        <v>2927</v>
      </c>
      <c r="V13" s="25">
        <f t="shared" si="76"/>
        <v>0</v>
      </c>
      <c r="W13" s="25">
        <f t="shared" si="76"/>
        <v>252334.07</v>
      </c>
      <c r="X13" s="25">
        <f t="shared" si="76"/>
        <v>252334.07</v>
      </c>
      <c r="Y13" s="25">
        <f t="shared" si="76"/>
        <v>0</v>
      </c>
      <c r="Z13" s="25">
        <f t="shared" si="76"/>
        <v>0</v>
      </c>
      <c r="AA13" s="25">
        <f t="shared" si="76"/>
        <v>0</v>
      </c>
      <c r="AB13" s="25">
        <f t="shared" si="76"/>
        <v>0</v>
      </c>
      <c r="AC13" s="25">
        <f t="shared" si="76"/>
        <v>0</v>
      </c>
      <c r="AD13" s="25">
        <f t="shared" si="76"/>
        <v>0</v>
      </c>
      <c r="AE13" s="25">
        <f t="shared" si="76"/>
        <v>0</v>
      </c>
      <c r="AF13" s="25">
        <f t="shared" si="76"/>
        <v>0</v>
      </c>
      <c r="AG13" s="25">
        <f t="shared" si="76"/>
        <v>0</v>
      </c>
      <c r="AH13" s="25">
        <f t="shared" si="76"/>
        <v>0</v>
      </c>
      <c r="AI13" s="25">
        <f t="shared" si="76"/>
        <v>0</v>
      </c>
      <c r="AJ13" s="25">
        <f t="shared" si="76"/>
        <v>0</v>
      </c>
      <c r="AK13" s="25">
        <f t="shared" si="76"/>
        <v>0</v>
      </c>
      <c r="AL13" s="25">
        <f t="shared" si="76"/>
        <v>0</v>
      </c>
      <c r="AM13" s="25">
        <f t="shared" si="76"/>
        <v>0</v>
      </c>
      <c r="AN13" s="25">
        <f t="shared" si="76"/>
        <v>0</v>
      </c>
      <c r="AO13" s="25">
        <f t="shared" si="76"/>
        <v>0</v>
      </c>
      <c r="AP13" s="25">
        <f t="shared" si="76"/>
        <v>0</v>
      </c>
      <c r="AQ13" s="25">
        <f t="shared" si="76"/>
        <v>0</v>
      </c>
      <c r="AR13" s="25">
        <f t="shared" si="76"/>
        <v>0</v>
      </c>
      <c r="AS13" s="25">
        <f t="shared" si="76"/>
        <v>0</v>
      </c>
      <c r="AT13" s="25">
        <f t="shared" si="76"/>
        <v>0</v>
      </c>
      <c r="AU13" s="25">
        <f t="shared" si="76"/>
        <v>0</v>
      </c>
      <c r="AV13" s="25">
        <f t="shared" si="76"/>
        <v>0</v>
      </c>
      <c r="AW13" s="25">
        <f t="shared" si="76"/>
        <v>0</v>
      </c>
      <c r="AX13" s="25">
        <f t="shared" si="76"/>
        <v>0</v>
      </c>
      <c r="AY13" s="25">
        <f t="shared" si="76"/>
        <v>0</v>
      </c>
      <c r="AZ13" s="25">
        <f t="shared" si="76"/>
        <v>0</v>
      </c>
      <c r="BA13" s="4"/>
      <c r="BB13" s="2"/>
      <c r="BC13" s="1">
        <f>SUBTOTAL(3,BC7,BC10)</f>
        <v>2</v>
      </c>
      <c r="BF13" s="5"/>
      <c r="BG13" s="5"/>
    </row>
    <row r="14" spans="1:59" s="1" customFormat="1" x14ac:dyDescent="0.25">
      <c r="A14" s="2"/>
      <c r="D14" s="3"/>
      <c r="E14" s="59"/>
      <c r="F14" s="59"/>
      <c r="G14" s="59"/>
      <c r="H14" s="59"/>
      <c r="I14" s="60"/>
      <c r="J14" s="59"/>
      <c r="K14" s="59"/>
      <c r="L14" s="60"/>
      <c r="M14" s="64">
        <v>1</v>
      </c>
      <c r="N14" s="62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4"/>
      <c r="BB14" s="2"/>
      <c r="BF14" s="5"/>
      <c r="BG14" s="5"/>
    </row>
    <row r="16" spans="1:59" x14ac:dyDescent="0.25">
      <c r="A16" s="30" t="s">
        <v>234</v>
      </c>
    </row>
    <row r="17" spans="1:59" ht="45" x14ac:dyDescent="0.25">
      <c r="A17" s="6" t="s">
        <v>178</v>
      </c>
      <c r="B17" s="7" t="s">
        <v>180</v>
      </c>
      <c r="C17" s="7" t="s">
        <v>0</v>
      </c>
      <c r="D17" s="7" t="s">
        <v>1</v>
      </c>
      <c r="E17" s="7" t="s">
        <v>2</v>
      </c>
      <c r="F17" s="7" t="s">
        <v>13</v>
      </c>
      <c r="G17" s="7" t="s">
        <v>14</v>
      </c>
      <c r="H17" s="7" t="s">
        <v>15</v>
      </c>
      <c r="I17" s="8" t="s">
        <v>16</v>
      </c>
      <c r="J17" s="7" t="s">
        <v>8</v>
      </c>
      <c r="K17" s="7" t="s">
        <v>17</v>
      </c>
      <c r="L17" s="8" t="s">
        <v>18</v>
      </c>
      <c r="M17" s="7" t="s">
        <v>3</v>
      </c>
      <c r="N17" s="8" t="s">
        <v>19</v>
      </c>
      <c r="O17" s="7" t="s">
        <v>20</v>
      </c>
      <c r="P17" s="7" t="s">
        <v>4</v>
      </c>
      <c r="Q17" s="7" t="s">
        <v>11</v>
      </c>
      <c r="R17" s="7" t="s">
        <v>21</v>
      </c>
      <c r="S17" s="7" t="s">
        <v>12</v>
      </c>
      <c r="T17" s="7" t="s">
        <v>22</v>
      </c>
      <c r="U17" s="7" t="s">
        <v>23</v>
      </c>
      <c r="V17" s="7" t="s">
        <v>10</v>
      </c>
      <c r="W17" s="7" t="s">
        <v>5</v>
      </c>
      <c r="X17" s="7" t="s">
        <v>24</v>
      </c>
      <c r="Y17" s="7" t="s">
        <v>25</v>
      </c>
      <c r="Z17" s="7" t="s">
        <v>26</v>
      </c>
      <c r="AA17" s="7" t="s">
        <v>27</v>
      </c>
      <c r="AB17" s="7" t="s">
        <v>28</v>
      </c>
      <c r="AC17" s="7" t="s">
        <v>6</v>
      </c>
      <c r="AD17" s="7" t="s">
        <v>29</v>
      </c>
      <c r="AE17" s="7" t="s">
        <v>30</v>
      </c>
      <c r="AF17" s="7" t="s">
        <v>31</v>
      </c>
      <c r="AG17" s="7" t="s">
        <v>32</v>
      </c>
      <c r="AH17" s="7" t="s">
        <v>33</v>
      </c>
      <c r="AI17" s="7" t="s">
        <v>34</v>
      </c>
      <c r="AJ17" s="7" t="s">
        <v>35</v>
      </c>
      <c r="AK17" s="7" t="s">
        <v>36</v>
      </c>
      <c r="AL17" s="7" t="s">
        <v>37</v>
      </c>
      <c r="AM17" s="7" t="s">
        <v>38</v>
      </c>
      <c r="AN17" s="7" t="s">
        <v>39</v>
      </c>
      <c r="AO17" s="7" t="s">
        <v>40</v>
      </c>
      <c r="AP17" s="7" t="s">
        <v>41</v>
      </c>
      <c r="AQ17" s="7" t="s">
        <v>42</v>
      </c>
      <c r="AR17" s="7" t="s">
        <v>43</v>
      </c>
      <c r="AS17" s="7" t="s">
        <v>44</v>
      </c>
      <c r="AT17" s="7" t="s">
        <v>45</v>
      </c>
      <c r="AU17" s="7" t="s">
        <v>46</v>
      </c>
      <c r="AV17" s="7" t="s">
        <v>47</v>
      </c>
      <c r="AW17" s="7" t="s">
        <v>48</v>
      </c>
      <c r="AX17" s="7" t="s">
        <v>49</v>
      </c>
      <c r="AY17" s="7" t="s">
        <v>50</v>
      </c>
      <c r="AZ17" s="7" t="s">
        <v>7</v>
      </c>
      <c r="BA17" s="7" t="s">
        <v>51</v>
      </c>
      <c r="BB17" s="7" t="s">
        <v>52</v>
      </c>
      <c r="BC17" s="9" t="s">
        <v>9</v>
      </c>
    </row>
    <row r="18" spans="1:59" ht="45" x14ac:dyDescent="0.25">
      <c r="A18" s="17" t="e">
        <f>'Fil de l''eau'!#REF!</f>
        <v>#REF!</v>
      </c>
      <c r="B18" s="18" t="e">
        <f>'Fil de l''eau'!#REF!</f>
        <v>#REF!</v>
      </c>
      <c r="C18" s="18" t="e">
        <f>'Fil de l''eau'!#REF!</f>
        <v>#REF!</v>
      </c>
      <c r="D18" s="19" t="e">
        <f>'Fil de l''eau'!#REF!</f>
        <v>#REF!</v>
      </c>
      <c r="E18" s="19" t="e">
        <f>'Fil de l''eau'!#REF!</f>
        <v>#REF!</v>
      </c>
      <c r="F18" s="20" t="e">
        <f>'Fil de l''eau'!#REF!</f>
        <v>#REF!</v>
      </c>
      <c r="G18" s="20" t="e">
        <f>'Fil de l''eau'!#REF!</f>
        <v>#REF!</v>
      </c>
      <c r="H18" s="20" t="e">
        <f>'Fil de l''eau'!#REF!</f>
        <v>#REF!</v>
      </c>
      <c r="I18" s="21" t="e">
        <f>'Fil de l''eau'!#REF!</f>
        <v>#REF!</v>
      </c>
      <c r="J18" s="20" t="e">
        <f>'Fil de l''eau'!#REF!</f>
        <v>#REF!</v>
      </c>
      <c r="K18" s="20" t="e">
        <f>'Fil de l''eau'!#REF!</f>
        <v>#REF!</v>
      </c>
      <c r="L18" s="24" t="e">
        <f>'Fil de l''eau'!#REF!</f>
        <v>#REF!</v>
      </c>
      <c r="M18" s="20" t="e">
        <f>'Fil de l''eau'!#REF!</f>
        <v>#REF!</v>
      </c>
      <c r="N18" s="21" t="e">
        <f>'Fil de l''eau'!#REF!</f>
        <v>#REF!</v>
      </c>
      <c r="O18" s="20" t="e">
        <f>'Fil de l''eau'!#REF!</f>
        <v>#REF!</v>
      </c>
      <c r="P18" s="20" t="e">
        <f>'Fil de l''eau'!#REF!</f>
        <v>#REF!</v>
      </c>
      <c r="Q18" s="20" t="e">
        <f>'Fil de l''eau'!#REF!</f>
        <v>#REF!</v>
      </c>
      <c r="R18" s="20" t="e">
        <f>'Fil de l''eau'!#REF!</f>
        <v>#REF!</v>
      </c>
      <c r="S18" s="20" t="e">
        <f>'Fil de l''eau'!#REF!</f>
        <v>#REF!</v>
      </c>
      <c r="T18" s="20" t="e">
        <f>'Fil de l''eau'!#REF!</f>
        <v>#REF!</v>
      </c>
      <c r="U18" s="20" t="e">
        <f>'Fil de l''eau'!#REF!</f>
        <v>#REF!</v>
      </c>
      <c r="V18" s="20" t="e">
        <f>'Fil de l''eau'!#REF!</f>
        <v>#REF!</v>
      </c>
      <c r="W18" s="20" t="e">
        <f>'Fil de l''eau'!#REF!</f>
        <v>#REF!</v>
      </c>
      <c r="X18" s="20" t="e">
        <f>'Fil de l''eau'!#REF!</f>
        <v>#REF!</v>
      </c>
      <c r="Y18" s="20" t="e">
        <f>'Fil de l''eau'!#REF!</f>
        <v>#REF!</v>
      </c>
      <c r="Z18" s="20" t="e">
        <f>'Fil de l''eau'!#REF!</f>
        <v>#REF!</v>
      </c>
      <c r="AA18" s="20" t="e">
        <f>'Fil de l''eau'!#REF!</f>
        <v>#REF!</v>
      </c>
      <c r="AB18" s="20" t="e">
        <f>'Fil de l''eau'!#REF!</f>
        <v>#REF!</v>
      </c>
      <c r="AC18" s="20" t="e">
        <f>'Fil de l''eau'!#REF!</f>
        <v>#REF!</v>
      </c>
      <c r="AD18" s="20" t="e">
        <f>'Fil de l''eau'!#REF!</f>
        <v>#REF!</v>
      </c>
      <c r="AE18" s="20" t="e">
        <f>'Fil de l''eau'!#REF!</f>
        <v>#REF!</v>
      </c>
      <c r="AF18" s="20" t="e">
        <f>'Fil de l''eau'!#REF!</f>
        <v>#REF!</v>
      </c>
      <c r="AG18" s="20" t="e">
        <f>'Fil de l''eau'!#REF!</f>
        <v>#REF!</v>
      </c>
      <c r="AH18" s="20" t="e">
        <f>'Fil de l''eau'!#REF!</f>
        <v>#REF!</v>
      </c>
      <c r="AI18" s="20" t="e">
        <f>'Fil de l''eau'!#REF!</f>
        <v>#REF!</v>
      </c>
      <c r="AJ18" s="20" t="e">
        <f>'Fil de l''eau'!#REF!</f>
        <v>#REF!</v>
      </c>
      <c r="AK18" s="20" t="e">
        <f>'Fil de l''eau'!#REF!</f>
        <v>#REF!</v>
      </c>
      <c r="AL18" s="20" t="e">
        <f>'Fil de l''eau'!#REF!</f>
        <v>#REF!</v>
      </c>
      <c r="AM18" s="20" t="e">
        <f>'Fil de l''eau'!#REF!</f>
        <v>#REF!</v>
      </c>
      <c r="AN18" s="20" t="e">
        <f>'Fil de l''eau'!#REF!</f>
        <v>#REF!</v>
      </c>
      <c r="AO18" s="20" t="e">
        <f>'Fil de l''eau'!#REF!</f>
        <v>#REF!</v>
      </c>
      <c r="AP18" s="20" t="e">
        <f>'Fil de l''eau'!#REF!</f>
        <v>#REF!</v>
      </c>
      <c r="AQ18" s="20" t="e">
        <f>'Fil de l''eau'!#REF!</f>
        <v>#REF!</v>
      </c>
      <c r="AR18" s="20" t="e">
        <f>'Fil de l''eau'!#REF!</f>
        <v>#REF!</v>
      </c>
      <c r="AS18" s="20" t="e">
        <f>'Fil de l''eau'!#REF!</f>
        <v>#REF!</v>
      </c>
      <c r="AT18" s="20" t="e">
        <f>'Fil de l''eau'!#REF!</f>
        <v>#REF!</v>
      </c>
      <c r="AU18" s="20" t="e">
        <f>'Fil de l''eau'!#REF!</f>
        <v>#REF!</v>
      </c>
      <c r="AV18" s="20" t="e">
        <f>'Fil de l''eau'!#REF!</f>
        <v>#REF!</v>
      </c>
      <c r="AW18" s="20" t="e">
        <f>'Fil de l''eau'!#REF!</f>
        <v>#REF!</v>
      </c>
      <c r="AX18" s="20" t="e">
        <f>'Fil de l''eau'!#REF!</f>
        <v>#REF!</v>
      </c>
      <c r="AY18" s="20" t="e">
        <f>'Fil de l''eau'!#REF!</f>
        <v>#REF!</v>
      </c>
      <c r="AZ18" s="20" t="e">
        <f>'Fil de l''eau'!#REF!</f>
        <v>#REF!</v>
      </c>
      <c r="BA18" s="18"/>
      <c r="BB18" s="22" t="e">
        <f>'Fil de l''eau'!#REF!</f>
        <v>#REF!</v>
      </c>
      <c r="BC18" s="23" t="e">
        <f>'Fil de l''eau'!#REF!</f>
        <v>#REF!</v>
      </c>
    </row>
    <row r="19" spans="1:59" ht="30" x14ac:dyDescent="0.25">
      <c r="A19" s="10" t="str">
        <f>'Fil de l''eau'!A63</f>
        <v>CIMAC</v>
      </c>
      <c r="B19" s="11" t="str">
        <f>'Fil de l''eau'!B63</f>
        <v>Agroalimentaire</v>
      </c>
      <c r="C19" s="11" t="str">
        <f>'Fil de l''eau'!C63</f>
        <v>D029a</v>
      </c>
      <c r="D19" s="12" t="str">
        <f>'Fil de l''eau'!D63</f>
        <v>SIDAM</v>
      </c>
      <c r="E19" s="12" t="str">
        <f>'Fil de l''eau'!E63</f>
        <v xml:space="preserve">AEOLE. Les prairies du Massif central : un atout économique pour construire des systèmes d'élevage performants </v>
      </c>
      <c r="F19" s="13">
        <f>'Fil de l''eau'!F63</f>
        <v>16687.884572220588</v>
      </c>
      <c r="G19" s="13">
        <f>'Fil de l''eau'!G63</f>
        <v>0</v>
      </c>
      <c r="H19" s="13">
        <f>'Fil de l''eau'!H63</f>
        <v>0</v>
      </c>
      <c r="I19" s="14">
        <f>'Fil de l''eau'!I63</f>
        <v>0</v>
      </c>
      <c r="J19" s="13">
        <f>'Fil de l''eau'!J63</f>
        <v>0</v>
      </c>
      <c r="K19" s="13">
        <f>'Fil de l''eau'!K63</f>
        <v>0</v>
      </c>
      <c r="L19" s="14">
        <f>'Fil de l''eau'!L63</f>
        <v>0</v>
      </c>
      <c r="M19" s="13">
        <f>'Fil de l''eau'!M63</f>
        <v>0</v>
      </c>
      <c r="N19" s="14" t="str">
        <f>'Fil de l''eau'!N63</f>
        <v/>
      </c>
      <c r="O19" s="13">
        <f>'Fil de l''eau'!O63</f>
        <v>0</v>
      </c>
      <c r="P19" s="13">
        <f>'Fil de l''eau'!P63</f>
        <v>0</v>
      </c>
      <c r="Q19" s="13">
        <f>'Fil de l''eau'!Q63</f>
        <v>0</v>
      </c>
      <c r="R19" s="13">
        <f>'Fil de l''eau'!R63</f>
        <v>0</v>
      </c>
      <c r="S19" s="13">
        <f>'Fil de l''eau'!S63</f>
        <v>0</v>
      </c>
      <c r="T19" s="13">
        <f>'Fil de l''eau'!T63</f>
        <v>0</v>
      </c>
      <c r="U19" s="13">
        <f>'Fil de l''eau'!U63</f>
        <v>0</v>
      </c>
      <c r="V19" s="13">
        <f>'Fil de l''eau'!V63</f>
        <v>0</v>
      </c>
      <c r="W19" s="13">
        <f>'Fil de l''eau'!W63</f>
        <v>0</v>
      </c>
      <c r="X19" s="13">
        <f>'Fil de l''eau'!X63</f>
        <v>0</v>
      </c>
      <c r="Y19" s="13">
        <f>'Fil de l''eau'!Y63</f>
        <v>0</v>
      </c>
      <c r="Z19" s="13">
        <f>'Fil de l''eau'!Z63</f>
        <v>0</v>
      </c>
      <c r="AA19" s="13">
        <f>'Fil de l''eau'!AA63</f>
        <v>0</v>
      </c>
      <c r="AB19" s="13">
        <f>'Fil de l''eau'!AB63</f>
        <v>0</v>
      </c>
      <c r="AC19" s="13">
        <f>'Fil de l''eau'!AC63</f>
        <v>0</v>
      </c>
      <c r="AD19" s="13">
        <f>'Fil de l''eau'!AD63</f>
        <v>0</v>
      </c>
      <c r="AE19" s="13">
        <f>'Fil de l''eau'!AE63</f>
        <v>0</v>
      </c>
      <c r="AF19" s="13">
        <f>'Fil de l''eau'!AF63</f>
        <v>0</v>
      </c>
      <c r="AG19" s="13">
        <f>'Fil de l''eau'!AG63</f>
        <v>0</v>
      </c>
      <c r="AH19" s="13">
        <f>'Fil de l''eau'!AH63</f>
        <v>0</v>
      </c>
      <c r="AI19" s="13">
        <f>'Fil de l''eau'!AI63</f>
        <v>0</v>
      </c>
      <c r="AJ19" s="13">
        <f>'Fil de l''eau'!AJ63</f>
        <v>0</v>
      </c>
      <c r="AK19" s="13">
        <f>'Fil de l''eau'!AK63</f>
        <v>0</v>
      </c>
      <c r="AL19" s="13">
        <f>'Fil de l''eau'!AL63</f>
        <v>0</v>
      </c>
      <c r="AM19" s="13">
        <f>'Fil de l''eau'!AM63</f>
        <v>0</v>
      </c>
      <c r="AN19" s="13">
        <f>'Fil de l''eau'!AN63</f>
        <v>0</v>
      </c>
      <c r="AO19" s="13">
        <f>'Fil de l''eau'!AO63</f>
        <v>0</v>
      </c>
      <c r="AP19" s="13">
        <f>'Fil de l''eau'!AP63</f>
        <v>0</v>
      </c>
      <c r="AQ19" s="13">
        <f>'Fil de l''eau'!AQ63</f>
        <v>0</v>
      </c>
      <c r="AR19" s="13">
        <f>'Fil de l''eau'!AR63</f>
        <v>0</v>
      </c>
      <c r="AS19" s="13">
        <f>'Fil de l''eau'!AS63</f>
        <v>0</v>
      </c>
      <c r="AT19" s="13">
        <f>'Fil de l''eau'!AT63</f>
        <v>0</v>
      </c>
      <c r="AU19" s="13">
        <f>'Fil de l''eau'!AU63</f>
        <v>0</v>
      </c>
      <c r="AV19" s="13">
        <f>'Fil de l''eau'!AV63</f>
        <v>0</v>
      </c>
      <c r="AW19" s="13">
        <f>'Fil de l''eau'!AW63</f>
        <v>0</v>
      </c>
      <c r="AX19" s="13">
        <f>'Fil de l''eau'!AX63</f>
        <v>0</v>
      </c>
      <c r="AY19" s="13">
        <f>'Fil de l''eau'!AY63</f>
        <v>0</v>
      </c>
      <c r="AZ19" s="13">
        <f>'Fil de l''eau'!AZ63</f>
        <v>0</v>
      </c>
      <c r="BA19" s="11"/>
      <c r="BB19" s="15" t="str">
        <f>'Fil de l''eau'!BC63</f>
        <v>63</v>
      </c>
      <c r="BC19" s="16" t="str">
        <f>'Fil de l''eau'!BD63</f>
        <v>Auvergne</v>
      </c>
    </row>
    <row r="20" spans="1:59" ht="45" x14ac:dyDescent="0.25">
      <c r="A20" s="17" t="s">
        <v>179</v>
      </c>
      <c r="B20" s="18" t="s">
        <v>234</v>
      </c>
      <c r="C20" s="18" t="s">
        <v>293</v>
      </c>
      <c r="D20" s="19" t="s">
        <v>294</v>
      </c>
      <c r="E20" s="19" t="s">
        <v>275</v>
      </c>
      <c r="F20" s="20">
        <f>SUM(F21:F24)</f>
        <v>88347.377441341887</v>
      </c>
      <c r="G20" s="20">
        <f>SUM(G21:G24)</f>
        <v>0</v>
      </c>
      <c r="H20" s="20">
        <f>SUM(H21:H24)</f>
        <v>0</v>
      </c>
      <c r="I20" s="21">
        <f>H20/F20</f>
        <v>0</v>
      </c>
      <c r="J20" s="20">
        <f t="shared" ref="J20:K20" si="77">SUM(J21:J24)</f>
        <v>0</v>
      </c>
      <c r="K20" s="20">
        <f t="shared" si="77"/>
        <v>0</v>
      </c>
      <c r="L20" s="24">
        <f>K20/F20</f>
        <v>0</v>
      </c>
      <c r="M20" s="20">
        <f>SUM(M21:M24)</f>
        <v>0</v>
      </c>
      <c r="N20" s="21">
        <f>M20/F20</f>
        <v>0</v>
      </c>
      <c r="O20" s="20">
        <f>SUM(O21:O24)</f>
        <v>0</v>
      </c>
      <c r="P20" s="20">
        <f t="shared" ref="P20:AZ20" si="78">SUM(P21:P24)</f>
        <v>0</v>
      </c>
      <c r="Q20" s="20">
        <f t="shared" si="78"/>
        <v>0</v>
      </c>
      <c r="R20" s="20">
        <f t="shared" si="78"/>
        <v>0</v>
      </c>
      <c r="S20" s="20">
        <f t="shared" si="78"/>
        <v>0</v>
      </c>
      <c r="T20" s="20">
        <f t="shared" si="78"/>
        <v>0</v>
      </c>
      <c r="U20" s="20">
        <f t="shared" si="78"/>
        <v>0</v>
      </c>
      <c r="V20" s="20">
        <f t="shared" si="78"/>
        <v>0</v>
      </c>
      <c r="W20" s="20">
        <f t="shared" si="78"/>
        <v>0</v>
      </c>
      <c r="X20" s="20">
        <f t="shared" si="78"/>
        <v>0</v>
      </c>
      <c r="Y20" s="20">
        <f t="shared" si="78"/>
        <v>0</v>
      </c>
      <c r="Z20" s="20">
        <f t="shared" si="78"/>
        <v>0</v>
      </c>
      <c r="AA20" s="20">
        <f t="shared" si="78"/>
        <v>0</v>
      </c>
      <c r="AB20" s="20">
        <f t="shared" si="78"/>
        <v>0</v>
      </c>
      <c r="AC20" s="20">
        <f t="shared" si="78"/>
        <v>0</v>
      </c>
      <c r="AD20" s="20">
        <f t="shared" si="78"/>
        <v>0</v>
      </c>
      <c r="AE20" s="20">
        <f t="shared" si="78"/>
        <v>0</v>
      </c>
      <c r="AF20" s="20">
        <f t="shared" si="78"/>
        <v>0</v>
      </c>
      <c r="AG20" s="20">
        <f t="shared" si="78"/>
        <v>0</v>
      </c>
      <c r="AH20" s="20">
        <f t="shared" si="78"/>
        <v>0</v>
      </c>
      <c r="AI20" s="20">
        <f t="shared" si="78"/>
        <v>0</v>
      </c>
      <c r="AJ20" s="20">
        <f t="shared" si="78"/>
        <v>0</v>
      </c>
      <c r="AK20" s="20">
        <f t="shared" si="78"/>
        <v>0</v>
      </c>
      <c r="AL20" s="20">
        <f t="shared" si="78"/>
        <v>0</v>
      </c>
      <c r="AM20" s="20">
        <f t="shared" si="78"/>
        <v>0</v>
      </c>
      <c r="AN20" s="20">
        <f t="shared" si="78"/>
        <v>0</v>
      </c>
      <c r="AO20" s="20">
        <f t="shared" si="78"/>
        <v>0</v>
      </c>
      <c r="AP20" s="20">
        <f t="shared" si="78"/>
        <v>0</v>
      </c>
      <c r="AQ20" s="20">
        <f t="shared" si="78"/>
        <v>0</v>
      </c>
      <c r="AR20" s="20">
        <f t="shared" si="78"/>
        <v>0</v>
      </c>
      <c r="AS20" s="20">
        <f t="shared" si="78"/>
        <v>0</v>
      </c>
      <c r="AT20" s="20">
        <f t="shared" si="78"/>
        <v>0</v>
      </c>
      <c r="AU20" s="20">
        <f t="shared" si="78"/>
        <v>0</v>
      </c>
      <c r="AV20" s="20">
        <f t="shared" si="78"/>
        <v>0</v>
      </c>
      <c r="AW20" s="20">
        <f t="shared" si="78"/>
        <v>0</v>
      </c>
      <c r="AX20" s="20">
        <f t="shared" si="78"/>
        <v>0</v>
      </c>
      <c r="AY20" s="20">
        <f t="shared" si="78"/>
        <v>0</v>
      </c>
      <c r="AZ20" s="20">
        <f t="shared" si="78"/>
        <v>0</v>
      </c>
      <c r="BA20" s="18"/>
      <c r="BB20" s="22" t="s">
        <v>291</v>
      </c>
      <c r="BC20" s="23" t="s">
        <v>292</v>
      </c>
    </row>
    <row r="21" spans="1:59" ht="60" hidden="1" outlineLevel="1" x14ac:dyDescent="0.25">
      <c r="A21" s="10" t="str">
        <f>'Fil de l''eau'!A64</f>
        <v>CIMAC</v>
      </c>
      <c r="B21" s="11" t="str">
        <f>'Fil de l''eau'!B64</f>
        <v>Agroalimentaire</v>
      </c>
      <c r="C21" s="11" t="str">
        <f>'Fil de l''eau'!C64</f>
        <v>D029b</v>
      </c>
      <c r="D21" s="12" t="str">
        <f>'Fil de l''eau'!D64</f>
        <v>Conservatoire Botanique National du Massif central</v>
      </c>
      <c r="E21" s="12" t="str">
        <f>'Fil de l''eau'!E64</f>
        <v xml:space="preserve">AEOLE. Les prairies du Massif central : un atout économique pour construire des systèmes d'élevage performants </v>
      </c>
      <c r="F21" s="13">
        <f>'Fil de l''eau'!F64</f>
        <v>27140.743905084801</v>
      </c>
      <c r="G21" s="13">
        <f>'Fil de l''eau'!G64</f>
        <v>0</v>
      </c>
      <c r="H21" s="13">
        <f>'Fil de l''eau'!H64</f>
        <v>0</v>
      </c>
      <c r="I21" s="14">
        <f>'Fil de l''eau'!I64</f>
        <v>0</v>
      </c>
      <c r="J21" s="13">
        <f>'Fil de l''eau'!J64</f>
        <v>0</v>
      </c>
      <c r="K21" s="13">
        <f>'Fil de l''eau'!K64</f>
        <v>0</v>
      </c>
      <c r="L21" s="14">
        <f>'Fil de l''eau'!L64</f>
        <v>0</v>
      </c>
      <c r="M21" s="13">
        <f>'Fil de l''eau'!M64</f>
        <v>0</v>
      </c>
      <c r="N21" s="14" t="str">
        <f>'Fil de l''eau'!N64</f>
        <v/>
      </c>
      <c r="O21" s="13">
        <f>'Fil de l''eau'!O64</f>
        <v>0</v>
      </c>
      <c r="P21" s="13">
        <f>'Fil de l''eau'!P64</f>
        <v>0</v>
      </c>
      <c r="Q21" s="13">
        <f>'Fil de l''eau'!Q64</f>
        <v>0</v>
      </c>
      <c r="R21" s="13">
        <f>'Fil de l''eau'!R64</f>
        <v>0</v>
      </c>
      <c r="S21" s="13">
        <f>'Fil de l''eau'!S64</f>
        <v>0</v>
      </c>
      <c r="T21" s="13">
        <f>'Fil de l''eau'!T64</f>
        <v>0</v>
      </c>
      <c r="U21" s="13">
        <f>'Fil de l''eau'!U64</f>
        <v>0</v>
      </c>
      <c r="V21" s="13">
        <f>'Fil de l''eau'!V64</f>
        <v>0</v>
      </c>
      <c r="W21" s="13">
        <f>'Fil de l''eau'!W64</f>
        <v>0</v>
      </c>
      <c r="X21" s="13">
        <f>'Fil de l''eau'!X64</f>
        <v>0</v>
      </c>
      <c r="Y21" s="13">
        <f>'Fil de l''eau'!Y64</f>
        <v>0</v>
      </c>
      <c r="Z21" s="13">
        <f>'Fil de l''eau'!Z64</f>
        <v>0</v>
      </c>
      <c r="AA21" s="13">
        <f>'Fil de l''eau'!AA64</f>
        <v>0</v>
      </c>
      <c r="AB21" s="13">
        <f>'Fil de l''eau'!AB64</f>
        <v>0</v>
      </c>
      <c r="AC21" s="13">
        <f>'Fil de l''eau'!AC64</f>
        <v>0</v>
      </c>
      <c r="AD21" s="13">
        <f>'Fil de l''eau'!AD64</f>
        <v>0</v>
      </c>
      <c r="AE21" s="13">
        <f>'Fil de l''eau'!AE64</f>
        <v>0</v>
      </c>
      <c r="AF21" s="13">
        <f>'Fil de l''eau'!AF64</f>
        <v>0</v>
      </c>
      <c r="AG21" s="13">
        <f>'Fil de l''eau'!AG64</f>
        <v>0</v>
      </c>
      <c r="AH21" s="13">
        <f>'Fil de l''eau'!AH64</f>
        <v>0</v>
      </c>
      <c r="AI21" s="13">
        <f>'Fil de l''eau'!AI64</f>
        <v>0</v>
      </c>
      <c r="AJ21" s="13">
        <f>'Fil de l''eau'!AJ64</f>
        <v>0</v>
      </c>
      <c r="AK21" s="13">
        <f>'Fil de l''eau'!AK64</f>
        <v>0</v>
      </c>
      <c r="AL21" s="13">
        <f>'Fil de l''eau'!AL64</f>
        <v>0</v>
      </c>
      <c r="AM21" s="13">
        <f>'Fil de l''eau'!AM64</f>
        <v>0</v>
      </c>
      <c r="AN21" s="13">
        <f>'Fil de l''eau'!AN64</f>
        <v>0</v>
      </c>
      <c r="AO21" s="13">
        <f>'Fil de l''eau'!AO64</f>
        <v>0</v>
      </c>
      <c r="AP21" s="13">
        <f>'Fil de l''eau'!AP64</f>
        <v>0</v>
      </c>
      <c r="AQ21" s="13">
        <f>'Fil de l''eau'!AQ64</f>
        <v>0</v>
      </c>
      <c r="AR21" s="13">
        <f>'Fil de l''eau'!AR64</f>
        <v>0</v>
      </c>
      <c r="AS21" s="13">
        <f>'Fil de l''eau'!AS64</f>
        <v>0</v>
      </c>
      <c r="AT21" s="13">
        <f>'Fil de l''eau'!AT64</f>
        <v>0</v>
      </c>
      <c r="AU21" s="13">
        <f>'Fil de l''eau'!AU64</f>
        <v>0</v>
      </c>
      <c r="AV21" s="13">
        <f>'Fil de l''eau'!AV64</f>
        <v>0</v>
      </c>
      <c r="AW21" s="13">
        <f>'Fil de l''eau'!AW64</f>
        <v>0</v>
      </c>
      <c r="AX21" s="13">
        <f>'Fil de l''eau'!AX64</f>
        <v>0</v>
      </c>
      <c r="AY21" s="13">
        <f>'Fil de l''eau'!AY64</f>
        <v>0</v>
      </c>
      <c r="AZ21" s="13">
        <f>'Fil de l''eau'!AZ64</f>
        <v>0</v>
      </c>
      <c r="BA21" s="11"/>
      <c r="BB21" s="15" t="str">
        <f>'Fil de l''eau'!BC64</f>
        <v>43</v>
      </c>
      <c r="BC21" s="16" t="str">
        <f>'Fil de l''eau'!BD64</f>
        <v>Auvergne</v>
      </c>
    </row>
    <row r="22" spans="1:59" ht="45" hidden="1" outlineLevel="1" x14ac:dyDescent="0.25">
      <c r="A22" s="17" t="str">
        <f>'Fil de l''eau'!A65</f>
        <v>CIMAC</v>
      </c>
      <c r="B22" s="18" t="str">
        <f>'Fil de l''eau'!B65</f>
        <v>Agroalimentaire</v>
      </c>
      <c r="C22" s="18" t="str">
        <f>'Fil de l''eau'!C65</f>
        <v>D029c</v>
      </c>
      <c r="D22" s="19" t="str">
        <f>'Fil de l''eau'!D65</f>
        <v>Chambre d'Agriculture du Puy-de-Dôme</v>
      </c>
      <c r="E22" s="19" t="str">
        <f>'Fil de l''eau'!E65</f>
        <v xml:space="preserve">AEOLE. Les prairies du Massif central : un atout économique pour construire des systèmes d'élevage performants </v>
      </c>
      <c r="F22" s="20">
        <f>'Fil de l''eau'!F65</f>
        <v>30077.590958937493</v>
      </c>
      <c r="G22" s="20">
        <f>'Fil de l''eau'!G65</f>
        <v>0</v>
      </c>
      <c r="H22" s="20">
        <f>'Fil de l''eau'!H65</f>
        <v>0</v>
      </c>
      <c r="I22" s="21">
        <f>'Fil de l''eau'!I65</f>
        <v>0</v>
      </c>
      <c r="J22" s="20">
        <f>'Fil de l''eau'!J65</f>
        <v>0</v>
      </c>
      <c r="K22" s="20">
        <f>'Fil de l''eau'!K65</f>
        <v>0</v>
      </c>
      <c r="L22" s="24">
        <f>'Fil de l''eau'!L65</f>
        <v>0</v>
      </c>
      <c r="M22" s="20">
        <f>'Fil de l''eau'!M65</f>
        <v>0</v>
      </c>
      <c r="N22" s="21" t="str">
        <f>'Fil de l''eau'!N65</f>
        <v/>
      </c>
      <c r="O22" s="20">
        <f>'Fil de l''eau'!O65</f>
        <v>0</v>
      </c>
      <c r="P22" s="20">
        <f>'Fil de l''eau'!P65</f>
        <v>0</v>
      </c>
      <c r="Q22" s="20">
        <f>'Fil de l''eau'!Q65</f>
        <v>0</v>
      </c>
      <c r="R22" s="20">
        <f>'Fil de l''eau'!R65</f>
        <v>0</v>
      </c>
      <c r="S22" s="20">
        <f>'Fil de l''eau'!S65</f>
        <v>0</v>
      </c>
      <c r="T22" s="20">
        <f>'Fil de l''eau'!T65</f>
        <v>0</v>
      </c>
      <c r="U22" s="20">
        <f>'Fil de l''eau'!U65</f>
        <v>0</v>
      </c>
      <c r="V22" s="20">
        <f>'Fil de l''eau'!V65</f>
        <v>0</v>
      </c>
      <c r="W22" s="20">
        <f>'Fil de l''eau'!W65</f>
        <v>0</v>
      </c>
      <c r="X22" s="20">
        <f>'Fil de l''eau'!X65</f>
        <v>0</v>
      </c>
      <c r="Y22" s="20">
        <f>'Fil de l''eau'!Y65</f>
        <v>0</v>
      </c>
      <c r="Z22" s="20">
        <f>'Fil de l''eau'!Z65</f>
        <v>0</v>
      </c>
      <c r="AA22" s="20">
        <f>'Fil de l''eau'!AA65</f>
        <v>0</v>
      </c>
      <c r="AB22" s="20">
        <f>'Fil de l''eau'!AB65</f>
        <v>0</v>
      </c>
      <c r="AC22" s="20">
        <f>'Fil de l''eau'!AC65</f>
        <v>0</v>
      </c>
      <c r="AD22" s="20">
        <f>'Fil de l''eau'!AD65</f>
        <v>0</v>
      </c>
      <c r="AE22" s="20">
        <f>'Fil de l''eau'!AE65</f>
        <v>0</v>
      </c>
      <c r="AF22" s="20">
        <f>'Fil de l''eau'!AF65</f>
        <v>0</v>
      </c>
      <c r="AG22" s="20">
        <f>'Fil de l''eau'!AG65</f>
        <v>0</v>
      </c>
      <c r="AH22" s="20">
        <f>'Fil de l''eau'!AH65</f>
        <v>0</v>
      </c>
      <c r="AI22" s="20">
        <f>'Fil de l''eau'!AI65</f>
        <v>0</v>
      </c>
      <c r="AJ22" s="20">
        <f>'Fil de l''eau'!AJ65</f>
        <v>0</v>
      </c>
      <c r="AK22" s="20">
        <f>'Fil de l''eau'!AK65</f>
        <v>0</v>
      </c>
      <c r="AL22" s="20">
        <f>'Fil de l''eau'!AL65</f>
        <v>0</v>
      </c>
      <c r="AM22" s="20">
        <f>'Fil de l''eau'!AM65</f>
        <v>0</v>
      </c>
      <c r="AN22" s="20">
        <f>'Fil de l''eau'!AN65</f>
        <v>0</v>
      </c>
      <c r="AO22" s="20">
        <f>'Fil de l''eau'!AO65</f>
        <v>0</v>
      </c>
      <c r="AP22" s="20">
        <f>'Fil de l''eau'!AP65</f>
        <v>0</v>
      </c>
      <c r="AQ22" s="20">
        <f>'Fil de l''eau'!AQ65</f>
        <v>0</v>
      </c>
      <c r="AR22" s="20">
        <f>'Fil de l''eau'!AR65</f>
        <v>0</v>
      </c>
      <c r="AS22" s="20">
        <f>'Fil de l''eau'!AS65</f>
        <v>0</v>
      </c>
      <c r="AT22" s="20">
        <f>'Fil de l''eau'!AT65</f>
        <v>0</v>
      </c>
      <c r="AU22" s="20">
        <f>'Fil de l''eau'!AU65</f>
        <v>0</v>
      </c>
      <c r="AV22" s="20">
        <f>'Fil de l''eau'!AV65</f>
        <v>0</v>
      </c>
      <c r="AW22" s="20">
        <f>'Fil de l''eau'!AW65</f>
        <v>0</v>
      </c>
      <c r="AX22" s="20">
        <f>'Fil de l''eau'!AX65</f>
        <v>0</v>
      </c>
      <c r="AY22" s="20">
        <f>'Fil de l''eau'!AY65</f>
        <v>0</v>
      </c>
      <c r="AZ22" s="20">
        <f>'Fil de l''eau'!AZ65</f>
        <v>0</v>
      </c>
      <c r="BA22" s="18"/>
      <c r="BB22" s="22" t="str">
        <f>'Fil de l''eau'!BC65</f>
        <v>63</v>
      </c>
      <c r="BC22" s="23" t="str">
        <f>'Fil de l''eau'!BD65</f>
        <v>Auvergne</v>
      </c>
    </row>
    <row r="23" spans="1:59" ht="60" hidden="1" outlineLevel="1" x14ac:dyDescent="0.25">
      <c r="A23" s="10" t="str">
        <f>'Fil de l''eau'!A66</f>
        <v>CIMAC</v>
      </c>
      <c r="B23" s="11" t="str">
        <f>'Fil de l''eau'!B66</f>
        <v>Agroalimentaire</v>
      </c>
      <c r="C23" s="11" t="str">
        <f>'Fil de l''eau'!C66</f>
        <v>D029d</v>
      </c>
      <c r="D23" s="12" t="str">
        <f>'Fil de l''eau'!D66</f>
        <v>Pôle fromager AOP Massif central</v>
      </c>
      <c r="E23" s="12" t="str">
        <f>'Fil de l''eau'!E66</f>
        <v xml:space="preserve">AEOLE. Les prairies du Massif central : un atout économique pour construire des systèmes d'élevage performants </v>
      </c>
      <c r="F23" s="13">
        <f>'Fil de l''eau'!F66</f>
        <v>5975.0525773195877</v>
      </c>
      <c r="G23" s="13">
        <f>'Fil de l''eau'!G66</f>
        <v>0</v>
      </c>
      <c r="H23" s="13">
        <f>'Fil de l''eau'!H66</f>
        <v>0</v>
      </c>
      <c r="I23" s="14">
        <f>'Fil de l''eau'!I66</f>
        <v>0</v>
      </c>
      <c r="J23" s="13">
        <f>'Fil de l''eau'!J66</f>
        <v>0</v>
      </c>
      <c r="K23" s="13">
        <f>'Fil de l''eau'!K66</f>
        <v>0</v>
      </c>
      <c r="L23" s="14">
        <f>'Fil de l''eau'!L66</f>
        <v>0</v>
      </c>
      <c r="M23" s="13">
        <f>'Fil de l''eau'!M66</f>
        <v>0</v>
      </c>
      <c r="N23" s="14" t="str">
        <f>'Fil de l''eau'!N66</f>
        <v/>
      </c>
      <c r="O23" s="13">
        <f>'Fil de l''eau'!O66</f>
        <v>0</v>
      </c>
      <c r="P23" s="13">
        <f>'Fil de l''eau'!P66</f>
        <v>0</v>
      </c>
      <c r="Q23" s="13">
        <f>'Fil de l''eau'!Q66</f>
        <v>0</v>
      </c>
      <c r="R23" s="13">
        <f>'Fil de l''eau'!R66</f>
        <v>0</v>
      </c>
      <c r="S23" s="13">
        <f>'Fil de l''eau'!S66</f>
        <v>0</v>
      </c>
      <c r="T23" s="13">
        <f>'Fil de l''eau'!T66</f>
        <v>0</v>
      </c>
      <c r="U23" s="13">
        <f>'Fil de l''eau'!U66</f>
        <v>0</v>
      </c>
      <c r="V23" s="13">
        <f>'Fil de l''eau'!V66</f>
        <v>0</v>
      </c>
      <c r="W23" s="13">
        <f>'Fil de l''eau'!W66</f>
        <v>0</v>
      </c>
      <c r="X23" s="13">
        <f>'Fil de l''eau'!X66</f>
        <v>0</v>
      </c>
      <c r="Y23" s="13">
        <f>'Fil de l''eau'!Y66</f>
        <v>0</v>
      </c>
      <c r="Z23" s="13">
        <f>'Fil de l''eau'!Z66</f>
        <v>0</v>
      </c>
      <c r="AA23" s="13">
        <f>'Fil de l''eau'!AA66</f>
        <v>0</v>
      </c>
      <c r="AB23" s="13">
        <f>'Fil de l''eau'!AB66</f>
        <v>0</v>
      </c>
      <c r="AC23" s="13">
        <f>'Fil de l''eau'!AC66</f>
        <v>0</v>
      </c>
      <c r="AD23" s="13">
        <f>'Fil de l''eau'!AD66</f>
        <v>0</v>
      </c>
      <c r="AE23" s="13">
        <f>'Fil de l''eau'!AE66</f>
        <v>0</v>
      </c>
      <c r="AF23" s="13">
        <f>'Fil de l''eau'!AF66</f>
        <v>0</v>
      </c>
      <c r="AG23" s="13">
        <f>'Fil de l''eau'!AG66</f>
        <v>0</v>
      </c>
      <c r="AH23" s="13">
        <f>'Fil de l''eau'!AH66</f>
        <v>0</v>
      </c>
      <c r="AI23" s="13">
        <f>'Fil de l''eau'!AI66</f>
        <v>0</v>
      </c>
      <c r="AJ23" s="13">
        <f>'Fil de l''eau'!AJ66</f>
        <v>0</v>
      </c>
      <c r="AK23" s="13">
        <f>'Fil de l''eau'!AK66</f>
        <v>0</v>
      </c>
      <c r="AL23" s="13">
        <f>'Fil de l''eau'!AL66</f>
        <v>0</v>
      </c>
      <c r="AM23" s="13">
        <f>'Fil de l''eau'!AM66</f>
        <v>0</v>
      </c>
      <c r="AN23" s="13">
        <f>'Fil de l''eau'!AN66</f>
        <v>0</v>
      </c>
      <c r="AO23" s="13">
        <f>'Fil de l''eau'!AO66</f>
        <v>0</v>
      </c>
      <c r="AP23" s="13">
        <f>'Fil de l''eau'!AP66</f>
        <v>0</v>
      </c>
      <c r="AQ23" s="13">
        <f>'Fil de l''eau'!AQ66</f>
        <v>0</v>
      </c>
      <c r="AR23" s="13">
        <f>'Fil de l''eau'!AR66</f>
        <v>0</v>
      </c>
      <c r="AS23" s="13">
        <f>'Fil de l''eau'!AS66</f>
        <v>0</v>
      </c>
      <c r="AT23" s="13">
        <f>'Fil de l''eau'!AT66</f>
        <v>0</v>
      </c>
      <c r="AU23" s="13">
        <f>'Fil de l''eau'!AU66</f>
        <v>0</v>
      </c>
      <c r="AV23" s="13">
        <f>'Fil de l''eau'!AV66</f>
        <v>0</v>
      </c>
      <c r="AW23" s="13">
        <f>'Fil de l''eau'!AW66</f>
        <v>0</v>
      </c>
      <c r="AX23" s="13">
        <f>'Fil de l''eau'!AX66</f>
        <v>0</v>
      </c>
      <c r="AY23" s="13">
        <f>'Fil de l''eau'!AY66</f>
        <v>0</v>
      </c>
      <c r="AZ23" s="13">
        <f>'Fil de l''eau'!AZ66</f>
        <v>0</v>
      </c>
      <c r="BA23" s="11"/>
      <c r="BB23" s="15" t="str">
        <f>'Fil de l''eau'!BC66</f>
        <v>15</v>
      </c>
      <c r="BC23" s="16" t="str">
        <f>'Fil de l''eau'!BD66</f>
        <v>Auvergne</v>
      </c>
    </row>
    <row r="24" spans="1:59" ht="45" hidden="1" outlineLevel="1" x14ac:dyDescent="0.25">
      <c r="A24" s="17" t="str">
        <f>'Fil de l''eau'!A67</f>
        <v>CIMAC</v>
      </c>
      <c r="B24" s="18" t="str">
        <f>'Fil de l''eau'!B67</f>
        <v>Agroalimentaire</v>
      </c>
      <c r="C24" s="18" t="str">
        <f>'Fil de l''eau'!C67</f>
        <v>D029e</v>
      </c>
      <c r="D24" s="19" t="str">
        <f>'Fil de l''eau'!D67</f>
        <v>Chambre d'agriculture de l'Ardèche</v>
      </c>
      <c r="E24" s="19" t="str">
        <f>'Fil de l''eau'!E67</f>
        <v xml:space="preserve">AEOLE. Les prairies du Massif central : un atout économique pour construire des systèmes d'élevage performants </v>
      </c>
      <c r="F24" s="20">
        <f>'Fil de l''eau'!F67</f>
        <v>25153.99</v>
      </c>
      <c r="G24" s="20">
        <f>'Fil de l''eau'!G67</f>
        <v>0</v>
      </c>
      <c r="H24" s="20">
        <f>'Fil de l''eau'!H67</f>
        <v>0</v>
      </c>
      <c r="I24" s="21">
        <f>'Fil de l''eau'!I67</f>
        <v>0</v>
      </c>
      <c r="J24" s="20">
        <f>'Fil de l''eau'!J67</f>
        <v>0</v>
      </c>
      <c r="K24" s="20">
        <f>'Fil de l''eau'!K67</f>
        <v>0</v>
      </c>
      <c r="L24" s="24">
        <f>'Fil de l''eau'!L67</f>
        <v>0</v>
      </c>
      <c r="M24" s="20">
        <f>'Fil de l''eau'!M67</f>
        <v>0</v>
      </c>
      <c r="N24" s="21" t="str">
        <f>'Fil de l''eau'!N67</f>
        <v/>
      </c>
      <c r="O24" s="20">
        <f>'Fil de l''eau'!O67</f>
        <v>0</v>
      </c>
      <c r="P24" s="20">
        <f>'Fil de l''eau'!P67</f>
        <v>0</v>
      </c>
      <c r="Q24" s="20">
        <f>'Fil de l''eau'!Q67</f>
        <v>0</v>
      </c>
      <c r="R24" s="20">
        <f>'Fil de l''eau'!R67</f>
        <v>0</v>
      </c>
      <c r="S24" s="20">
        <f>'Fil de l''eau'!S67</f>
        <v>0</v>
      </c>
      <c r="T24" s="20">
        <f>'Fil de l''eau'!T67</f>
        <v>0</v>
      </c>
      <c r="U24" s="20">
        <f>'Fil de l''eau'!U67</f>
        <v>0</v>
      </c>
      <c r="V24" s="20">
        <f>'Fil de l''eau'!V67</f>
        <v>0</v>
      </c>
      <c r="W24" s="20">
        <f>'Fil de l''eau'!W67</f>
        <v>0</v>
      </c>
      <c r="X24" s="20">
        <f>'Fil de l''eau'!X67</f>
        <v>0</v>
      </c>
      <c r="Y24" s="20">
        <f>'Fil de l''eau'!Y67</f>
        <v>0</v>
      </c>
      <c r="Z24" s="20">
        <f>'Fil de l''eau'!Z67</f>
        <v>0</v>
      </c>
      <c r="AA24" s="20">
        <f>'Fil de l''eau'!AA67</f>
        <v>0</v>
      </c>
      <c r="AB24" s="20">
        <f>'Fil de l''eau'!AB67</f>
        <v>0</v>
      </c>
      <c r="AC24" s="20">
        <f>'Fil de l''eau'!AC67</f>
        <v>0</v>
      </c>
      <c r="AD24" s="20">
        <f>'Fil de l''eau'!AD67</f>
        <v>0</v>
      </c>
      <c r="AE24" s="20">
        <f>'Fil de l''eau'!AE67</f>
        <v>0</v>
      </c>
      <c r="AF24" s="20">
        <f>'Fil de l''eau'!AF67</f>
        <v>0</v>
      </c>
      <c r="AG24" s="20">
        <f>'Fil de l''eau'!AG67</f>
        <v>0</v>
      </c>
      <c r="AH24" s="20">
        <f>'Fil de l''eau'!AH67</f>
        <v>0</v>
      </c>
      <c r="AI24" s="20">
        <f>'Fil de l''eau'!AI67</f>
        <v>0</v>
      </c>
      <c r="AJ24" s="20">
        <f>'Fil de l''eau'!AJ67</f>
        <v>0</v>
      </c>
      <c r="AK24" s="20">
        <f>'Fil de l''eau'!AK67</f>
        <v>0</v>
      </c>
      <c r="AL24" s="20">
        <f>'Fil de l''eau'!AL67</f>
        <v>0</v>
      </c>
      <c r="AM24" s="20">
        <f>'Fil de l''eau'!AM67</f>
        <v>0</v>
      </c>
      <c r="AN24" s="20">
        <f>'Fil de l''eau'!AN67</f>
        <v>0</v>
      </c>
      <c r="AO24" s="20">
        <f>'Fil de l''eau'!AO67</f>
        <v>0</v>
      </c>
      <c r="AP24" s="20">
        <f>'Fil de l''eau'!AP67</f>
        <v>0</v>
      </c>
      <c r="AQ24" s="20">
        <f>'Fil de l''eau'!AQ67</f>
        <v>0</v>
      </c>
      <c r="AR24" s="20">
        <f>'Fil de l''eau'!AR67</f>
        <v>0</v>
      </c>
      <c r="AS24" s="20">
        <f>'Fil de l''eau'!AS67</f>
        <v>0</v>
      </c>
      <c r="AT24" s="20">
        <f>'Fil de l''eau'!AT67</f>
        <v>0</v>
      </c>
      <c r="AU24" s="20">
        <f>'Fil de l''eau'!AU67</f>
        <v>0</v>
      </c>
      <c r="AV24" s="20">
        <f>'Fil de l''eau'!AV67</f>
        <v>0</v>
      </c>
      <c r="AW24" s="20">
        <f>'Fil de l''eau'!AW67</f>
        <v>0</v>
      </c>
      <c r="AX24" s="20">
        <f>'Fil de l''eau'!AX67</f>
        <v>0</v>
      </c>
      <c r="AY24" s="20">
        <f>'Fil de l''eau'!AY67</f>
        <v>0</v>
      </c>
      <c r="AZ24" s="20">
        <f>'Fil de l''eau'!AZ67</f>
        <v>0</v>
      </c>
      <c r="BA24" s="18"/>
      <c r="BB24" s="22" t="str">
        <f>'Fil de l''eau'!BC67</f>
        <v>07</v>
      </c>
      <c r="BC24" s="23" t="str">
        <f>'Fil de l''eau'!BD67</f>
        <v>Rhône-Alpes</v>
      </c>
    </row>
    <row r="25" spans="1:59" ht="30" collapsed="1" x14ac:dyDescent="0.25">
      <c r="A25" s="10" t="s">
        <v>190</v>
      </c>
      <c r="B25" s="11" t="s">
        <v>234</v>
      </c>
      <c r="C25" s="11" t="s">
        <v>295</v>
      </c>
      <c r="D25" s="12" t="s">
        <v>294</v>
      </c>
      <c r="E25" s="12" t="s">
        <v>238</v>
      </c>
      <c r="F25" s="13">
        <f>SUM(F26:F29)</f>
        <v>361333.51455478708</v>
      </c>
      <c r="G25" s="13">
        <f t="shared" ref="G25" si="79">SUM(G26:G29)</f>
        <v>0</v>
      </c>
      <c r="H25" s="13">
        <f t="shared" ref="H25" si="80">SUM(H26:H29)</f>
        <v>10000</v>
      </c>
      <c r="I25" s="14">
        <f>H25/F25</f>
        <v>2.7675262872643807E-2</v>
      </c>
      <c r="J25" s="13">
        <f t="shared" ref="J25" si="81">SUM(J26:J29)</f>
        <v>0</v>
      </c>
      <c r="K25" s="13">
        <f t="shared" ref="K25" si="82">SUM(K26:K29)</f>
        <v>269947.51</v>
      </c>
      <c r="L25" s="14">
        <f>K25/F25</f>
        <v>0.74708683010656429</v>
      </c>
      <c r="M25" s="13">
        <f t="shared" ref="M25" si="83">SUM(M26:M29)</f>
        <v>0</v>
      </c>
      <c r="N25" s="14">
        <f>M25/F25</f>
        <v>0</v>
      </c>
      <c r="O25" s="13">
        <f t="shared" ref="O25" si="84">SUM(O26:O29)</f>
        <v>10000</v>
      </c>
      <c r="P25" s="13">
        <f t="shared" ref="P25" si="85">SUM(P26:P29)</f>
        <v>23627</v>
      </c>
      <c r="Q25" s="13">
        <f t="shared" ref="Q25" si="86">SUM(Q26:Q29)</f>
        <v>0</v>
      </c>
      <c r="R25" s="13">
        <f t="shared" ref="R25" si="87">SUM(R26:R29)</f>
        <v>0</v>
      </c>
      <c r="S25" s="13">
        <f t="shared" ref="S25" si="88">SUM(S26:S29)</f>
        <v>0</v>
      </c>
      <c r="T25" s="13">
        <f t="shared" ref="T25" si="89">SUM(T26:T29)</f>
        <v>10000</v>
      </c>
      <c r="U25" s="13">
        <f t="shared" ref="U25" si="90">SUM(U26:U29)</f>
        <v>0</v>
      </c>
      <c r="V25" s="13">
        <f t="shared" ref="V25" si="91">SUM(V26:V29)</f>
        <v>0</v>
      </c>
      <c r="W25" s="13">
        <f t="shared" ref="W25" si="92">SUM(W26:W29)</f>
        <v>0</v>
      </c>
      <c r="X25" s="13">
        <f t="shared" ref="X25" si="93">SUM(X26:X29)</f>
        <v>0</v>
      </c>
      <c r="Y25" s="13">
        <f t="shared" ref="Y25" si="94">SUM(Y26:Y29)</f>
        <v>0</v>
      </c>
      <c r="Z25" s="13">
        <f t="shared" ref="Z25" si="95">SUM(Z26:Z29)</f>
        <v>0</v>
      </c>
      <c r="AA25" s="13">
        <f t="shared" ref="AA25" si="96">SUM(AA26:AA29)</f>
        <v>0</v>
      </c>
      <c r="AB25" s="13">
        <f t="shared" ref="AB25" si="97">SUM(AB26:AB29)</f>
        <v>0</v>
      </c>
      <c r="AC25" s="13">
        <f t="shared" ref="AC25" si="98">SUM(AC26:AC29)</f>
        <v>0</v>
      </c>
      <c r="AD25" s="13">
        <f t="shared" ref="AD25" si="99">SUM(AD26:AD29)</f>
        <v>0</v>
      </c>
      <c r="AE25" s="13">
        <f t="shared" ref="AE25" si="100">SUM(AE26:AE29)</f>
        <v>0</v>
      </c>
      <c r="AF25" s="13">
        <f t="shared" ref="AF25" si="101">SUM(AF26:AF29)</f>
        <v>0</v>
      </c>
      <c r="AG25" s="13">
        <f t="shared" ref="AG25" si="102">SUM(AG26:AG29)</f>
        <v>0</v>
      </c>
      <c r="AH25" s="13">
        <f t="shared" ref="AH25" si="103">SUM(AH26:AH29)</f>
        <v>0</v>
      </c>
      <c r="AI25" s="13">
        <f t="shared" ref="AI25" si="104">SUM(AI26:AI29)</f>
        <v>0</v>
      </c>
      <c r="AJ25" s="13">
        <f t="shared" ref="AJ25" si="105">SUM(AJ26:AJ29)</f>
        <v>0</v>
      </c>
      <c r="AK25" s="13">
        <f t="shared" ref="AK25" si="106">SUM(AK26:AK29)</f>
        <v>0</v>
      </c>
      <c r="AL25" s="13">
        <f t="shared" ref="AL25" si="107">SUM(AL26:AL29)</f>
        <v>0</v>
      </c>
      <c r="AM25" s="13">
        <f t="shared" ref="AM25" si="108">SUM(AM26:AM29)</f>
        <v>0</v>
      </c>
      <c r="AN25" s="13">
        <f t="shared" ref="AN25" si="109">SUM(AN26:AN29)</f>
        <v>0</v>
      </c>
      <c r="AO25" s="13">
        <f t="shared" ref="AO25" si="110">SUM(AO26:AO29)</f>
        <v>0</v>
      </c>
      <c r="AP25" s="13">
        <f t="shared" ref="AP25" si="111">SUM(AP26:AP29)</f>
        <v>0</v>
      </c>
      <c r="AQ25" s="13">
        <f t="shared" ref="AQ25" si="112">SUM(AQ26:AQ29)</f>
        <v>0</v>
      </c>
      <c r="AR25" s="13">
        <f t="shared" ref="AR25" si="113">SUM(AR26:AR29)</f>
        <v>0</v>
      </c>
      <c r="AS25" s="13">
        <f t="shared" ref="AS25" si="114">SUM(AS26:AS29)</f>
        <v>0</v>
      </c>
      <c r="AT25" s="13">
        <f t="shared" ref="AT25" si="115">SUM(AT26:AT29)</f>
        <v>0</v>
      </c>
      <c r="AU25" s="13">
        <f t="shared" ref="AU25" si="116">SUM(AU26:AU29)</f>
        <v>0</v>
      </c>
      <c r="AV25" s="13">
        <f t="shared" ref="AV25" si="117">SUM(AV26:AV29)</f>
        <v>0</v>
      </c>
      <c r="AW25" s="13">
        <f t="shared" ref="AW25" si="118">SUM(AW26:AW29)</f>
        <v>0</v>
      </c>
      <c r="AX25" s="13">
        <f t="shared" ref="AX25" si="119">SUM(AX26:AX29)</f>
        <v>0</v>
      </c>
      <c r="AY25" s="13">
        <f t="shared" ref="AY25" si="120">SUM(AY26:AY29)</f>
        <v>0</v>
      </c>
      <c r="AZ25" s="13">
        <f t="shared" ref="AZ25" si="121">SUM(AZ26:AZ29)</f>
        <v>0</v>
      </c>
      <c r="BA25" s="11"/>
      <c r="BB25" s="15" t="s">
        <v>291</v>
      </c>
      <c r="BC25" s="16" t="s">
        <v>292</v>
      </c>
    </row>
    <row r="26" spans="1:59" ht="30" outlineLevel="1" x14ac:dyDescent="0.25">
      <c r="A26" s="17" t="str">
        <f>'Fil de l''eau'!A68</f>
        <v>CIMAC</v>
      </c>
      <c r="B26" s="18" t="str">
        <f>'Fil de l''eau'!B68</f>
        <v>Agroalimentaire</v>
      </c>
      <c r="C26" s="18" t="str">
        <f>'Fil de l''eau'!C68</f>
        <v>D029f</v>
      </c>
      <c r="D26" s="19" t="str">
        <f>'Fil de l''eau'!D68</f>
        <v>Chambre d'Agriculture de l'Aveyron</v>
      </c>
      <c r="E26" s="19" t="str">
        <f>'Fil de l''eau'!E68</f>
        <v xml:space="preserve">AEOLE. Les prairies du Massif central : un atout économique pour construire des systèmes d'élevage performants </v>
      </c>
      <c r="F26" s="20">
        <f>'Fil de l''eau'!F68</f>
        <v>16449.025672371637</v>
      </c>
      <c r="G26" s="20">
        <f>'Fil de l''eau'!G68</f>
        <v>0</v>
      </c>
      <c r="H26" s="20">
        <f>'Fil de l''eau'!H68</f>
        <v>0</v>
      </c>
      <c r="I26" s="21">
        <f>'Fil de l''eau'!I68</f>
        <v>0</v>
      </c>
      <c r="J26" s="20">
        <f>'Fil de l''eau'!J68</f>
        <v>0</v>
      </c>
      <c r="K26" s="20">
        <f>'Fil de l''eau'!K68</f>
        <v>0</v>
      </c>
      <c r="L26" s="24">
        <f>'Fil de l''eau'!L68</f>
        <v>0</v>
      </c>
      <c r="M26" s="20">
        <f>'Fil de l''eau'!M68</f>
        <v>0</v>
      </c>
      <c r="N26" s="21" t="str">
        <f>'Fil de l''eau'!N68</f>
        <v/>
      </c>
      <c r="O26" s="20">
        <f>'Fil de l''eau'!O68</f>
        <v>0</v>
      </c>
      <c r="P26" s="20">
        <f>'Fil de l''eau'!P68</f>
        <v>0</v>
      </c>
      <c r="Q26" s="20">
        <f>'Fil de l''eau'!Q68</f>
        <v>0</v>
      </c>
      <c r="R26" s="20">
        <f>'Fil de l''eau'!R68</f>
        <v>0</v>
      </c>
      <c r="S26" s="20">
        <f>'Fil de l''eau'!S68</f>
        <v>0</v>
      </c>
      <c r="T26" s="20">
        <f>'Fil de l''eau'!T68</f>
        <v>0</v>
      </c>
      <c r="U26" s="20">
        <f>'Fil de l''eau'!U68</f>
        <v>0</v>
      </c>
      <c r="V26" s="20">
        <f>'Fil de l''eau'!V68</f>
        <v>0</v>
      </c>
      <c r="W26" s="20">
        <f>'Fil de l''eau'!W68</f>
        <v>0</v>
      </c>
      <c r="X26" s="20">
        <f>'Fil de l''eau'!X68</f>
        <v>0</v>
      </c>
      <c r="Y26" s="20">
        <f>'Fil de l''eau'!Y68</f>
        <v>0</v>
      </c>
      <c r="Z26" s="20">
        <f>'Fil de l''eau'!Z68</f>
        <v>0</v>
      </c>
      <c r="AA26" s="20">
        <f>'Fil de l''eau'!AA68</f>
        <v>0</v>
      </c>
      <c r="AB26" s="20">
        <f>'Fil de l''eau'!AB68</f>
        <v>0</v>
      </c>
      <c r="AC26" s="20">
        <f>'Fil de l''eau'!AC68</f>
        <v>0</v>
      </c>
      <c r="AD26" s="20">
        <f>'Fil de l''eau'!AD68</f>
        <v>0</v>
      </c>
      <c r="AE26" s="20">
        <f>'Fil de l''eau'!AE68</f>
        <v>0</v>
      </c>
      <c r="AF26" s="20">
        <f>'Fil de l''eau'!AF68</f>
        <v>0</v>
      </c>
      <c r="AG26" s="20">
        <f>'Fil de l''eau'!AG68</f>
        <v>0</v>
      </c>
      <c r="AH26" s="20">
        <f>'Fil de l''eau'!AH68</f>
        <v>0</v>
      </c>
      <c r="AI26" s="20">
        <f>'Fil de l''eau'!AI68</f>
        <v>0</v>
      </c>
      <c r="AJ26" s="20">
        <f>'Fil de l''eau'!AJ68</f>
        <v>0</v>
      </c>
      <c r="AK26" s="20">
        <f>'Fil de l''eau'!AK68</f>
        <v>0</v>
      </c>
      <c r="AL26" s="20">
        <f>'Fil de l''eau'!AL68</f>
        <v>0</v>
      </c>
      <c r="AM26" s="20">
        <f>'Fil de l''eau'!AM68</f>
        <v>0</v>
      </c>
      <c r="AN26" s="20">
        <f>'Fil de l''eau'!AN68</f>
        <v>0</v>
      </c>
      <c r="AO26" s="20">
        <f>'Fil de l''eau'!AO68</f>
        <v>0</v>
      </c>
      <c r="AP26" s="20">
        <f>'Fil de l''eau'!AP68</f>
        <v>0</v>
      </c>
      <c r="AQ26" s="20">
        <f>'Fil de l''eau'!AQ68</f>
        <v>0</v>
      </c>
      <c r="AR26" s="20">
        <f>'Fil de l''eau'!AR68</f>
        <v>0</v>
      </c>
      <c r="AS26" s="20">
        <f>'Fil de l''eau'!AS68</f>
        <v>0</v>
      </c>
      <c r="AT26" s="20">
        <f>'Fil de l''eau'!AT68</f>
        <v>0</v>
      </c>
      <c r="AU26" s="20">
        <f>'Fil de l''eau'!AU68</f>
        <v>0</v>
      </c>
      <c r="AV26" s="20">
        <f>'Fil de l''eau'!AV68</f>
        <v>0</v>
      </c>
      <c r="AW26" s="20">
        <f>'Fil de l''eau'!AW68</f>
        <v>0</v>
      </c>
      <c r="AX26" s="20">
        <f>'Fil de l''eau'!AX68</f>
        <v>0</v>
      </c>
      <c r="AY26" s="20">
        <f>'Fil de l''eau'!AY68</f>
        <v>0</v>
      </c>
      <c r="AZ26" s="20">
        <f>'Fil de l''eau'!AZ68</f>
        <v>0</v>
      </c>
      <c r="BA26" s="18" t="str">
        <f>'Fil de l''eau'!BB68</f>
        <v>4-Ajournement</v>
      </c>
      <c r="BB26" s="22" t="str">
        <f>'Fil de l''eau'!BC68</f>
        <v>12</v>
      </c>
      <c r="BC26" s="23" t="str">
        <f>'Fil de l''eau'!BD68</f>
        <v>Midi-Pyrénées</v>
      </c>
    </row>
    <row r="27" spans="1:59" ht="30" outlineLevel="1" x14ac:dyDescent="0.25">
      <c r="A27" s="10" t="str">
        <f>'Fil de l''eau'!A69</f>
        <v>CIMAC</v>
      </c>
      <c r="B27" s="11" t="str">
        <f>'Fil de l''eau'!B69</f>
        <v>Agroalimentaire</v>
      </c>
      <c r="C27" s="11" t="str">
        <f>'Fil de l''eau'!C69</f>
        <v>D029g</v>
      </c>
      <c r="D27" s="12" t="str">
        <f>'Fil de l''eau'!D69</f>
        <v>Chambre d'Agriculture du Cantal</v>
      </c>
      <c r="E27" s="12" t="str">
        <f>'Fil de l''eau'!E69</f>
        <v xml:space="preserve">AEOLE. Les prairies du Massif central : un atout économique pour construire des systèmes d'élevage performants </v>
      </c>
      <c r="F27" s="13">
        <f>'Fil de l''eau'!F69</f>
        <v>23124.245714285717</v>
      </c>
      <c r="G27" s="13">
        <f>'Fil de l''eau'!G69</f>
        <v>0</v>
      </c>
      <c r="H27" s="13">
        <f>'Fil de l''eau'!H69</f>
        <v>0</v>
      </c>
      <c r="I27" s="14">
        <f>'Fil de l''eau'!I69</f>
        <v>0</v>
      </c>
      <c r="J27" s="13">
        <f>'Fil de l''eau'!J69</f>
        <v>0</v>
      </c>
      <c r="K27" s="13">
        <f>'Fil de l''eau'!K69</f>
        <v>0</v>
      </c>
      <c r="L27" s="14">
        <f>'Fil de l''eau'!L69</f>
        <v>0</v>
      </c>
      <c r="M27" s="13">
        <f>'Fil de l''eau'!M69</f>
        <v>0</v>
      </c>
      <c r="N27" s="14" t="str">
        <f>'Fil de l''eau'!N69</f>
        <v/>
      </c>
      <c r="O27" s="13">
        <f>'Fil de l''eau'!O69</f>
        <v>0</v>
      </c>
      <c r="P27" s="13">
        <f>'Fil de l''eau'!P69</f>
        <v>0</v>
      </c>
      <c r="Q27" s="13">
        <f>'Fil de l''eau'!Q69</f>
        <v>0</v>
      </c>
      <c r="R27" s="13">
        <f>'Fil de l''eau'!R69</f>
        <v>0</v>
      </c>
      <c r="S27" s="13">
        <f>'Fil de l''eau'!S69</f>
        <v>0</v>
      </c>
      <c r="T27" s="13">
        <f>'Fil de l''eau'!T69</f>
        <v>0</v>
      </c>
      <c r="U27" s="13">
        <f>'Fil de l''eau'!U69</f>
        <v>0</v>
      </c>
      <c r="V27" s="13">
        <f>'Fil de l''eau'!V69</f>
        <v>0</v>
      </c>
      <c r="W27" s="13">
        <f>'Fil de l''eau'!W69</f>
        <v>0</v>
      </c>
      <c r="X27" s="13">
        <f>'Fil de l''eau'!X69</f>
        <v>0</v>
      </c>
      <c r="Y27" s="13">
        <f>'Fil de l''eau'!Y69</f>
        <v>0</v>
      </c>
      <c r="Z27" s="13">
        <f>'Fil de l''eau'!Z69</f>
        <v>0</v>
      </c>
      <c r="AA27" s="13">
        <f>'Fil de l''eau'!AA69</f>
        <v>0</v>
      </c>
      <c r="AB27" s="13">
        <f>'Fil de l''eau'!AB69</f>
        <v>0</v>
      </c>
      <c r="AC27" s="13">
        <f>'Fil de l''eau'!AC69</f>
        <v>0</v>
      </c>
      <c r="AD27" s="13">
        <f>'Fil de l''eau'!AD69</f>
        <v>0</v>
      </c>
      <c r="AE27" s="13">
        <f>'Fil de l''eau'!AE69</f>
        <v>0</v>
      </c>
      <c r="AF27" s="13">
        <f>'Fil de l''eau'!AF69</f>
        <v>0</v>
      </c>
      <c r="AG27" s="13">
        <f>'Fil de l''eau'!AG69</f>
        <v>0</v>
      </c>
      <c r="AH27" s="13">
        <f>'Fil de l''eau'!AH69</f>
        <v>0</v>
      </c>
      <c r="AI27" s="13">
        <f>'Fil de l''eau'!AI69</f>
        <v>0</v>
      </c>
      <c r="AJ27" s="13">
        <f>'Fil de l''eau'!AJ69</f>
        <v>0</v>
      </c>
      <c r="AK27" s="13">
        <f>'Fil de l''eau'!AK69</f>
        <v>0</v>
      </c>
      <c r="AL27" s="13">
        <f>'Fil de l''eau'!AL69</f>
        <v>0</v>
      </c>
      <c r="AM27" s="13">
        <f>'Fil de l''eau'!AM69</f>
        <v>0</v>
      </c>
      <c r="AN27" s="13">
        <f>'Fil de l''eau'!AN69</f>
        <v>0</v>
      </c>
      <c r="AO27" s="13">
        <f>'Fil de l''eau'!AO69</f>
        <v>0</v>
      </c>
      <c r="AP27" s="13">
        <f>'Fil de l''eau'!AP69</f>
        <v>0</v>
      </c>
      <c r="AQ27" s="13">
        <f>'Fil de l''eau'!AQ69</f>
        <v>0</v>
      </c>
      <c r="AR27" s="13">
        <f>'Fil de l''eau'!AR69</f>
        <v>0</v>
      </c>
      <c r="AS27" s="13">
        <f>'Fil de l''eau'!AS69</f>
        <v>0</v>
      </c>
      <c r="AT27" s="13">
        <f>'Fil de l''eau'!AT69</f>
        <v>0</v>
      </c>
      <c r="AU27" s="13">
        <f>'Fil de l''eau'!AU69</f>
        <v>0</v>
      </c>
      <c r="AV27" s="13">
        <f>'Fil de l''eau'!AV69</f>
        <v>0</v>
      </c>
      <c r="AW27" s="13">
        <f>'Fil de l''eau'!AW69</f>
        <v>0</v>
      </c>
      <c r="AX27" s="13">
        <f>'Fil de l''eau'!AX69</f>
        <v>0</v>
      </c>
      <c r="AY27" s="13">
        <f>'Fil de l''eau'!AY69</f>
        <v>0</v>
      </c>
      <c r="AZ27" s="13">
        <f>'Fil de l''eau'!AZ69</f>
        <v>0</v>
      </c>
      <c r="BA27" s="11" t="str">
        <f>'Fil de l''eau'!BB69</f>
        <v>4-Ajournement</v>
      </c>
      <c r="BB27" s="15" t="str">
        <f>'Fil de l''eau'!BC69</f>
        <v>15</v>
      </c>
      <c r="BC27" s="16" t="str">
        <f>'Fil de l''eau'!BD69</f>
        <v>Auvergne</v>
      </c>
    </row>
    <row r="28" spans="1:59" ht="30" outlineLevel="1" x14ac:dyDescent="0.25">
      <c r="A28" s="17" t="str">
        <f>'Fil de l''eau'!A70</f>
        <v>CIMAC</v>
      </c>
      <c r="B28" s="18" t="str">
        <f>'Fil de l''eau'!B70</f>
        <v>Agroalimentaire</v>
      </c>
      <c r="C28" s="18" t="str">
        <f>'Fil de l''eau'!C70</f>
        <v>D029h</v>
      </c>
      <c r="D28" s="19" t="str">
        <f>'Fil de l''eau'!D70</f>
        <v>Chambre d'agriculture de la Lozère</v>
      </c>
      <c r="E28" s="19" t="str">
        <f>'Fil de l''eau'!E70</f>
        <v xml:space="preserve">AEOLE. Les prairies du Massif central : un atout économique pour construire des systèmes d'élevage performants </v>
      </c>
      <c r="F28" s="20">
        <f>'Fil de l''eau'!F70</f>
        <v>41812.733168129693</v>
      </c>
      <c r="G28" s="20">
        <f>'Fil de l''eau'!G70</f>
        <v>0</v>
      </c>
      <c r="H28" s="20">
        <f>'Fil de l''eau'!H70</f>
        <v>0</v>
      </c>
      <c r="I28" s="21">
        <f>'Fil de l''eau'!I70</f>
        <v>0</v>
      </c>
      <c r="J28" s="20">
        <f>'Fil de l''eau'!J70</f>
        <v>0</v>
      </c>
      <c r="K28" s="20">
        <f>'Fil de l''eau'!K70</f>
        <v>0</v>
      </c>
      <c r="L28" s="24">
        <f>'Fil de l''eau'!L70</f>
        <v>0</v>
      </c>
      <c r="M28" s="20">
        <f>'Fil de l''eau'!M70</f>
        <v>0</v>
      </c>
      <c r="N28" s="21" t="str">
        <f>'Fil de l''eau'!N70</f>
        <v/>
      </c>
      <c r="O28" s="20">
        <f>'Fil de l''eau'!O70</f>
        <v>0</v>
      </c>
      <c r="P28" s="20">
        <v>13627</v>
      </c>
      <c r="Q28" s="20">
        <f>'Fil de l''eau'!Q70</f>
        <v>0</v>
      </c>
      <c r="R28" s="20">
        <f>'Fil de l''eau'!R70</f>
        <v>0</v>
      </c>
      <c r="S28" s="20">
        <f>'Fil de l''eau'!S70</f>
        <v>0</v>
      </c>
      <c r="T28" s="20">
        <f>'Fil de l''eau'!T70</f>
        <v>0</v>
      </c>
      <c r="U28" s="20">
        <f>'Fil de l''eau'!U70</f>
        <v>0</v>
      </c>
      <c r="V28" s="20">
        <f>'Fil de l''eau'!V70</f>
        <v>0</v>
      </c>
      <c r="W28" s="20">
        <f>'Fil de l''eau'!W70</f>
        <v>0</v>
      </c>
      <c r="X28" s="20">
        <f>'Fil de l''eau'!X70</f>
        <v>0</v>
      </c>
      <c r="Y28" s="20">
        <f>'Fil de l''eau'!Y70</f>
        <v>0</v>
      </c>
      <c r="Z28" s="20">
        <f>'Fil de l''eau'!Z70</f>
        <v>0</v>
      </c>
      <c r="AA28" s="20">
        <f>'Fil de l''eau'!AA70</f>
        <v>0</v>
      </c>
      <c r="AB28" s="20">
        <f>'Fil de l''eau'!AB70</f>
        <v>0</v>
      </c>
      <c r="AC28" s="20">
        <f>'Fil de l''eau'!AC70</f>
        <v>0</v>
      </c>
      <c r="AD28" s="20">
        <f>'Fil de l''eau'!AD70</f>
        <v>0</v>
      </c>
      <c r="AE28" s="20">
        <f>'Fil de l''eau'!AE70</f>
        <v>0</v>
      </c>
      <c r="AF28" s="20">
        <f>'Fil de l''eau'!AF70</f>
        <v>0</v>
      </c>
      <c r="AG28" s="20">
        <f>'Fil de l''eau'!AG70</f>
        <v>0</v>
      </c>
      <c r="AH28" s="20">
        <f>'Fil de l''eau'!AH70</f>
        <v>0</v>
      </c>
      <c r="AI28" s="20">
        <f>'Fil de l''eau'!AI70</f>
        <v>0</v>
      </c>
      <c r="AJ28" s="20">
        <f>'Fil de l''eau'!AJ70</f>
        <v>0</v>
      </c>
      <c r="AK28" s="20">
        <f>'Fil de l''eau'!AK70</f>
        <v>0</v>
      </c>
      <c r="AL28" s="20">
        <f>'Fil de l''eau'!AL70</f>
        <v>0</v>
      </c>
      <c r="AM28" s="20">
        <f>'Fil de l''eau'!AM70</f>
        <v>0</v>
      </c>
      <c r="AN28" s="20">
        <f>'Fil de l''eau'!AN70</f>
        <v>0</v>
      </c>
      <c r="AO28" s="20">
        <f>'Fil de l''eau'!AO70</f>
        <v>0</v>
      </c>
      <c r="AP28" s="20">
        <f>'Fil de l''eau'!AP70</f>
        <v>0</v>
      </c>
      <c r="AQ28" s="20">
        <f>'Fil de l''eau'!AQ70</f>
        <v>0</v>
      </c>
      <c r="AR28" s="20">
        <f>'Fil de l''eau'!AR70</f>
        <v>0</v>
      </c>
      <c r="AS28" s="20">
        <f>'Fil de l''eau'!AS70</f>
        <v>0</v>
      </c>
      <c r="AT28" s="20">
        <f>'Fil de l''eau'!AT70</f>
        <v>0</v>
      </c>
      <c r="AU28" s="20">
        <f>'Fil de l''eau'!AU70</f>
        <v>0</v>
      </c>
      <c r="AV28" s="20">
        <f>'Fil de l''eau'!AV70</f>
        <v>0</v>
      </c>
      <c r="AW28" s="20">
        <f>'Fil de l''eau'!AW70</f>
        <v>0</v>
      </c>
      <c r="AX28" s="20">
        <f>'Fil de l''eau'!AX70</f>
        <v>0</v>
      </c>
      <c r="AY28" s="20">
        <f>'Fil de l''eau'!AY70</f>
        <v>0</v>
      </c>
      <c r="AZ28" s="20">
        <f>'Fil de l''eau'!AZ70</f>
        <v>0</v>
      </c>
      <c r="BA28" s="18" t="str">
        <f>'Fil de l''eau'!BB70</f>
        <v>4-Ajournement</v>
      </c>
      <c r="BB28" s="22" t="str">
        <f>'Fil de l''eau'!BC70</f>
        <v>48</v>
      </c>
      <c r="BC28" s="23" t="str">
        <f>'Fil de l''eau'!BD70</f>
        <v>Languedoc-Roussillon</v>
      </c>
    </row>
    <row r="29" spans="1:59" outlineLevel="1" x14ac:dyDescent="0.25">
      <c r="A29" s="10" t="str">
        <f>'Fil de l''eau'!A79</f>
        <v>CIMAC</v>
      </c>
      <c r="B29" s="11" t="str">
        <f>'Fil de l''eau'!B79</f>
        <v>Tourisme</v>
      </c>
      <c r="C29" s="11" t="str">
        <f>'Fil de l''eau'!C79</f>
        <v>D011</v>
      </c>
      <c r="D29" s="12" t="str">
        <f>'Fil de l''eau'!D79</f>
        <v>Braille et Culture</v>
      </c>
      <c r="E29" s="12" t="str">
        <f>'Fil de l''eau'!E79</f>
        <v>Le Massif central au bout des doigts</v>
      </c>
      <c r="F29" s="13">
        <f>'Fil de l''eau'!F79</f>
        <v>279947.51</v>
      </c>
      <c r="G29" s="13">
        <f>'Fil de l''eau'!G79</f>
        <v>0</v>
      </c>
      <c r="H29" s="13">
        <f>'Fil de l''eau'!H79</f>
        <v>10000</v>
      </c>
      <c r="I29" s="14">
        <f>'Fil de l''eau'!I79</f>
        <v>3.5720982122684354E-2</v>
      </c>
      <c r="J29" s="13">
        <f>'Fil de l''eau'!J79</f>
        <v>0</v>
      </c>
      <c r="K29" s="13">
        <f>'Fil de l''eau'!K79</f>
        <v>269947.51</v>
      </c>
      <c r="L29" s="14">
        <f>'Fil de l''eau'!L79</f>
        <v>0.96427901787731563</v>
      </c>
      <c r="M29" s="13">
        <f>'Fil de l''eau'!M79</f>
        <v>0</v>
      </c>
      <c r="N29" s="14" t="str">
        <f>'Fil de l''eau'!N79</f>
        <v/>
      </c>
      <c r="O29" s="13">
        <f>'Fil de l''eau'!O79</f>
        <v>10000</v>
      </c>
      <c r="P29" s="13">
        <f>'Fil de l''eau'!P79</f>
        <v>10000</v>
      </c>
      <c r="Q29" s="13">
        <f>'Fil de l''eau'!Q79</f>
        <v>0</v>
      </c>
      <c r="R29" s="13">
        <f>'Fil de l''eau'!R79</f>
        <v>0</v>
      </c>
      <c r="S29" s="13">
        <f>'Fil de l''eau'!S79</f>
        <v>0</v>
      </c>
      <c r="T29" s="13">
        <f>'Fil de l''eau'!T79</f>
        <v>10000</v>
      </c>
      <c r="U29" s="13">
        <f>'Fil de l''eau'!U79</f>
        <v>0</v>
      </c>
      <c r="V29" s="13">
        <f>'Fil de l''eau'!V79</f>
        <v>0</v>
      </c>
      <c r="W29" s="13">
        <f>'Fil de l''eau'!W79</f>
        <v>0</v>
      </c>
      <c r="X29" s="13">
        <f>'Fil de l''eau'!X79</f>
        <v>0</v>
      </c>
      <c r="Y29" s="13">
        <f>'Fil de l''eau'!Y79</f>
        <v>0</v>
      </c>
      <c r="Z29" s="13">
        <f>'Fil de l''eau'!Z79</f>
        <v>0</v>
      </c>
      <c r="AA29" s="13">
        <f>'Fil de l''eau'!AA79</f>
        <v>0</v>
      </c>
      <c r="AB29" s="13">
        <f>'Fil de l''eau'!AB79</f>
        <v>0</v>
      </c>
      <c r="AC29" s="13">
        <f>'Fil de l''eau'!AC79</f>
        <v>0</v>
      </c>
      <c r="AD29" s="13">
        <f>'Fil de l''eau'!AD79</f>
        <v>0</v>
      </c>
      <c r="AE29" s="13">
        <f>'Fil de l''eau'!AE79</f>
        <v>0</v>
      </c>
      <c r="AF29" s="13">
        <f>'Fil de l''eau'!AF79</f>
        <v>0</v>
      </c>
      <c r="AG29" s="13">
        <f>'Fil de l''eau'!AG79</f>
        <v>0</v>
      </c>
      <c r="AH29" s="13">
        <f>'Fil de l''eau'!AH79</f>
        <v>0</v>
      </c>
      <c r="AI29" s="13">
        <f>'Fil de l''eau'!AI79</f>
        <v>0</v>
      </c>
      <c r="AJ29" s="13">
        <f>'Fil de l''eau'!AJ79</f>
        <v>0</v>
      </c>
      <c r="AK29" s="13">
        <f>'Fil de l''eau'!AK79</f>
        <v>0</v>
      </c>
      <c r="AL29" s="13">
        <f>'Fil de l''eau'!AL79</f>
        <v>0</v>
      </c>
      <c r="AM29" s="13">
        <f>'Fil de l''eau'!AM79</f>
        <v>0</v>
      </c>
      <c r="AN29" s="13">
        <f>'Fil de l''eau'!AN79</f>
        <v>0</v>
      </c>
      <c r="AO29" s="13">
        <f>'Fil de l''eau'!AO79</f>
        <v>0</v>
      </c>
      <c r="AP29" s="13">
        <f>'Fil de l''eau'!AP79</f>
        <v>0</v>
      </c>
      <c r="AQ29" s="13">
        <f>'Fil de l''eau'!AQ79</f>
        <v>0</v>
      </c>
      <c r="AR29" s="13">
        <f>'Fil de l''eau'!AR79</f>
        <v>0</v>
      </c>
      <c r="AS29" s="13">
        <f>'Fil de l''eau'!AS79</f>
        <v>0</v>
      </c>
      <c r="AT29" s="13">
        <f>'Fil de l''eau'!AT79</f>
        <v>0</v>
      </c>
      <c r="AU29" s="13">
        <f>'Fil de l''eau'!AU79</f>
        <v>0</v>
      </c>
      <c r="AV29" s="13">
        <f>'Fil de l''eau'!AV79</f>
        <v>0</v>
      </c>
      <c r="AW29" s="13">
        <f>'Fil de l''eau'!AW79</f>
        <v>0</v>
      </c>
      <c r="AX29" s="13">
        <f>'Fil de l''eau'!AX79</f>
        <v>0</v>
      </c>
      <c r="AY29" s="13">
        <f>'Fil de l''eau'!AY79</f>
        <v>0</v>
      </c>
      <c r="AZ29" s="13">
        <f>'Fil de l''eau'!AZ79</f>
        <v>0</v>
      </c>
      <c r="BA29" s="11" t="str">
        <f>'Fil de l''eau'!BB79</f>
        <v>4-Ajournement</v>
      </c>
      <c r="BB29" s="15" t="str">
        <f>'Fil de l''eau'!BC79</f>
        <v>63</v>
      </c>
      <c r="BC29" s="16" t="str">
        <f>'Fil de l''eau'!BD79</f>
        <v>Auvergne</v>
      </c>
    </row>
    <row r="30" spans="1:59" s="1" customFormat="1" x14ac:dyDescent="0.25">
      <c r="A30" s="2"/>
      <c r="D30" s="3"/>
      <c r="E30" s="25" t="s">
        <v>290</v>
      </c>
      <c r="F30" s="26" t="e">
        <f>SUM(F18,F20,F25)</f>
        <v>#REF!</v>
      </c>
      <c r="G30" s="26" t="e">
        <f>SUM(G18,G20,G25)</f>
        <v>#REF!</v>
      </c>
      <c r="H30" s="26" t="e">
        <f>SUM(H18,H20,H25)</f>
        <v>#REF!</v>
      </c>
      <c r="I30" s="28" t="e">
        <f>H30/F30</f>
        <v>#REF!</v>
      </c>
      <c r="J30" s="25" t="e">
        <f>SUM(J18,J20,J25)</f>
        <v>#REF!</v>
      </c>
      <c r="K30" s="26" t="e">
        <f>SUM(K18,K20,K25)</f>
        <v>#REF!</v>
      </c>
      <c r="L30" s="28" t="e">
        <f>K30/F30</f>
        <v>#REF!</v>
      </c>
      <c r="M30" s="27" t="e">
        <f>SUM(M18,M20,M25)</f>
        <v>#REF!</v>
      </c>
      <c r="N30" s="29" t="e">
        <f>M30/F30</f>
        <v>#REF!</v>
      </c>
      <c r="O30" s="25" t="e">
        <f t="shared" ref="O30:AZ30" si="122">SUM(O18,O20,O25)</f>
        <v>#REF!</v>
      </c>
      <c r="P30" s="26" t="e">
        <f t="shared" si="122"/>
        <v>#REF!</v>
      </c>
      <c r="Q30" s="26" t="e">
        <f t="shared" si="122"/>
        <v>#REF!</v>
      </c>
      <c r="R30" s="27" t="e">
        <f t="shared" si="122"/>
        <v>#REF!</v>
      </c>
      <c r="S30" s="27" t="e">
        <f t="shared" si="122"/>
        <v>#REF!</v>
      </c>
      <c r="T30" s="25" t="e">
        <f t="shared" si="122"/>
        <v>#REF!</v>
      </c>
      <c r="U30" s="26" t="e">
        <f t="shared" si="122"/>
        <v>#REF!</v>
      </c>
      <c r="V30" s="26" t="e">
        <f t="shared" si="122"/>
        <v>#REF!</v>
      </c>
      <c r="W30" s="27" t="e">
        <f t="shared" si="122"/>
        <v>#REF!</v>
      </c>
      <c r="X30" s="27" t="e">
        <f t="shared" si="122"/>
        <v>#REF!</v>
      </c>
      <c r="Y30" s="25" t="e">
        <f t="shared" si="122"/>
        <v>#REF!</v>
      </c>
      <c r="Z30" s="26" t="e">
        <f t="shared" si="122"/>
        <v>#REF!</v>
      </c>
      <c r="AA30" s="26" t="e">
        <f t="shared" si="122"/>
        <v>#REF!</v>
      </c>
      <c r="AB30" s="27" t="e">
        <f t="shared" si="122"/>
        <v>#REF!</v>
      </c>
      <c r="AC30" s="27" t="e">
        <f t="shared" si="122"/>
        <v>#REF!</v>
      </c>
      <c r="AD30" s="25" t="e">
        <f t="shared" si="122"/>
        <v>#REF!</v>
      </c>
      <c r="AE30" s="26" t="e">
        <f t="shared" si="122"/>
        <v>#REF!</v>
      </c>
      <c r="AF30" s="26" t="e">
        <f t="shared" si="122"/>
        <v>#REF!</v>
      </c>
      <c r="AG30" s="27" t="e">
        <f t="shared" si="122"/>
        <v>#REF!</v>
      </c>
      <c r="AH30" s="27" t="e">
        <f t="shared" si="122"/>
        <v>#REF!</v>
      </c>
      <c r="AI30" s="25" t="e">
        <f t="shared" si="122"/>
        <v>#REF!</v>
      </c>
      <c r="AJ30" s="26" t="e">
        <f t="shared" si="122"/>
        <v>#REF!</v>
      </c>
      <c r="AK30" s="26" t="e">
        <f t="shared" si="122"/>
        <v>#REF!</v>
      </c>
      <c r="AL30" s="27" t="e">
        <f t="shared" si="122"/>
        <v>#REF!</v>
      </c>
      <c r="AM30" s="27" t="e">
        <f t="shared" si="122"/>
        <v>#REF!</v>
      </c>
      <c r="AN30" s="25" t="e">
        <f t="shared" si="122"/>
        <v>#REF!</v>
      </c>
      <c r="AO30" s="26" t="e">
        <f t="shared" si="122"/>
        <v>#REF!</v>
      </c>
      <c r="AP30" s="26" t="e">
        <f t="shared" si="122"/>
        <v>#REF!</v>
      </c>
      <c r="AQ30" s="27" t="e">
        <f t="shared" si="122"/>
        <v>#REF!</v>
      </c>
      <c r="AR30" s="27" t="e">
        <f t="shared" si="122"/>
        <v>#REF!</v>
      </c>
      <c r="AS30" s="25" t="e">
        <f t="shared" si="122"/>
        <v>#REF!</v>
      </c>
      <c r="AT30" s="26" t="e">
        <f t="shared" si="122"/>
        <v>#REF!</v>
      </c>
      <c r="AU30" s="26" t="e">
        <f t="shared" si="122"/>
        <v>#REF!</v>
      </c>
      <c r="AV30" s="27" t="e">
        <f t="shared" si="122"/>
        <v>#REF!</v>
      </c>
      <c r="AW30" s="27" t="e">
        <f t="shared" si="122"/>
        <v>#REF!</v>
      </c>
      <c r="AX30" s="25" t="e">
        <f t="shared" si="122"/>
        <v>#REF!</v>
      </c>
      <c r="AY30" s="26" t="e">
        <f t="shared" si="122"/>
        <v>#REF!</v>
      </c>
      <c r="AZ30" s="26" t="e">
        <f t="shared" si="122"/>
        <v>#REF!</v>
      </c>
      <c r="BA30" s="4"/>
      <c r="BB30" s="2"/>
      <c r="BC30" s="1">
        <f>SUBTOTAL(3,BC18,BC19,BC20,BC25)</f>
        <v>4</v>
      </c>
      <c r="BF30" s="5"/>
      <c r="BG30" s="5"/>
    </row>
    <row r="31" spans="1:59" s="1" customFormat="1" x14ac:dyDescent="0.25">
      <c r="A31" s="2"/>
      <c r="D31" s="3"/>
      <c r="E31" s="59"/>
      <c r="F31" s="59"/>
      <c r="G31" s="59"/>
      <c r="H31" s="59"/>
      <c r="I31" s="60"/>
      <c r="J31" s="59"/>
      <c r="K31" s="59"/>
      <c r="L31" s="60"/>
      <c r="M31" s="64">
        <v>1</v>
      </c>
      <c r="N31" s="62"/>
      <c r="O31" s="59"/>
      <c r="P31" s="59"/>
      <c r="Q31" s="59"/>
      <c r="R31" s="61"/>
      <c r="S31" s="61"/>
      <c r="T31" s="59"/>
      <c r="U31" s="59"/>
      <c r="V31" s="59"/>
      <c r="W31" s="61"/>
      <c r="X31" s="61"/>
      <c r="Y31" s="59"/>
      <c r="Z31" s="59"/>
      <c r="AA31" s="59"/>
      <c r="AB31" s="61"/>
      <c r="AC31" s="61"/>
      <c r="AD31" s="59"/>
      <c r="AE31" s="59"/>
      <c r="AF31" s="59"/>
      <c r="AG31" s="61"/>
      <c r="AH31" s="61"/>
      <c r="AI31" s="59"/>
      <c r="AJ31" s="59"/>
      <c r="AK31" s="59"/>
      <c r="AL31" s="61"/>
      <c r="AM31" s="61"/>
      <c r="AN31" s="59"/>
      <c r="AO31" s="59"/>
      <c r="AP31" s="59"/>
      <c r="AQ31" s="61"/>
      <c r="AR31" s="61"/>
      <c r="AS31" s="59"/>
      <c r="AT31" s="59"/>
      <c r="AU31" s="59"/>
      <c r="AV31" s="61"/>
      <c r="AW31" s="61"/>
      <c r="AX31" s="59"/>
      <c r="AY31" s="59"/>
      <c r="AZ31" s="59"/>
      <c r="BA31" s="4"/>
      <c r="BB31" s="2"/>
      <c r="BF31" s="5"/>
      <c r="BG31" s="5"/>
    </row>
    <row r="33" spans="1:59" x14ac:dyDescent="0.25">
      <c r="A33" s="30" t="s">
        <v>251</v>
      </c>
    </row>
    <row r="34" spans="1:59" ht="45" x14ac:dyDescent="0.25">
      <c r="A34" s="6" t="s">
        <v>178</v>
      </c>
      <c r="B34" s="7" t="s">
        <v>180</v>
      </c>
      <c r="C34" s="7" t="s">
        <v>0</v>
      </c>
      <c r="D34" s="7" t="s">
        <v>1</v>
      </c>
      <c r="E34" s="7" t="s">
        <v>2</v>
      </c>
      <c r="F34" s="7" t="s">
        <v>13</v>
      </c>
      <c r="G34" s="7" t="s">
        <v>14</v>
      </c>
      <c r="H34" s="7" t="s">
        <v>15</v>
      </c>
      <c r="I34" s="8" t="s">
        <v>16</v>
      </c>
      <c r="J34" s="7" t="s">
        <v>8</v>
      </c>
      <c r="K34" s="7" t="s">
        <v>17</v>
      </c>
      <c r="L34" s="8" t="s">
        <v>18</v>
      </c>
      <c r="M34" s="7" t="s">
        <v>3</v>
      </c>
      <c r="N34" s="8" t="s">
        <v>19</v>
      </c>
      <c r="O34" s="7" t="s">
        <v>20</v>
      </c>
      <c r="P34" s="7" t="s">
        <v>4</v>
      </c>
      <c r="Q34" s="7" t="s">
        <v>11</v>
      </c>
      <c r="R34" s="7" t="s">
        <v>21</v>
      </c>
      <c r="S34" s="7" t="s">
        <v>12</v>
      </c>
      <c r="T34" s="7" t="s">
        <v>22</v>
      </c>
      <c r="U34" s="7" t="s">
        <v>23</v>
      </c>
      <c r="V34" s="7" t="s">
        <v>10</v>
      </c>
      <c r="W34" s="7" t="s">
        <v>5</v>
      </c>
      <c r="X34" s="7" t="s">
        <v>24</v>
      </c>
      <c r="Y34" s="7" t="s">
        <v>25</v>
      </c>
      <c r="Z34" s="7" t="s">
        <v>26</v>
      </c>
      <c r="AA34" s="7" t="s">
        <v>27</v>
      </c>
      <c r="AB34" s="7" t="s">
        <v>28</v>
      </c>
      <c r="AC34" s="7" t="s">
        <v>6</v>
      </c>
      <c r="AD34" s="7" t="s">
        <v>29</v>
      </c>
      <c r="AE34" s="7" t="s">
        <v>30</v>
      </c>
      <c r="AF34" s="7" t="s">
        <v>31</v>
      </c>
      <c r="AG34" s="7" t="s">
        <v>32</v>
      </c>
      <c r="AH34" s="7" t="s">
        <v>33</v>
      </c>
      <c r="AI34" s="7" t="s">
        <v>34</v>
      </c>
      <c r="AJ34" s="7" t="s">
        <v>35</v>
      </c>
      <c r="AK34" s="7" t="s">
        <v>36</v>
      </c>
      <c r="AL34" s="7" t="s">
        <v>37</v>
      </c>
      <c r="AM34" s="7" t="s">
        <v>38</v>
      </c>
      <c r="AN34" s="7" t="s">
        <v>39</v>
      </c>
      <c r="AO34" s="7" t="s">
        <v>40</v>
      </c>
      <c r="AP34" s="7" t="s">
        <v>41</v>
      </c>
      <c r="AQ34" s="7" t="s">
        <v>42</v>
      </c>
      <c r="AR34" s="7" t="s">
        <v>43</v>
      </c>
      <c r="AS34" s="7" t="s">
        <v>44</v>
      </c>
      <c r="AT34" s="7" t="s">
        <v>45</v>
      </c>
      <c r="AU34" s="7" t="s">
        <v>46</v>
      </c>
      <c r="AV34" s="7" t="s">
        <v>47</v>
      </c>
      <c r="AW34" s="7" t="s">
        <v>48</v>
      </c>
      <c r="AX34" s="7" t="s">
        <v>49</v>
      </c>
      <c r="AY34" s="7" t="s">
        <v>50</v>
      </c>
      <c r="AZ34" s="7" t="s">
        <v>7</v>
      </c>
      <c r="BA34" s="7" t="s">
        <v>51</v>
      </c>
      <c r="BB34" s="7" t="s">
        <v>52</v>
      </c>
      <c r="BC34" s="9" t="s">
        <v>9</v>
      </c>
    </row>
    <row r="35" spans="1:59" ht="75" x14ac:dyDescent="0.25">
      <c r="A35" s="17" t="str">
        <f>'Fil de l''eau'!A85</f>
        <v>POI</v>
      </c>
      <c r="B35" s="18" t="str">
        <f>'Fil de l''eau'!B85</f>
        <v>Bois</v>
      </c>
      <c r="C35" s="18" t="str">
        <f>'Fil de l''eau'!C85</f>
        <v>D020</v>
      </c>
      <c r="D35" s="19" t="str">
        <f>'Fil de l''eau'!D85</f>
        <v>CRPF Limousin</v>
      </c>
      <c r="E35" s="19" t="str">
        <f>'Fil de l''eau'!E85</f>
        <v>Contribuer à l’atténuation du changement climatique par l’augmentation de la fixation du carbone en forêt et dans le matériau bois grâce à la rémunération des services écosystémiques - Mise en place d’une animation forestière sur le territoire du Parc naturel régional Périgord Limousin.</v>
      </c>
      <c r="F35" s="20">
        <f>'Fil de l''eau'!F85</f>
        <v>54895.03</v>
      </c>
      <c r="G35" s="20">
        <f>'Fil de l''eau'!G85</f>
        <v>0</v>
      </c>
      <c r="H35" s="20">
        <f>'Fil de l''eau'!H85</f>
        <v>0</v>
      </c>
      <c r="I35" s="21">
        <f>'Fil de l''eau'!I85</f>
        <v>0</v>
      </c>
      <c r="J35" s="20">
        <f>'Fil de l''eau'!J85</f>
        <v>0</v>
      </c>
      <c r="K35" s="20">
        <f>'Fil de l''eau'!K85</f>
        <v>0</v>
      </c>
      <c r="L35" s="21">
        <f>'Fil de l''eau'!L85</f>
        <v>0</v>
      </c>
      <c r="M35" s="20">
        <f>'Fil de l''eau'!M85</f>
        <v>0</v>
      </c>
      <c r="N35" s="21" t="str">
        <f>'Fil de l''eau'!N85</f>
        <v/>
      </c>
      <c r="O35" s="20">
        <f>'Fil de l''eau'!O85</f>
        <v>0</v>
      </c>
      <c r="P35" s="20">
        <f>'Fil de l''eau'!P85</f>
        <v>0</v>
      </c>
      <c r="Q35" s="20">
        <f>'Fil de l''eau'!Q85</f>
        <v>0</v>
      </c>
      <c r="R35" s="20">
        <f>'Fil de l''eau'!R85</f>
        <v>0</v>
      </c>
      <c r="S35" s="20">
        <f>'Fil de l''eau'!S85</f>
        <v>0</v>
      </c>
      <c r="T35" s="20">
        <f>'Fil de l''eau'!T85</f>
        <v>0</v>
      </c>
      <c r="U35" s="20">
        <f>'Fil de l''eau'!U85</f>
        <v>0</v>
      </c>
      <c r="V35" s="20">
        <f>'Fil de l''eau'!V85</f>
        <v>0</v>
      </c>
      <c r="W35" s="20">
        <f>'Fil de l''eau'!W85</f>
        <v>0</v>
      </c>
      <c r="X35" s="20">
        <f>'Fil de l''eau'!X85</f>
        <v>0</v>
      </c>
      <c r="Y35" s="20">
        <f>'Fil de l''eau'!Y85</f>
        <v>0</v>
      </c>
      <c r="Z35" s="20">
        <f>'Fil de l''eau'!Z85</f>
        <v>0</v>
      </c>
      <c r="AA35" s="20">
        <f>'Fil de l''eau'!AA85</f>
        <v>0</v>
      </c>
      <c r="AB35" s="20">
        <f>'Fil de l''eau'!AB85</f>
        <v>0</v>
      </c>
      <c r="AC35" s="20">
        <f>'Fil de l''eau'!AC85</f>
        <v>0</v>
      </c>
      <c r="AD35" s="20">
        <f>'Fil de l''eau'!AD85</f>
        <v>0</v>
      </c>
      <c r="AE35" s="20">
        <f>'Fil de l''eau'!AE85</f>
        <v>0</v>
      </c>
      <c r="AF35" s="20">
        <f>'Fil de l''eau'!AF85</f>
        <v>0</v>
      </c>
      <c r="AG35" s="20">
        <f>'Fil de l''eau'!AG85</f>
        <v>0</v>
      </c>
      <c r="AH35" s="20">
        <f>'Fil de l''eau'!AH85</f>
        <v>0</v>
      </c>
      <c r="AI35" s="20">
        <f>'Fil de l''eau'!AI85</f>
        <v>0</v>
      </c>
      <c r="AJ35" s="20">
        <f>'Fil de l''eau'!AJ85</f>
        <v>0</v>
      </c>
      <c r="AK35" s="20">
        <f>'Fil de l''eau'!AK85</f>
        <v>0</v>
      </c>
      <c r="AL35" s="20">
        <f>'Fil de l''eau'!AL85</f>
        <v>0</v>
      </c>
      <c r="AM35" s="20">
        <f>'Fil de l''eau'!AM85</f>
        <v>0</v>
      </c>
      <c r="AN35" s="20">
        <f>'Fil de l''eau'!AN85</f>
        <v>0</v>
      </c>
      <c r="AO35" s="20">
        <f>'Fil de l''eau'!AO85</f>
        <v>0</v>
      </c>
      <c r="AP35" s="20">
        <f>'Fil de l''eau'!AP85</f>
        <v>0</v>
      </c>
      <c r="AQ35" s="20">
        <f>'Fil de l''eau'!AQ85</f>
        <v>0</v>
      </c>
      <c r="AR35" s="20">
        <f>'Fil de l''eau'!AR85</f>
        <v>0</v>
      </c>
      <c r="AS35" s="20">
        <f>'Fil de l''eau'!AS85</f>
        <v>0</v>
      </c>
      <c r="AT35" s="20">
        <f>'Fil de l''eau'!AT85</f>
        <v>0</v>
      </c>
      <c r="AU35" s="20">
        <f>'Fil de l''eau'!AU85</f>
        <v>0</v>
      </c>
      <c r="AV35" s="20">
        <f>'Fil de l''eau'!AV85</f>
        <v>0</v>
      </c>
      <c r="AW35" s="20">
        <f>'Fil de l''eau'!AW85</f>
        <v>0</v>
      </c>
      <c r="AX35" s="20">
        <f>'Fil de l''eau'!AX85</f>
        <v>0</v>
      </c>
      <c r="AY35" s="20">
        <f>'Fil de l''eau'!AY85</f>
        <v>0</v>
      </c>
      <c r="AZ35" s="20">
        <f>'Fil de l''eau'!AZ85</f>
        <v>0</v>
      </c>
      <c r="BA35" s="18"/>
      <c r="BB35" s="22" t="str">
        <f>'Fil de l''eau'!BC85</f>
        <v>87</v>
      </c>
      <c r="BC35" s="23" t="str">
        <f>'Fil de l''eau'!BD85</f>
        <v>Limousin</v>
      </c>
    </row>
    <row r="36" spans="1:59" x14ac:dyDescent="0.25">
      <c r="A36" s="10">
        <f>'Fil de l''eau'!A86</f>
        <v>0</v>
      </c>
      <c r="B36" s="11">
        <f>'Fil de l''eau'!B86</f>
        <v>0</v>
      </c>
      <c r="C36" s="11" t="str">
        <f>'Fil de l''eau'!C86</f>
        <v>Total</v>
      </c>
      <c r="D36" s="12">
        <f>'Fil de l''eau'!D86</f>
        <v>0</v>
      </c>
      <c r="E36" s="12">
        <f>'Fil de l''eau'!E86</f>
        <v>0</v>
      </c>
      <c r="F36" s="13">
        <f>'Fil de l''eau'!F86</f>
        <v>54895.03</v>
      </c>
      <c r="G36" s="13">
        <f>'Fil de l''eau'!G86</f>
        <v>0</v>
      </c>
      <c r="H36" s="13">
        <f>'Fil de l''eau'!H86</f>
        <v>0</v>
      </c>
      <c r="I36" s="14">
        <f>'Fil de l''eau'!I86</f>
        <v>0</v>
      </c>
      <c r="J36" s="13">
        <f>'Fil de l''eau'!J86</f>
        <v>0</v>
      </c>
      <c r="K36" s="13">
        <f>'Fil de l''eau'!K86</f>
        <v>0</v>
      </c>
      <c r="L36" s="14">
        <f>'Fil de l''eau'!L86</f>
        <v>0</v>
      </c>
      <c r="M36" s="13">
        <f>'Fil de l''eau'!M86</f>
        <v>0</v>
      </c>
      <c r="N36" s="14">
        <f>'Fil de l''eau'!N86</f>
        <v>0</v>
      </c>
      <c r="O36" s="13">
        <f>'Fil de l''eau'!O86</f>
        <v>0</v>
      </c>
      <c r="P36" s="13">
        <f>'Fil de l''eau'!P86</f>
        <v>0</v>
      </c>
      <c r="Q36" s="13">
        <f>'Fil de l''eau'!Q86</f>
        <v>0</v>
      </c>
      <c r="R36" s="13">
        <f>'Fil de l''eau'!R86</f>
        <v>0</v>
      </c>
      <c r="S36" s="13">
        <f>'Fil de l''eau'!S86</f>
        <v>0</v>
      </c>
      <c r="T36" s="13">
        <f>'Fil de l''eau'!T86</f>
        <v>0</v>
      </c>
      <c r="U36" s="13">
        <f>'Fil de l''eau'!U86</f>
        <v>0</v>
      </c>
      <c r="V36" s="13">
        <f>'Fil de l''eau'!V86</f>
        <v>0</v>
      </c>
      <c r="W36" s="13">
        <f>'Fil de l''eau'!W86</f>
        <v>0</v>
      </c>
      <c r="X36" s="13">
        <f>'Fil de l''eau'!X86</f>
        <v>0</v>
      </c>
      <c r="Y36" s="13">
        <f>'Fil de l''eau'!Y86</f>
        <v>0</v>
      </c>
      <c r="Z36" s="13">
        <f>'Fil de l''eau'!Z86</f>
        <v>0</v>
      </c>
      <c r="AA36" s="13">
        <f>'Fil de l''eau'!AA86</f>
        <v>0</v>
      </c>
      <c r="AB36" s="13">
        <f>'Fil de l''eau'!AB86</f>
        <v>0</v>
      </c>
      <c r="AC36" s="13">
        <f>'Fil de l''eau'!AC86</f>
        <v>0</v>
      </c>
      <c r="AD36" s="13">
        <f>'Fil de l''eau'!AD86</f>
        <v>0</v>
      </c>
      <c r="AE36" s="13">
        <f>'Fil de l''eau'!AE86</f>
        <v>0</v>
      </c>
      <c r="AF36" s="13">
        <f>'Fil de l''eau'!AF86</f>
        <v>0</v>
      </c>
      <c r="AG36" s="13">
        <f>'Fil de l''eau'!AG86</f>
        <v>0</v>
      </c>
      <c r="AH36" s="13">
        <f>'Fil de l''eau'!AH86</f>
        <v>0</v>
      </c>
      <c r="AI36" s="13">
        <f>'Fil de l''eau'!AI86</f>
        <v>0</v>
      </c>
      <c r="AJ36" s="13">
        <f>'Fil de l''eau'!AJ86</f>
        <v>0</v>
      </c>
      <c r="AK36" s="13">
        <f>'Fil de l''eau'!AK86</f>
        <v>0</v>
      </c>
      <c r="AL36" s="13">
        <f>'Fil de l''eau'!AL86</f>
        <v>0</v>
      </c>
      <c r="AM36" s="13">
        <f>'Fil de l''eau'!AM86</f>
        <v>0</v>
      </c>
      <c r="AN36" s="13">
        <f>'Fil de l''eau'!AN86</f>
        <v>0</v>
      </c>
      <c r="AO36" s="13">
        <f>'Fil de l''eau'!AO86</f>
        <v>0</v>
      </c>
      <c r="AP36" s="13">
        <f>'Fil de l''eau'!AP86</f>
        <v>0</v>
      </c>
      <c r="AQ36" s="13">
        <f>'Fil de l''eau'!AQ86</f>
        <v>0</v>
      </c>
      <c r="AR36" s="13">
        <f>'Fil de l''eau'!AR86</f>
        <v>0</v>
      </c>
      <c r="AS36" s="13">
        <f>'Fil de l''eau'!AS86</f>
        <v>0</v>
      </c>
      <c r="AT36" s="13">
        <f>'Fil de l''eau'!AT86</f>
        <v>0</v>
      </c>
      <c r="AU36" s="13">
        <f>'Fil de l''eau'!AU86</f>
        <v>0</v>
      </c>
      <c r="AV36" s="13">
        <f>'Fil de l''eau'!AV86</f>
        <v>0</v>
      </c>
      <c r="AW36" s="13">
        <f>'Fil de l''eau'!AW86</f>
        <v>0</v>
      </c>
      <c r="AX36" s="13">
        <f>'Fil de l''eau'!AX86</f>
        <v>0</v>
      </c>
      <c r="AY36" s="13">
        <f>'Fil de l''eau'!AY86</f>
        <v>0</v>
      </c>
      <c r="AZ36" s="13">
        <f>'Fil de l''eau'!AZ86</f>
        <v>0</v>
      </c>
      <c r="BA36" s="11"/>
      <c r="BB36" s="15">
        <f>'Fil de l''eau'!BC86</f>
        <v>0</v>
      </c>
      <c r="BC36" s="16">
        <f>'Fil de l''eau'!BD86</f>
        <v>0</v>
      </c>
    </row>
    <row r="37" spans="1:59" ht="45" x14ac:dyDescent="0.25">
      <c r="A37" s="17" t="s">
        <v>190</v>
      </c>
      <c r="B37" s="18" t="s">
        <v>251</v>
      </c>
      <c r="C37" s="18" t="s">
        <v>300</v>
      </c>
      <c r="D37" s="19" t="s">
        <v>301</v>
      </c>
      <c r="E37" s="19" t="s">
        <v>253</v>
      </c>
      <c r="F37" s="20" t="e">
        <f>SUM(F38:F44)</f>
        <v>#REF!</v>
      </c>
      <c r="G37" s="20" t="e">
        <f t="shared" ref="G37:O37" si="123">SUM(G38:G44)</f>
        <v>#REF!</v>
      </c>
      <c r="H37" s="20" t="e">
        <f t="shared" si="123"/>
        <v>#REF!</v>
      </c>
      <c r="I37" s="21" t="e">
        <f>H37/F37</f>
        <v>#REF!</v>
      </c>
      <c r="J37" s="20" t="e">
        <f t="shared" si="123"/>
        <v>#REF!</v>
      </c>
      <c r="K37" s="20" t="e">
        <f t="shared" si="123"/>
        <v>#REF!</v>
      </c>
      <c r="L37" s="21" t="e">
        <f>K37/F37</f>
        <v>#REF!</v>
      </c>
      <c r="M37" s="20" t="e">
        <f t="shared" si="123"/>
        <v>#REF!</v>
      </c>
      <c r="N37" s="21" t="e">
        <f>M37/F37</f>
        <v>#REF!</v>
      </c>
      <c r="O37" s="20" t="e">
        <f t="shared" si="123"/>
        <v>#REF!</v>
      </c>
      <c r="P37" s="20" t="e">
        <f t="shared" ref="P37" si="124">SUM(P38:P44)</f>
        <v>#REF!</v>
      </c>
      <c r="Q37" s="20" t="e">
        <f t="shared" ref="Q37" si="125">SUM(Q38:Q44)</f>
        <v>#REF!</v>
      </c>
      <c r="R37" s="20" t="e">
        <f t="shared" ref="R37" si="126">SUM(R38:R44)</f>
        <v>#REF!</v>
      </c>
      <c r="S37" s="20" t="e">
        <f t="shared" ref="S37" si="127">SUM(S38:S44)</f>
        <v>#REF!</v>
      </c>
      <c r="T37" s="20" t="e">
        <f t="shared" ref="T37" si="128">SUM(T38:T44)</f>
        <v>#REF!</v>
      </c>
      <c r="U37" s="20" t="e">
        <f t="shared" ref="U37" si="129">SUM(U38:U44)</f>
        <v>#REF!</v>
      </c>
      <c r="V37" s="20" t="e">
        <f t="shared" ref="V37" si="130">SUM(V38:V44)</f>
        <v>#REF!</v>
      </c>
      <c r="W37" s="20" t="e">
        <f t="shared" ref="W37" si="131">SUM(W38:W44)</f>
        <v>#REF!</v>
      </c>
      <c r="X37" s="20" t="e">
        <f t="shared" ref="X37" si="132">SUM(X38:X44)</f>
        <v>#REF!</v>
      </c>
      <c r="Y37" s="20" t="e">
        <f t="shared" ref="Y37" si="133">SUM(Y38:Y44)</f>
        <v>#REF!</v>
      </c>
      <c r="Z37" s="20" t="e">
        <f t="shared" ref="Z37" si="134">SUM(Z38:Z44)</f>
        <v>#REF!</v>
      </c>
      <c r="AA37" s="20" t="e">
        <f t="shared" ref="AA37" si="135">SUM(AA38:AA44)</f>
        <v>#REF!</v>
      </c>
      <c r="AB37" s="20" t="e">
        <f t="shared" ref="AB37" si="136">SUM(AB38:AB44)</f>
        <v>#REF!</v>
      </c>
      <c r="AC37" s="20" t="e">
        <f t="shared" ref="AC37" si="137">SUM(AC38:AC44)</f>
        <v>#REF!</v>
      </c>
      <c r="AD37" s="20" t="e">
        <f t="shared" ref="AD37" si="138">SUM(AD38:AD44)</f>
        <v>#REF!</v>
      </c>
      <c r="AE37" s="20" t="e">
        <f t="shared" ref="AE37" si="139">SUM(AE38:AE44)</f>
        <v>#REF!</v>
      </c>
      <c r="AF37" s="20" t="e">
        <f t="shared" ref="AF37" si="140">SUM(AF38:AF44)</f>
        <v>#REF!</v>
      </c>
      <c r="AG37" s="20" t="e">
        <f t="shared" ref="AG37" si="141">SUM(AG38:AG44)</f>
        <v>#REF!</v>
      </c>
      <c r="AH37" s="20" t="e">
        <f t="shared" ref="AH37" si="142">SUM(AH38:AH44)</f>
        <v>#REF!</v>
      </c>
      <c r="AI37" s="20" t="e">
        <f t="shared" ref="AI37" si="143">SUM(AI38:AI44)</f>
        <v>#REF!</v>
      </c>
      <c r="AJ37" s="20" t="e">
        <f t="shared" ref="AJ37" si="144">SUM(AJ38:AJ44)</f>
        <v>#REF!</v>
      </c>
      <c r="AK37" s="20" t="e">
        <f t="shared" ref="AK37" si="145">SUM(AK38:AK44)</f>
        <v>#REF!</v>
      </c>
      <c r="AL37" s="20" t="e">
        <f t="shared" ref="AL37" si="146">SUM(AL38:AL44)</f>
        <v>#REF!</v>
      </c>
      <c r="AM37" s="20" t="e">
        <f t="shared" ref="AM37" si="147">SUM(AM38:AM44)</f>
        <v>#REF!</v>
      </c>
      <c r="AN37" s="20" t="e">
        <f t="shared" ref="AN37" si="148">SUM(AN38:AN44)</f>
        <v>#REF!</v>
      </c>
      <c r="AO37" s="20" t="e">
        <f t="shared" ref="AO37" si="149">SUM(AO38:AO44)</f>
        <v>#REF!</v>
      </c>
      <c r="AP37" s="20" t="e">
        <f t="shared" ref="AP37" si="150">SUM(AP38:AP44)</f>
        <v>#REF!</v>
      </c>
      <c r="AQ37" s="20" t="e">
        <f t="shared" ref="AQ37" si="151">SUM(AQ38:AQ44)</f>
        <v>#REF!</v>
      </c>
      <c r="AR37" s="20" t="e">
        <f t="shared" ref="AR37" si="152">SUM(AR38:AR44)</f>
        <v>#REF!</v>
      </c>
      <c r="AS37" s="20" t="e">
        <f t="shared" ref="AS37" si="153">SUM(AS38:AS44)</f>
        <v>#REF!</v>
      </c>
      <c r="AT37" s="20" t="e">
        <f t="shared" ref="AT37" si="154">SUM(AT38:AT44)</f>
        <v>#REF!</v>
      </c>
      <c r="AU37" s="20" t="e">
        <f t="shared" ref="AU37" si="155">SUM(AU38:AU44)</f>
        <v>#REF!</v>
      </c>
      <c r="AV37" s="20" t="e">
        <f t="shared" ref="AV37" si="156">SUM(AV38:AV44)</f>
        <v>#REF!</v>
      </c>
      <c r="AW37" s="20" t="e">
        <f t="shared" ref="AW37" si="157">SUM(AW38:AW44)</f>
        <v>#REF!</v>
      </c>
      <c r="AX37" s="20" t="e">
        <f t="shared" ref="AX37" si="158">SUM(AX38:AX44)</f>
        <v>#REF!</v>
      </c>
      <c r="AY37" s="20" t="e">
        <f t="shared" ref="AY37" si="159">SUM(AY38:AY44)</f>
        <v>#REF!</v>
      </c>
      <c r="AZ37" s="20" t="e">
        <f t="shared" ref="AZ37" si="160">SUM(AZ38:AZ44)</f>
        <v>#REF!</v>
      </c>
      <c r="BA37" s="20"/>
      <c r="BB37" s="22" t="s">
        <v>291</v>
      </c>
      <c r="BC37" s="23" t="s">
        <v>292</v>
      </c>
    </row>
    <row r="38" spans="1:59" ht="30" hidden="1" outlineLevel="1" x14ac:dyDescent="0.25">
      <c r="A38" s="17" t="e">
        <f>'Fil de l''eau'!#REF!</f>
        <v>#REF!</v>
      </c>
      <c r="B38" s="18" t="e">
        <f>'Fil de l''eau'!#REF!</f>
        <v>#REF!</v>
      </c>
      <c r="C38" s="18" t="e">
        <f>'Fil de l''eau'!#REF!</f>
        <v>#REF!</v>
      </c>
      <c r="D38" s="19" t="e">
        <f>'Fil de l''eau'!#REF!</f>
        <v>#REF!</v>
      </c>
      <c r="E38" s="19" t="e">
        <f>'Fil de l''eau'!#REF!</f>
        <v>#REF!</v>
      </c>
      <c r="F38" s="20" t="e">
        <f>'Fil de l''eau'!#REF!</f>
        <v>#REF!</v>
      </c>
      <c r="G38" s="20" t="e">
        <f>'Fil de l''eau'!#REF!</f>
        <v>#REF!</v>
      </c>
      <c r="H38" s="20" t="e">
        <f>'Fil de l''eau'!#REF!</f>
        <v>#REF!</v>
      </c>
      <c r="I38" s="21" t="e">
        <f>'Fil de l''eau'!#REF!</f>
        <v>#REF!</v>
      </c>
      <c r="J38" s="20" t="e">
        <f>'Fil de l''eau'!#REF!</f>
        <v>#REF!</v>
      </c>
      <c r="K38" s="20" t="e">
        <f>'Fil de l''eau'!#REF!</f>
        <v>#REF!</v>
      </c>
      <c r="L38" s="21" t="e">
        <f>'Fil de l''eau'!#REF!</f>
        <v>#REF!</v>
      </c>
      <c r="M38" s="20" t="e">
        <f>'Fil de l''eau'!#REF!</f>
        <v>#REF!</v>
      </c>
      <c r="N38" s="21" t="e">
        <f>'Fil de l''eau'!#REF!</f>
        <v>#REF!</v>
      </c>
      <c r="O38" s="20" t="e">
        <f>'Fil de l''eau'!#REF!</f>
        <v>#REF!</v>
      </c>
      <c r="P38" s="20" t="e">
        <f>'Fil de l''eau'!#REF!</f>
        <v>#REF!</v>
      </c>
      <c r="Q38" s="20" t="e">
        <f>'Fil de l''eau'!#REF!</f>
        <v>#REF!</v>
      </c>
      <c r="R38" s="20" t="e">
        <f>'Fil de l''eau'!#REF!</f>
        <v>#REF!</v>
      </c>
      <c r="S38" s="20" t="e">
        <f>'Fil de l''eau'!#REF!</f>
        <v>#REF!</v>
      </c>
      <c r="T38" s="20" t="e">
        <f>'Fil de l''eau'!#REF!</f>
        <v>#REF!</v>
      </c>
      <c r="U38" s="20" t="e">
        <f>'Fil de l''eau'!#REF!</f>
        <v>#REF!</v>
      </c>
      <c r="V38" s="20" t="e">
        <f>'Fil de l''eau'!#REF!</f>
        <v>#REF!</v>
      </c>
      <c r="W38" s="20" t="e">
        <f>'Fil de l''eau'!#REF!</f>
        <v>#REF!</v>
      </c>
      <c r="X38" s="20" t="e">
        <f>'Fil de l''eau'!#REF!</f>
        <v>#REF!</v>
      </c>
      <c r="Y38" s="20" t="e">
        <f>'Fil de l''eau'!#REF!</f>
        <v>#REF!</v>
      </c>
      <c r="Z38" s="20" t="e">
        <f>'Fil de l''eau'!#REF!</f>
        <v>#REF!</v>
      </c>
      <c r="AA38" s="20" t="e">
        <f>'Fil de l''eau'!#REF!</f>
        <v>#REF!</v>
      </c>
      <c r="AB38" s="20" t="e">
        <f>'Fil de l''eau'!#REF!</f>
        <v>#REF!</v>
      </c>
      <c r="AC38" s="20" t="e">
        <f>'Fil de l''eau'!#REF!</f>
        <v>#REF!</v>
      </c>
      <c r="AD38" s="20" t="e">
        <f>'Fil de l''eau'!#REF!</f>
        <v>#REF!</v>
      </c>
      <c r="AE38" s="20" t="e">
        <f>'Fil de l''eau'!#REF!</f>
        <v>#REF!</v>
      </c>
      <c r="AF38" s="20" t="e">
        <f>'Fil de l''eau'!#REF!</f>
        <v>#REF!</v>
      </c>
      <c r="AG38" s="20" t="e">
        <f>'Fil de l''eau'!#REF!</f>
        <v>#REF!</v>
      </c>
      <c r="AH38" s="20" t="e">
        <f>'Fil de l''eau'!#REF!</f>
        <v>#REF!</v>
      </c>
      <c r="AI38" s="20" t="e">
        <f>'Fil de l''eau'!#REF!</f>
        <v>#REF!</v>
      </c>
      <c r="AJ38" s="20" t="e">
        <f>'Fil de l''eau'!#REF!</f>
        <v>#REF!</v>
      </c>
      <c r="AK38" s="20" t="e">
        <f>'Fil de l''eau'!#REF!</f>
        <v>#REF!</v>
      </c>
      <c r="AL38" s="20" t="e">
        <f>'Fil de l''eau'!#REF!</f>
        <v>#REF!</v>
      </c>
      <c r="AM38" s="20" t="e">
        <f>'Fil de l''eau'!#REF!</f>
        <v>#REF!</v>
      </c>
      <c r="AN38" s="20" t="e">
        <f>'Fil de l''eau'!#REF!</f>
        <v>#REF!</v>
      </c>
      <c r="AO38" s="20" t="e">
        <f>'Fil de l''eau'!#REF!</f>
        <v>#REF!</v>
      </c>
      <c r="AP38" s="20" t="e">
        <f>'Fil de l''eau'!#REF!</f>
        <v>#REF!</v>
      </c>
      <c r="AQ38" s="20" t="e">
        <f>'Fil de l''eau'!#REF!</f>
        <v>#REF!</v>
      </c>
      <c r="AR38" s="20" t="e">
        <f>'Fil de l''eau'!#REF!</f>
        <v>#REF!</v>
      </c>
      <c r="AS38" s="20" t="e">
        <f>'Fil de l''eau'!#REF!</f>
        <v>#REF!</v>
      </c>
      <c r="AT38" s="20" t="e">
        <f>'Fil de l''eau'!#REF!</f>
        <v>#REF!</v>
      </c>
      <c r="AU38" s="20" t="e">
        <f>'Fil de l''eau'!#REF!</f>
        <v>#REF!</v>
      </c>
      <c r="AV38" s="20" t="e">
        <f>'Fil de l''eau'!#REF!</f>
        <v>#REF!</v>
      </c>
      <c r="AW38" s="20" t="e">
        <f>'Fil de l''eau'!#REF!</f>
        <v>#REF!</v>
      </c>
      <c r="AX38" s="20" t="e">
        <f>'Fil de l''eau'!#REF!</f>
        <v>#REF!</v>
      </c>
      <c r="AY38" s="20" t="e">
        <f>'Fil de l''eau'!#REF!</f>
        <v>#REF!</v>
      </c>
      <c r="AZ38" s="20" t="e">
        <f>'Fil de l''eau'!#REF!</f>
        <v>#REF!</v>
      </c>
      <c r="BA38" s="18"/>
      <c r="BB38" s="22" t="e">
        <f>'Fil de l''eau'!#REF!</f>
        <v>#REF!</v>
      </c>
      <c r="BC38" s="23" t="e">
        <f>'Fil de l''eau'!#REF!</f>
        <v>#REF!</v>
      </c>
    </row>
    <row r="39" spans="1:59" ht="30" hidden="1" outlineLevel="1" x14ac:dyDescent="0.25">
      <c r="A39" s="10" t="e">
        <f>'Fil de l''eau'!#REF!</f>
        <v>#REF!</v>
      </c>
      <c r="B39" s="11" t="e">
        <f>'Fil de l''eau'!#REF!</f>
        <v>#REF!</v>
      </c>
      <c r="C39" s="11" t="e">
        <f>'Fil de l''eau'!#REF!</f>
        <v>#REF!</v>
      </c>
      <c r="D39" s="12" t="e">
        <f>'Fil de l''eau'!#REF!</f>
        <v>#REF!</v>
      </c>
      <c r="E39" s="12" t="e">
        <f>'Fil de l''eau'!#REF!</f>
        <v>#REF!</v>
      </c>
      <c r="F39" s="13" t="e">
        <f>'Fil de l''eau'!#REF!</f>
        <v>#REF!</v>
      </c>
      <c r="G39" s="13" t="e">
        <f>'Fil de l''eau'!#REF!</f>
        <v>#REF!</v>
      </c>
      <c r="H39" s="13" t="e">
        <f>'Fil de l''eau'!#REF!</f>
        <v>#REF!</v>
      </c>
      <c r="I39" s="14" t="e">
        <f>'Fil de l''eau'!#REF!</f>
        <v>#REF!</v>
      </c>
      <c r="J39" s="13" t="e">
        <f>'Fil de l''eau'!#REF!</f>
        <v>#REF!</v>
      </c>
      <c r="K39" s="13" t="e">
        <f>'Fil de l''eau'!#REF!</f>
        <v>#REF!</v>
      </c>
      <c r="L39" s="14" t="e">
        <f>'Fil de l''eau'!#REF!</f>
        <v>#REF!</v>
      </c>
      <c r="M39" s="13" t="e">
        <f>'Fil de l''eau'!#REF!</f>
        <v>#REF!</v>
      </c>
      <c r="N39" s="14" t="e">
        <f>'Fil de l''eau'!#REF!</f>
        <v>#REF!</v>
      </c>
      <c r="O39" s="13" t="e">
        <f>'Fil de l''eau'!#REF!</f>
        <v>#REF!</v>
      </c>
      <c r="P39" s="13" t="e">
        <f>'Fil de l''eau'!#REF!</f>
        <v>#REF!</v>
      </c>
      <c r="Q39" s="13" t="e">
        <f>'Fil de l''eau'!#REF!</f>
        <v>#REF!</v>
      </c>
      <c r="R39" s="13" t="e">
        <f>'Fil de l''eau'!#REF!</f>
        <v>#REF!</v>
      </c>
      <c r="S39" s="13" t="e">
        <f>'Fil de l''eau'!#REF!</f>
        <v>#REF!</v>
      </c>
      <c r="T39" s="13" t="e">
        <f>'Fil de l''eau'!#REF!</f>
        <v>#REF!</v>
      </c>
      <c r="U39" s="13" t="e">
        <f>'Fil de l''eau'!#REF!</f>
        <v>#REF!</v>
      </c>
      <c r="V39" s="13" t="e">
        <f>'Fil de l''eau'!#REF!</f>
        <v>#REF!</v>
      </c>
      <c r="W39" s="13" t="e">
        <f>'Fil de l''eau'!#REF!</f>
        <v>#REF!</v>
      </c>
      <c r="X39" s="13" t="e">
        <f>'Fil de l''eau'!#REF!</f>
        <v>#REF!</v>
      </c>
      <c r="Y39" s="13" t="e">
        <f>'Fil de l''eau'!#REF!</f>
        <v>#REF!</v>
      </c>
      <c r="Z39" s="13" t="e">
        <f>'Fil de l''eau'!#REF!</f>
        <v>#REF!</v>
      </c>
      <c r="AA39" s="13" t="e">
        <f>'Fil de l''eau'!#REF!</f>
        <v>#REF!</v>
      </c>
      <c r="AB39" s="13" t="e">
        <f>'Fil de l''eau'!#REF!</f>
        <v>#REF!</v>
      </c>
      <c r="AC39" s="13" t="e">
        <f>'Fil de l''eau'!#REF!</f>
        <v>#REF!</v>
      </c>
      <c r="AD39" s="13" t="e">
        <f>'Fil de l''eau'!#REF!</f>
        <v>#REF!</v>
      </c>
      <c r="AE39" s="13" t="e">
        <f>'Fil de l''eau'!#REF!</f>
        <v>#REF!</v>
      </c>
      <c r="AF39" s="13" t="e">
        <f>'Fil de l''eau'!#REF!</f>
        <v>#REF!</v>
      </c>
      <c r="AG39" s="13" t="e">
        <f>'Fil de l''eau'!#REF!</f>
        <v>#REF!</v>
      </c>
      <c r="AH39" s="13" t="e">
        <f>'Fil de l''eau'!#REF!</f>
        <v>#REF!</v>
      </c>
      <c r="AI39" s="13" t="e">
        <f>'Fil de l''eau'!#REF!</f>
        <v>#REF!</v>
      </c>
      <c r="AJ39" s="13" t="e">
        <f>'Fil de l''eau'!#REF!</f>
        <v>#REF!</v>
      </c>
      <c r="AK39" s="13" t="e">
        <f>'Fil de l''eau'!#REF!</f>
        <v>#REF!</v>
      </c>
      <c r="AL39" s="13" t="e">
        <f>'Fil de l''eau'!#REF!</f>
        <v>#REF!</v>
      </c>
      <c r="AM39" s="13" t="e">
        <f>'Fil de l''eau'!#REF!</f>
        <v>#REF!</v>
      </c>
      <c r="AN39" s="13" t="e">
        <f>'Fil de l''eau'!#REF!</f>
        <v>#REF!</v>
      </c>
      <c r="AO39" s="13" t="e">
        <f>'Fil de l''eau'!#REF!</f>
        <v>#REF!</v>
      </c>
      <c r="AP39" s="13" t="e">
        <f>'Fil de l''eau'!#REF!</f>
        <v>#REF!</v>
      </c>
      <c r="AQ39" s="13" t="e">
        <f>'Fil de l''eau'!#REF!</f>
        <v>#REF!</v>
      </c>
      <c r="AR39" s="13" t="e">
        <f>'Fil de l''eau'!#REF!</f>
        <v>#REF!</v>
      </c>
      <c r="AS39" s="13" t="e">
        <f>'Fil de l''eau'!#REF!</f>
        <v>#REF!</v>
      </c>
      <c r="AT39" s="13" t="e">
        <f>'Fil de l''eau'!#REF!</f>
        <v>#REF!</v>
      </c>
      <c r="AU39" s="13" t="e">
        <f>'Fil de l''eau'!#REF!</f>
        <v>#REF!</v>
      </c>
      <c r="AV39" s="13" t="e">
        <f>'Fil de l''eau'!#REF!</f>
        <v>#REF!</v>
      </c>
      <c r="AW39" s="13" t="e">
        <f>'Fil de l''eau'!#REF!</f>
        <v>#REF!</v>
      </c>
      <c r="AX39" s="13" t="e">
        <f>'Fil de l''eau'!#REF!</f>
        <v>#REF!</v>
      </c>
      <c r="AY39" s="13" t="e">
        <f>'Fil de l''eau'!#REF!</f>
        <v>#REF!</v>
      </c>
      <c r="AZ39" s="13" t="e">
        <f>'Fil de l''eau'!#REF!</f>
        <v>#REF!</v>
      </c>
      <c r="BA39" s="11"/>
      <c r="BB39" s="15" t="e">
        <f>'Fil de l''eau'!#REF!</f>
        <v>#REF!</v>
      </c>
      <c r="BC39" s="16" t="e">
        <f>'Fil de l''eau'!#REF!</f>
        <v>#REF!</v>
      </c>
    </row>
    <row r="40" spans="1:59" ht="30" hidden="1" outlineLevel="1" x14ac:dyDescent="0.25">
      <c r="A40" s="17" t="e">
        <f>'Fil de l''eau'!#REF!</f>
        <v>#REF!</v>
      </c>
      <c r="B40" s="18" t="e">
        <f>'Fil de l''eau'!#REF!</f>
        <v>#REF!</v>
      </c>
      <c r="C40" s="18" t="e">
        <f>'Fil de l''eau'!#REF!</f>
        <v>#REF!</v>
      </c>
      <c r="D40" s="19" t="e">
        <f>'Fil de l''eau'!#REF!</f>
        <v>#REF!</v>
      </c>
      <c r="E40" s="19" t="e">
        <f>'Fil de l''eau'!#REF!</f>
        <v>#REF!</v>
      </c>
      <c r="F40" s="20" t="e">
        <f>'Fil de l''eau'!#REF!</f>
        <v>#REF!</v>
      </c>
      <c r="G40" s="20" t="e">
        <f>'Fil de l''eau'!#REF!</f>
        <v>#REF!</v>
      </c>
      <c r="H40" s="20" t="e">
        <f>'Fil de l''eau'!#REF!</f>
        <v>#REF!</v>
      </c>
      <c r="I40" s="21" t="e">
        <f>'Fil de l''eau'!#REF!</f>
        <v>#REF!</v>
      </c>
      <c r="J40" s="20" t="e">
        <f>'Fil de l''eau'!#REF!</f>
        <v>#REF!</v>
      </c>
      <c r="K40" s="20" t="e">
        <f>'Fil de l''eau'!#REF!</f>
        <v>#REF!</v>
      </c>
      <c r="L40" s="21" t="e">
        <f>'Fil de l''eau'!#REF!</f>
        <v>#REF!</v>
      </c>
      <c r="M40" s="20" t="e">
        <f>'Fil de l''eau'!#REF!</f>
        <v>#REF!</v>
      </c>
      <c r="N40" s="21" t="e">
        <f>'Fil de l''eau'!#REF!</f>
        <v>#REF!</v>
      </c>
      <c r="O40" s="20" t="e">
        <f>'Fil de l''eau'!#REF!</f>
        <v>#REF!</v>
      </c>
      <c r="P40" s="20" t="e">
        <f>'Fil de l''eau'!#REF!</f>
        <v>#REF!</v>
      </c>
      <c r="Q40" s="20" t="e">
        <f>'Fil de l''eau'!#REF!</f>
        <v>#REF!</v>
      </c>
      <c r="R40" s="20" t="e">
        <f>'Fil de l''eau'!#REF!</f>
        <v>#REF!</v>
      </c>
      <c r="S40" s="20" t="e">
        <f>'Fil de l''eau'!#REF!</f>
        <v>#REF!</v>
      </c>
      <c r="T40" s="20" t="e">
        <f>'Fil de l''eau'!#REF!</f>
        <v>#REF!</v>
      </c>
      <c r="U40" s="20" t="e">
        <f>'Fil de l''eau'!#REF!</f>
        <v>#REF!</v>
      </c>
      <c r="V40" s="20" t="e">
        <f>'Fil de l''eau'!#REF!</f>
        <v>#REF!</v>
      </c>
      <c r="W40" s="20" t="e">
        <f>'Fil de l''eau'!#REF!</f>
        <v>#REF!</v>
      </c>
      <c r="X40" s="20" t="e">
        <f>'Fil de l''eau'!#REF!</f>
        <v>#REF!</v>
      </c>
      <c r="Y40" s="20" t="e">
        <f>'Fil de l''eau'!#REF!</f>
        <v>#REF!</v>
      </c>
      <c r="Z40" s="20" t="e">
        <f>'Fil de l''eau'!#REF!</f>
        <v>#REF!</v>
      </c>
      <c r="AA40" s="20" t="e">
        <f>'Fil de l''eau'!#REF!</f>
        <v>#REF!</v>
      </c>
      <c r="AB40" s="20" t="e">
        <f>'Fil de l''eau'!#REF!</f>
        <v>#REF!</v>
      </c>
      <c r="AC40" s="20" t="e">
        <f>'Fil de l''eau'!#REF!</f>
        <v>#REF!</v>
      </c>
      <c r="AD40" s="20" t="e">
        <f>'Fil de l''eau'!#REF!</f>
        <v>#REF!</v>
      </c>
      <c r="AE40" s="20" t="e">
        <f>'Fil de l''eau'!#REF!</f>
        <v>#REF!</v>
      </c>
      <c r="AF40" s="20" t="e">
        <f>'Fil de l''eau'!#REF!</f>
        <v>#REF!</v>
      </c>
      <c r="AG40" s="20" t="e">
        <f>'Fil de l''eau'!#REF!</f>
        <v>#REF!</v>
      </c>
      <c r="AH40" s="20" t="e">
        <f>'Fil de l''eau'!#REF!</f>
        <v>#REF!</v>
      </c>
      <c r="AI40" s="20" t="e">
        <f>'Fil de l''eau'!#REF!</f>
        <v>#REF!</v>
      </c>
      <c r="AJ40" s="20" t="e">
        <f>'Fil de l''eau'!#REF!</f>
        <v>#REF!</v>
      </c>
      <c r="AK40" s="20" t="e">
        <f>'Fil de l''eau'!#REF!</f>
        <v>#REF!</v>
      </c>
      <c r="AL40" s="20" t="e">
        <f>'Fil de l''eau'!#REF!</f>
        <v>#REF!</v>
      </c>
      <c r="AM40" s="20" t="e">
        <f>'Fil de l''eau'!#REF!</f>
        <v>#REF!</v>
      </c>
      <c r="AN40" s="20" t="e">
        <f>'Fil de l''eau'!#REF!</f>
        <v>#REF!</v>
      </c>
      <c r="AO40" s="20" t="e">
        <f>'Fil de l''eau'!#REF!</f>
        <v>#REF!</v>
      </c>
      <c r="AP40" s="20" t="e">
        <f>'Fil de l''eau'!#REF!</f>
        <v>#REF!</v>
      </c>
      <c r="AQ40" s="20" t="e">
        <f>'Fil de l''eau'!#REF!</f>
        <v>#REF!</v>
      </c>
      <c r="AR40" s="20" t="e">
        <f>'Fil de l''eau'!#REF!</f>
        <v>#REF!</v>
      </c>
      <c r="AS40" s="20" t="e">
        <f>'Fil de l''eau'!#REF!</f>
        <v>#REF!</v>
      </c>
      <c r="AT40" s="20" t="e">
        <f>'Fil de l''eau'!#REF!</f>
        <v>#REF!</v>
      </c>
      <c r="AU40" s="20" t="e">
        <f>'Fil de l''eau'!#REF!</f>
        <v>#REF!</v>
      </c>
      <c r="AV40" s="20" t="e">
        <f>'Fil de l''eau'!#REF!</f>
        <v>#REF!</v>
      </c>
      <c r="AW40" s="20" t="e">
        <f>'Fil de l''eau'!#REF!</f>
        <v>#REF!</v>
      </c>
      <c r="AX40" s="20" t="e">
        <f>'Fil de l''eau'!#REF!</f>
        <v>#REF!</v>
      </c>
      <c r="AY40" s="20" t="e">
        <f>'Fil de l''eau'!#REF!</f>
        <v>#REF!</v>
      </c>
      <c r="AZ40" s="20" t="e">
        <f>'Fil de l''eau'!#REF!</f>
        <v>#REF!</v>
      </c>
      <c r="BA40" s="18"/>
      <c r="BB40" s="22" t="e">
        <f>'Fil de l''eau'!#REF!</f>
        <v>#REF!</v>
      </c>
      <c r="BC40" s="23" t="e">
        <f>'Fil de l''eau'!#REF!</f>
        <v>#REF!</v>
      </c>
    </row>
    <row r="41" spans="1:59" ht="30" hidden="1" outlineLevel="1" x14ac:dyDescent="0.25">
      <c r="A41" s="10" t="e">
        <f>'Fil de l''eau'!#REF!</f>
        <v>#REF!</v>
      </c>
      <c r="B41" s="11" t="e">
        <f>'Fil de l''eau'!#REF!</f>
        <v>#REF!</v>
      </c>
      <c r="C41" s="11" t="e">
        <f>'Fil de l''eau'!#REF!</f>
        <v>#REF!</v>
      </c>
      <c r="D41" s="12" t="e">
        <f>'Fil de l''eau'!#REF!</f>
        <v>#REF!</v>
      </c>
      <c r="E41" s="12" t="e">
        <f>'Fil de l''eau'!#REF!</f>
        <v>#REF!</v>
      </c>
      <c r="F41" s="13" t="e">
        <f>'Fil de l''eau'!#REF!</f>
        <v>#REF!</v>
      </c>
      <c r="G41" s="13" t="e">
        <f>'Fil de l''eau'!#REF!</f>
        <v>#REF!</v>
      </c>
      <c r="H41" s="13" t="e">
        <f>'Fil de l''eau'!#REF!</f>
        <v>#REF!</v>
      </c>
      <c r="I41" s="14" t="e">
        <f>'Fil de l''eau'!#REF!</f>
        <v>#REF!</v>
      </c>
      <c r="J41" s="13" t="e">
        <f>'Fil de l''eau'!#REF!</f>
        <v>#REF!</v>
      </c>
      <c r="K41" s="13" t="e">
        <f>'Fil de l''eau'!#REF!</f>
        <v>#REF!</v>
      </c>
      <c r="L41" s="14" t="e">
        <f>'Fil de l''eau'!#REF!</f>
        <v>#REF!</v>
      </c>
      <c r="M41" s="13" t="e">
        <f>'Fil de l''eau'!#REF!</f>
        <v>#REF!</v>
      </c>
      <c r="N41" s="14" t="e">
        <f>'Fil de l''eau'!#REF!</f>
        <v>#REF!</v>
      </c>
      <c r="O41" s="13" t="e">
        <f>'Fil de l''eau'!#REF!</f>
        <v>#REF!</v>
      </c>
      <c r="P41" s="13" t="e">
        <f>'Fil de l''eau'!#REF!</f>
        <v>#REF!</v>
      </c>
      <c r="Q41" s="13" t="e">
        <f>'Fil de l''eau'!#REF!</f>
        <v>#REF!</v>
      </c>
      <c r="R41" s="13" t="e">
        <f>'Fil de l''eau'!#REF!</f>
        <v>#REF!</v>
      </c>
      <c r="S41" s="13" t="e">
        <f>'Fil de l''eau'!#REF!</f>
        <v>#REF!</v>
      </c>
      <c r="T41" s="13" t="e">
        <f>'Fil de l''eau'!#REF!</f>
        <v>#REF!</v>
      </c>
      <c r="U41" s="13" t="e">
        <f>'Fil de l''eau'!#REF!</f>
        <v>#REF!</v>
      </c>
      <c r="V41" s="13" t="e">
        <f>'Fil de l''eau'!#REF!</f>
        <v>#REF!</v>
      </c>
      <c r="W41" s="13" t="e">
        <f>'Fil de l''eau'!#REF!</f>
        <v>#REF!</v>
      </c>
      <c r="X41" s="13" t="e">
        <f>'Fil de l''eau'!#REF!</f>
        <v>#REF!</v>
      </c>
      <c r="Y41" s="13" t="e">
        <f>'Fil de l''eau'!#REF!</f>
        <v>#REF!</v>
      </c>
      <c r="Z41" s="13" t="e">
        <f>'Fil de l''eau'!#REF!</f>
        <v>#REF!</v>
      </c>
      <c r="AA41" s="13" t="e">
        <f>'Fil de l''eau'!#REF!</f>
        <v>#REF!</v>
      </c>
      <c r="AB41" s="13" t="e">
        <f>'Fil de l''eau'!#REF!</f>
        <v>#REF!</v>
      </c>
      <c r="AC41" s="13" t="e">
        <f>'Fil de l''eau'!#REF!</f>
        <v>#REF!</v>
      </c>
      <c r="AD41" s="13" t="e">
        <f>'Fil de l''eau'!#REF!</f>
        <v>#REF!</v>
      </c>
      <c r="AE41" s="13" t="e">
        <f>'Fil de l''eau'!#REF!</f>
        <v>#REF!</v>
      </c>
      <c r="AF41" s="13" t="e">
        <f>'Fil de l''eau'!#REF!</f>
        <v>#REF!</v>
      </c>
      <c r="AG41" s="13" t="e">
        <f>'Fil de l''eau'!#REF!</f>
        <v>#REF!</v>
      </c>
      <c r="AH41" s="13" t="e">
        <f>'Fil de l''eau'!#REF!</f>
        <v>#REF!</v>
      </c>
      <c r="AI41" s="13" t="e">
        <f>'Fil de l''eau'!#REF!</f>
        <v>#REF!</v>
      </c>
      <c r="AJ41" s="13" t="e">
        <f>'Fil de l''eau'!#REF!</f>
        <v>#REF!</v>
      </c>
      <c r="AK41" s="13" t="e">
        <f>'Fil de l''eau'!#REF!</f>
        <v>#REF!</v>
      </c>
      <c r="AL41" s="13" t="e">
        <f>'Fil de l''eau'!#REF!</f>
        <v>#REF!</v>
      </c>
      <c r="AM41" s="13" t="e">
        <f>'Fil de l''eau'!#REF!</f>
        <v>#REF!</v>
      </c>
      <c r="AN41" s="13" t="e">
        <f>'Fil de l''eau'!#REF!</f>
        <v>#REF!</v>
      </c>
      <c r="AO41" s="13" t="e">
        <f>'Fil de l''eau'!#REF!</f>
        <v>#REF!</v>
      </c>
      <c r="AP41" s="13" t="e">
        <f>'Fil de l''eau'!#REF!</f>
        <v>#REF!</v>
      </c>
      <c r="AQ41" s="13" t="e">
        <f>'Fil de l''eau'!#REF!</f>
        <v>#REF!</v>
      </c>
      <c r="AR41" s="13" t="e">
        <f>'Fil de l''eau'!#REF!</f>
        <v>#REF!</v>
      </c>
      <c r="AS41" s="13" t="e">
        <f>'Fil de l''eau'!#REF!</f>
        <v>#REF!</v>
      </c>
      <c r="AT41" s="13" t="e">
        <f>'Fil de l''eau'!#REF!</f>
        <v>#REF!</v>
      </c>
      <c r="AU41" s="13" t="e">
        <f>'Fil de l''eau'!#REF!</f>
        <v>#REF!</v>
      </c>
      <c r="AV41" s="13" t="e">
        <f>'Fil de l''eau'!#REF!</f>
        <v>#REF!</v>
      </c>
      <c r="AW41" s="13" t="e">
        <f>'Fil de l''eau'!#REF!</f>
        <v>#REF!</v>
      </c>
      <c r="AX41" s="13" t="e">
        <f>'Fil de l''eau'!#REF!</f>
        <v>#REF!</v>
      </c>
      <c r="AY41" s="13" t="e">
        <f>'Fil de l''eau'!#REF!</f>
        <v>#REF!</v>
      </c>
      <c r="AZ41" s="13" t="e">
        <f>'Fil de l''eau'!#REF!</f>
        <v>#REF!</v>
      </c>
      <c r="BA41" s="11"/>
      <c r="BB41" s="15" t="e">
        <f>'Fil de l''eau'!#REF!</f>
        <v>#REF!</v>
      </c>
      <c r="BC41" s="16" t="e">
        <f>'Fil de l''eau'!#REF!</f>
        <v>#REF!</v>
      </c>
    </row>
    <row r="42" spans="1:59" ht="30" hidden="1" outlineLevel="1" x14ac:dyDescent="0.25">
      <c r="A42" s="17" t="e">
        <f>'Fil de l''eau'!#REF!</f>
        <v>#REF!</v>
      </c>
      <c r="B42" s="18" t="e">
        <f>'Fil de l''eau'!#REF!</f>
        <v>#REF!</v>
      </c>
      <c r="C42" s="18" t="e">
        <f>'Fil de l''eau'!#REF!</f>
        <v>#REF!</v>
      </c>
      <c r="D42" s="19" t="e">
        <f>'Fil de l''eau'!#REF!</f>
        <v>#REF!</v>
      </c>
      <c r="E42" s="19" t="e">
        <f>'Fil de l''eau'!#REF!</f>
        <v>#REF!</v>
      </c>
      <c r="F42" s="20" t="e">
        <f>'Fil de l''eau'!#REF!</f>
        <v>#REF!</v>
      </c>
      <c r="G42" s="20" t="e">
        <f>'Fil de l''eau'!#REF!</f>
        <v>#REF!</v>
      </c>
      <c r="H42" s="20" t="e">
        <f>'Fil de l''eau'!#REF!</f>
        <v>#REF!</v>
      </c>
      <c r="I42" s="21" t="e">
        <f>'Fil de l''eau'!#REF!</f>
        <v>#REF!</v>
      </c>
      <c r="J42" s="20" t="e">
        <f>'Fil de l''eau'!#REF!</f>
        <v>#REF!</v>
      </c>
      <c r="K42" s="20" t="e">
        <f>'Fil de l''eau'!#REF!</f>
        <v>#REF!</v>
      </c>
      <c r="L42" s="21" t="e">
        <f>'Fil de l''eau'!#REF!</f>
        <v>#REF!</v>
      </c>
      <c r="M42" s="20" t="e">
        <f>'Fil de l''eau'!#REF!</f>
        <v>#REF!</v>
      </c>
      <c r="N42" s="21" t="e">
        <f>'Fil de l''eau'!#REF!</f>
        <v>#REF!</v>
      </c>
      <c r="O42" s="20" t="e">
        <f>'Fil de l''eau'!#REF!</f>
        <v>#REF!</v>
      </c>
      <c r="P42" s="20" t="e">
        <f>'Fil de l''eau'!#REF!</f>
        <v>#REF!</v>
      </c>
      <c r="Q42" s="20" t="e">
        <f>'Fil de l''eau'!#REF!</f>
        <v>#REF!</v>
      </c>
      <c r="R42" s="20" t="e">
        <f>'Fil de l''eau'!#REF!</f>
        <v>#REF!</v>
      </c>
      <c r="S42" s="20" t="e">
        <f>'Fil de l''eau'!#REF!</f>
        <v>#REF!</v>
      </c>
      <c r="T42" s="20" t="e">
        <f>'Fil de l''eau'!#REF!</f>
        <v>#REF!</v>
      </c>
      <c r="U42" s="20" t="e">
        <f>'Fil de l''eau'!#REF!</f>
        <v>#REF!</v>
      </c>
      <c r="V42" s="20" t="e">
        <f>'Fil de l''eau'!#REF!</f>
        <v>#REF!</v>
      </c>
      <c r="W42" s="20" t="e">
        <f>'Fil de l''eau'!#REF!</f>
        <v>#REF!</v>
      </c>
      <c r="X42" s="20" t="e">
        <f>'Fil de l''eau'!#REF!</f>
        <v>#REF!</v>
      </c>
      <c r="Y42" s="20" t="e">
        <f>'Fil de l''eau'!#REF!</f>
        <v>#REF!</v>
      </c>
      <c r="Z42" s="20" t="e">
        <f>'Fil de l''eau'!#REF!</f>
        <v>#REF!</v>
      </c>
      <c r="AA42" s="20" t="e">
        <f>'Fil de l''eau'!#REF!</f>
        <v>#REF!</v>
      </c>
      <c r="AB42" s="20" t="e">
        <f>'Fil de l''eau'!#REF!</f>
        <v>#REF!</v>
      </c>
      <c r="AC42" s="20" t="e">
        <f>'Fil de l''eau'!#REF!</f>
        <v>#REF!</v>
      </c>
      <c r="AD42" s="20" t="e">
        <f>'Fil de l''eau'!#REF!</f>
        <v>#REF!</v>
      </c>
      <c r="AE42" s="20" t="e">
        <f>'Fil de l''eau'!#REF!</f>
        <v>#REF!</v>
      </c>
      <c r="AF42" s="20" t="e">
        <f>'Fil de l''eau'!#REF!</f>
        <v>#REF!</v>
      </c>
      <c r="AG42" s="20" t="e">
        <f>'Fil de l''eau'!#REF!</f>
        <v>#REF!</v>
      </c>
      <c r="AH42" s="20" t="e">
        <f>'Fil de l''eau'!#REF!</f>
        <v>#REF!</v>
      </c>
      <c r="AI42" s="20" t="e">
        <f>'Fil de l''eau'!#REF!</f>
        <v>#REF!</v>
      </c>
      <c r="AJ42" s="20" t="e">
        <f>'Fil de l''eau'!#REF!</f>
        <v>#REF!</v>
      </c>
      <c r="AK42" s="20" t="e">
        <f>'Fil de l''eau'!#REF!</f>
        <v>#REF!</v>
      </c>
      <c r="AL42" s="20" t="e">
        <f>'Fil de l''eau'!#REF!</f>
        <v>#REF!</v>
      </c>
      <c r="AM42" s="20" t="e">
        <f>'Fil de l''eau'!#REF!</f>
        <v>#REF!</v>
      </c>
      <c r="AN42" s="20" t="e">
        <f>'Fil de l''eau'!#REF!</f>
        <v>#REF!</v>
      </c>
      <c r="AO42" s="20" t="e">
        <f>'Fil de l''eau'!#REF!</f>
        <v>#REF!</v>
      </c>
      <c r="AP42" s="20" t="e">
        <f>'Fil de l''eau'!#REF!</f>
        <v>#REF!</v>
      </c>
      <c r="AQ42" s="20" t="e">
        <f>'Fil de l''eau'!#REF!</f>
        <v>#REF!</v>
      </c>
      <c r="AR42" s="20" t="e">
        <f>'Fil de l''eau'!#REF!</f>
        <v>#REF!</v>
      </c>
      <c r="AS42" s="20" t="e">
        <f>'Fil de l''eau'!#REF!</f>
        <v>#REF!</v>
      </c>
      <c r="AT42" s="20" t="e">
        <f>'Fil de l''eau'!#REF!</f>
        <v>#REF!</v>
      </c>
      <c r="AU42" s="20" t="e">
        <f>'Fil de l''eau'!#REF!</f>
        <v>#REF!</v>
      </c>
      <c r="AV42" s="20" t="e">
        <f>'Fil de l''eau'!#REF!</f>
        <v>#REF!</v>
      </c>
      <c r="AW42" s="20" t="e">
        <f>'Fil de l''eau'!#REF!</f>
        <v>#REF!</v>
      </c>
      <c r="AX42" s="20" t="e">
        <f>'Fil de l''eau'!#REF!</f>
        <v>#REF!</v>
      </c>
      <c r="AY42" s="20" t="e">
        <f>'Fil de l''eau'!#REF!</f>
        <v>#REF!</v>
      </c>
      <c r="AZ42" s="20" t="e">
        <f>'Fil de l''eau'!#REF!</f>
        <v>#REF!</v>
      </c>
      <c r="BA42" s="18"/>
      <c r="BB42" s="22" t="e">
        <f>'Fil de l''eau'!#REF!</f>
        <v>#REF!</v>
      </c>
      <c r="BC42" s="23" t="e">
        <f>'Fil de l''eau'!#REF!</f>
        <v>#REF!</v>
      </c>
    </row>
    <row r="43" spans="1:59" ht="30" hidden="1" outlineLevel="1" x14ac:dyDescent="0.25">
      <c r="A43" s="10" t="e">
        <f>'Fil de l''eau'!#REF!</f>
        <v>#REF!</v>
      </c>
      <c r="B43" s="11" t="e">
        <f>'Fil de l''eau'!#REF!</f>
        <v>#REF!</v>
      </c>
      <c r="C43" s="11" t="e">
        <f>'Fil de l''eau'!#REF!</f>
        <v>#REF!</v>
      </c>
      <c r="D43" s="12" t="e">
        <f>'Fil de l''eau'!#REF!</f>
        <v>#REF!</v>
      </c>
      <c r="E43" s="12" t="e">
        <f>'Fil de l''eau'!#REF!</f>
        <v>#REF!</v>
      </c>
      <c r="F43" s="13" t="e">
        <f>'Fil de l''eau'!#REF!</f>
        <v>#REF!</v>
      </c>
      <c r="G43" s="13" t="e">
        <f>'Fil de l''eau'!#REF!</f>
        <v>#REF!</v>
      </c>
      <c r="H43" s="13" t="e">
        <f>'Fil de l''eau'!#REF!</f>
        <v>#REF!</v>
      </c>
      <c r="I43" s="14" t="e">
        <f>'Fil de l''eau'!#REF!</f>
        <v>#REF!</v>
      </c>
      <c r="J43" s="13" t="e">
        <f>'Fil de l''eau'!#REF!</f>
        <v>#REF!</v>
      </c>
      <c r="K43" s="13" t="e">
        <f>'Fil de l''eau'!#REF!</f>
        <v>#REF!</v>
      </c>
      <c r="L43" s="14" t="e">
        <f>'Fil de l''eau'!#REF!</f>
        <v>#REF!</v>
      </c>
      <c r="M43" s="13" t="e">
        <f>'Fil de l''eau'!#REF!</f>
        <v>#REF!</v>
      </c>
      <c r="N43" s="14" t="e">
        <f>'Fil de l''eau'!#REF!</f>
        <v>#REF!</v>
      </c>
      <c r="O43" s="13" t="e">
        <f>'Fil de l''eau'!#REF!</f>
        <v>#REF!</v>
      </c>
      <c r="P43" s="13" t="e">
        <f>'Fil de l''eau'!#REF!</f>
        <v>#REF!</v>
      </c>
      <c r="Q43" s="13" t="e">
        <f>'Fil de l''eau'!#REF!</f>
        <v>#REF!</v>
      </c>
      <c r="R43" s="13" t="e">
        <f>'Fil de l''eau'!#REF!</f>
        <v>#REF!</v>
      </c>
      <c r="S43" s="13" t="e">
        <f>'Fil de l''eau'!#REF!</f>
        <v>#REF!</v>
      </c>
      <c r="T43" s="13" t="e">
        <f>'Fil de l''eau'!#REF!</f>
        <v>#REF!</v>
      </c>
      <c r="U43" s="13" t="e">
        <f>'Fil de l''eau'!#REF!</f>
        <v>#REF!</v>
      </c>
      <c r="V43" s="13" t="e">
        <f>'Fil de l''eau'!#REF!</f>
        <v>#REF!</v>
      </c>
      <c r="W43" s="13" t="e">
        <f>'Fil de l''eau'!#REF!</f>
        <v>#REF!</v>
      </c>
      <c r="X43" s="13" t="e">
        <f>'Fil de l''eau'!#REF!</f>
        <v>#REF!</v>
      </c>
      <c r="Y43" s="13" t="e">
        <f>'Fil de l''eau'!#REF!</f>
        <v>#REF!</v>
      </c>
      <c r="Z43" s="13" t="e">
        <f>'Fil de l''eau'!#REF!</f>
        <v>#REF!</v>
      </c>
      <c r="AA43" s="13" t="e">
        <f>'Fil de l''eau'!#REF!</f>
        <v>#REF!</v>
      </c>
      <c r="AB43" s="13" t="e">
        <f>'Fil de l''eau'!#REF!</f>
        <v>#REF!</v>
      </c>
      <c r="AC43" s="13" t="e">
        <f>'Fil de l''eau'!#REF!</f>
        <v>#REF!</v>
      </c>
      <c r="AD43" s="13" t="e">
        <f>'Fil de l''eau'!#REF!</f>
        <v>#REF!</v>
      </c>
      <c r="AE43" s="13" t="e">
        <f>'Fil de l''eau'!#REF!</f>
        <v>#REF!</v>
      </c>
      <c r="AF43" s="13" t="e">
        <f>'Fil de l''eau'!#REF!</f>
        <v>#REF!</v>
      </c>
      <c r="AG43" s="13" t="e">
        <f>'Fil de l''eau'!#REF!</f>
        <v>#REF!</v>
      </c>
      <c r="AH43" s="13" t="e">
        <f>'Fil de l''eau'!#REF!</f>
        <v>#REF!</v>
      </c>
      <c r="AI43" s="13" t="e">
        <f>'Fil de l''eau'!#REF!</f>
        <v>#REF!</v>
      </c>
      <c r="AJ43" s="13" t="e">
        <f>'Fil de l''eau'!#REF!</f>
        <v>#REF!</v>
      </c>
      <c r="AK43" s="13" t="e">
        <f>'Fil de l''eau'!#REF!</f>
        <v>#REF!</v>
      </c>
      <c r="AL43" s="13" t="e">
        <f>'Fil de l''eau'!#REF!</f>
        <v>#REF!</v>
      </c>
      <c r="AM43" s="13" t="e">
        <f>'Fil de l''eau'!#REF!</f>
        <v>#REF!</v>
      </c>
      <c r="AN43" s="13" t="e">
        <f>'Fil de l''eau'!#REF!</f>
        <v>#REF!</v>
      </c>
      <c r="AO43" s="13" t="e">
        <f>'Fil de l''eau'!#REF!</f>
        <v>#REF!</v>
      </c>
      <c r="AP43" s="13" t="e">
        <f>'Fil de l''eau'!#REF!</f>
        <v>#REF!</v>
      </c>
      <c r="AQ43" s="13" t="e">
        <f>'Fil de l''eau'!#REF!</f>
        <v>#REF!</v>
      </c>
      <c r="AR43" s="13" t="e">
        <f>'Fil de l''eau'!#REF!</f>
        <v>#REF!</v>
      </c>
      <c r="AS43" s="13" t="e">
        <f>'Fil de l''eau'!#REF!</f>
        <v>#REF!</v>
      </c>
      <c r="AT43" s="13" t="e">
        <f>'Fil de l''eau'!#REF!</f>
        <v>#REF!</v>
      </c>
      <c r="AU43" s="13" t="e">
        <f>'Fil de l''eau'!#REF!</f>
        <v>#REF!</v>
      </c>
      <c r="AV43" s="13" t="e">
        <f>'Fil de l''eau'!#REF!</f>
        <v>#REF!</v>
      </c>
      <c r="AW43" s="13" t="e">
        <f>'Fil de l''eau'!#REF!</f>
        <v>#REF!</v>
      </c>
      <c r="AX43" s="13" t="e">
        <f>'Fil de l''eau'!#REF!</f>
        <v>#REF!</v>
      </c>
      <c r="AY43" s="13" t="e">
        <f>'Fil de l''eau'!#REF!</f>
        <v>#REF!</v>
      </c>
      <c r="AZ43" s="13" t="e">
        <f>'Fil de l''eau'!#REF!</f>
        <v>#REF!</v>
      </c>
      <c r="BA43" s="11"/>
      <c r="BB43" s="15" t="e">
        <f>'Fil de l''eau'!#REF!</f>
        <v>#REF!</v>
      </c>
      <c r="BC43" s="16" t="e">
        <f>'Fil de l''eau'!#REF!</f>
        <v>#REF!</v>
      </c>
    </row>
    <row r="44" spans="1:59" ht="30" hidden="1" outlineLevel="1" x14ac:dyDescent="0.25">
      <c r="A44" s="17" t="e">
        <f>'Fil de l''eau'!#REF!</f>
        <v>#REF!</v>
      </c>
      <c r="B44" s="18" t="e">
        <f>'Fil de l''eau'!#REF!</f>
        <v>#REF!</v>
      </c>
      <c r="C44" s="18" t="e">
        <f>'Fil de l''eau'!#REF!</f>
        <v>#REF!</v>
      </c>
      <c r="D44" s="19" t="e">
        <f>'Fil de l''eau'!#REF!</f>
        <v>#REF!</v>
      </c>
      <c r="E44" s="19" t="e">
        <f>'Fil de l''eau'!#REF!</f>
        <v>#REF!</v>
      </c>
      <c r="F44" s="20" t="e">
        <f>'Fil de l''eau'!#REF!</f>
        <v>#REF!</v>
      </c>
      <c r="G44" s="20" t="e">
        <f>'Fil de l''eau'!#REF!</f>
        <v>#REF!</v>
      </c>
      <c r="H44" s="20" t="e">
        <f>'Fil de l''eau'!#REF!</f>
        <v>#REF!</v>
      </c>
      <c r="I44" s="21" t="e">
        <f>'Fil de l''eau'!#REF!</f>
        <v>#REF!</v>
      </c>
      <c r="J44" s="20" t="e">
        <f>'Fil de l''eau'!#REF!</f>
        <v>#REF!</v>
      </c>
      <c r="K44" s="20" t="e">
        <f>'Fil de l''eau'!#REF!</f>
        <v>#REF!</v>
      </c>
      <c r="L44" s="21" t="e">
        <f>'Fil de l''eau'!#REF!</f>
        <v>#REF!</v>
      </c>
      <c r="M44" s="20" t="e">
        <f>'Fil de l''eau'!#REF!</f>
        <v>#REF!</v>
      </c>
      <c r="N44" s="21" t="e">
        <f>'Fil de l''eau'!#REF!</f>
        <v>#REF!</v>
      </c>
      <c r="O44" s="20" t="e">
        <f>'Fil de l''eau'!#REF!</f>
        <v>#REF!</v>
      </c>
      <c r="P44" s="20" t="e">
        <f>'Fil de l''eau'!#REF!</f>
        <v>#REF!</v>
      </c>
      <c r="Q44" s="20" t="e">
        <f>'Fil de l''eau'!#REF!</f>
        <v>#REF!</v>
      </c>
      <c r="R44" s="20" t="e">
        <f>'Fil de l''eau'!#REF!</f>
        <v>#REF!</v>
      </c>
      <c r="S44" s="20" t="e">
        <f>'Fil de l''eau'!#REF!</f>
        <v>#REF!</v>
      </c>
      <c r="T44" s="20" t="e">
        <f>'Fil de l''eau'!#REF!</f>
        <v>#REF!</v>
      </c>
      <c r="U44" s="20" t="e">
        <f>'Fil de l''eau'!#REF!</f>
        <v>#REF!</v>
      </c>
      <c r="V44" s="20" t="e">
        <f>'Fil de l''eau'!#REF!</f>
        <v>#REF!</v>
      </c>
      <c r="W44" s="20" t="e">
        <f>'Fil de l''eau'!#REF!</f>
        <v>#REF!</v>
      </c>
      <c r="X44" s="20" t="e">
        <f>'Fil de l''eau'!#REF!</f>
        <v>#REF!</v>
      </c>
      <c r="Y44" s="20" t="e">
        <f>'Fil de l''eau'!#REF!</f>
        <v>#REF!</v>
      </c>
      <c r="Z44" s="20" t="e">
        <f>'Fil de l''eau'!#REF!</f>
        <v>#REF!</v>
      </c>
      <c r="AA44" s="20" t="e">
        <f>'Fil de l''eau'!#REF!</f>
        <v>#REF!</v>
      </c>
      <c r="AB44" s="20" t="e">
        <f>'Fil de l''eau'!#REF!</f>
        <v>#REF!</v>
      </c>
      <c r="AC44" s="20" t="e">
        <f>'Fil de l''eau'!#REF!</f>
        <v>#REF!</v>
      </c>
      <c r="AD44" s="20" t="e">
        <f>'Fil de l''eau'!#REF!</f>
        <v>#REF!</v>
      </c>
      <c r="AE44" s="20" t="e">
        <f>'Fil de l''eau'!#REF!</f>
        <v>#REF!</v>
      </c>
      <c r="AF44" s="20" t="e">
        <f>'Fil de l''eau'!#REF!</f>
        <v>#REF!</v>
      </c>
      <c r="AG44" s="20" t="e">
        <f>'Fil de l''eau'!#REF!</f>
        <v>#REF!</v>
      </c>
      <c r="AH44" s="20" t="e">
        <f>'Fil de l''eau'!#REF!</f>
        <v>#REF!</v>
      </c>
      <c r="AI44" s="20" t="e">
        <f>'Fil de l''eau'!#REF!</f>
        <v>#REF!</v>
      </c>
      <c r="AJ44" s="20" t="e">
        <f>'Fil de l''eau'!#REF!</f>
        <v>#REF!</v>
      </c>
      <c r="AK44" s="20" t="e">
        <f>'Fil de l''eau'!#REF!</f>
        <v>#REF!</v>
      </c>
      <c r="AL44" s="20" t="e">
        <f>'Fil de l''eau'!#REF!</f>
        <v>#REF!</v>
      </c>
      <c r="AM44" s="20" t="e">
        <f>'Fil de l''eau'!#REF!</f>
        <v>#REF!</v>
      </c>
      <c r="AN44" s="20" t="e">
        <f>'Fil de l''eau'!#REF!</f>
        <v>#REF!</v>
      </c>
      <c r="AO44" s="20" t="e">
        <f>'Fil de l''eau'!#REF!</f>
        <v>#REF!</v>
      </c>
      <c r="AP44" s="20" t="e">
        <f>'Fil de l''eau'!#REF!</f>
        <v>#REF!</v>
      </c>
      <c r="AQ44" s="20" t="e">
        <f>'Fil de l''eau'!#REF!</f>
        <v>#REF!</v>
      </c>
      <c r="AR44" s="20" t="e">
        <f>'Fil de l''eau'!#REF!</f>
        <v>#REF!</v>
      </c>
      <c r="AS44" s="20" t="e">
        <f>'Fil de l''eau'!#REF!</f>
        <v>#REF!</v>
      </c>
      <c r="AT44" s="20" t="e">
        <f>'Fil de l''eau'!#REF!</f>
        <v>#REF!</v>
      </c>
      <c r="AU44" s="20" t="e">
        <f>'Fil de l''eau'!#REF!</f>
        <v>#REF!</v>
      </c>
      <c r="AV44" s="20" t="e">
        <f>'Fil de l''eau'!#REF!</f>
        <v>#REF!</v>
      </c>
      <c r="AW44" s="20" t="e">
        <f>'Fil de l''eau'!#REF!</f>
        <v>#REF!</v>
      </c>
      <c r="AX44" s="20" t="e">
        <f>'Fil de l''eau'!#REF!</f>
        <v>#REF!</v>
      </c>
      <c r="AY44" s="20" t="e">
        <f>'Fil de l''eau'!#REF!</f>
        <v>#REF!</v>
      </c>
      <c r="AZ44" s="20" t="e">
        <f>'Fil de l''eau'!#REF!</f>
        <v>#REF!</v>
      </c>
      <c r="BA44" s="18"/>
      <c r="BB44" s="22" t="e">
        <f>'Fil de l''eau'!#REF!</f>
        <v>#REF!</v>
      </c>
      <c r="BC44" s="23" t="e">
        <f>'Fil de l''eau'!#REF!</f>
        <v>#REF!</v>
      </c>
    </row>
    <row r="45" spans="1:59" s="1" customFormat="1" collapsed="1" x14ac:dyDescent="0.25">
      <c r="A45" s="2"/>
      <c r="D45" s="3"/>
      <c r="E45" s="25" t="s">
        <v>290</v>
      </c>
      <c r="F45" s="26" t="e">
        <f>SUM(F37,F36,F35)</f>
        <v>#REF!</v>
      </c>
      <c r="G45" s="26" t="e">
        <f>SUM(G37,G36,G35)</f>
        <v>#REF!</v>
      </c>
      <c r="H45" s="26" t="e">
        <f>SUM(H37,H36,H35)</f>
        <v>#REF!</v>
      </c>
      <c r="I45" s="28" t="e">
        <f>H45/F45</f>
        <v>#REF!</v>
      </c>
      <c r="J45" s="26" t="e">
        <f>SUM(J37,J36,J35)</f>
        <v>#REF!</v>
      </c>
      <c r="K45" s="26" t="e">
        <f>SUM(K37,K36,K35)</f>
        <v>#REF!</v>
      </c>
      <c r="L45" s="28" t="e">
        <f>K45/F45</f>
        <v>#REF!</v>
      </c>
      <c r="M45" s="27" t="e">
        <f>SUM(M37,M36,M35)</f>
        <v>#REF!</v>
      </c>
      <c r="N45" s="29" t="e">
        <f>M45/F45</f>
        <v>#REF!</v>
      </c>
      <c r="O45" s="25" t="e">
        <f>SUM(O37,O36,O35)</f>
        <v>#REF!</v>
      </c>
      <c r="P45" s="25" t="e">
        <f t="shared" ref="P45:AZ45" si="161">SUM(P37,P36,P35)</f>
        <v>#REF!</v>
      </c>
      <c r="Q45" s="25" t="e">
        <f t="shared" si="161"/>
        <v>#REF!</v>
      </c>
      <c r="R45" s="25" t="e">
        <f t="shared" si="161"/>
        <v>#REF!</v>
      </c>
      <c r="S45" s="25" t="e">
        <f t="shared" si="161"/>
        <v>#REF!</v>
      </c>
      <c r="T45" s="25" t="e">
        <f t="shared" si="161"/>
        <v>#REF!</v>
      </c>
      <c r="U45" s="25" t="e">
        <f t="shared" si="161"/>
        <v>#REF!</v>
      </c>
      <c r="V45" s="25" t="e">
        <f t="shared" si="161"/>
        <v>#REF!</v>
      </c>
      <c r="W45" s="25" t="e">
        <f t="shared" si="161"/>
        <v>#REF!</v>
      </c>
      <c r="X45" s="25" t="e">
        <f t="shared" si="161"/>
        <v>#REF!</v>
      </c>
      <c r="Y45" s="25" t="e">
        <f t="shared" si="161"/>
        <v>#REF!</v>
      </c>
      <c r="Z45" s="25" t="e">
        <f t="shared" si="161"/>
        <v>#REF!</v>
      </c>
      <c r="AA45" s="25" t="e">
        <f t="shared" si="161"/>
        <v>#REF!</v>
      </c>
      <c r="AB45" s="25" t="e">
        <f t="shared" si="161"/>
        <v>#REF!</v>
      </c>
      <c r="AC45" s="25" t="e">
        <f t="shared" si="161"/>
        <v>#REF!</v>
      </c>
      <c r="AD45" s="25" t="e">
        <f t="shared" si="161"/>
        <v>#REF!</v>
      </c>
      <c r="AE45" s="25" t="e">
        <f t="shared" si="161"/>
        <v>#REF!</v>
      </c>
      <c r="AF45" s="25" t="e">
        <f t="shared" si="161"/>
        <v>#REF!</v>
      </c>
      <c r="AG45" s="25" t="e">
        <f t="shared" si="161"/>
        <v>#REF!</v>
      </c>
      <c r="AH45" s="25" t="e">
        <f t="shared" si="161"/>
        <v>#REF!</v>
      </c>
      <c r="AI45" s="25" t="e">
        <f t="shared" si="161"/>
        <v>#REF!</v>
      </c>
      <c r="AJ45" s="25" t="e">
        <f t="shared" si="161"/>
        <v>#REF!</v>
      </c>
      <c r="AK45" s="25" t="e">
        <f t="shared" si="161"/>
        <v>#REF!</v>
      </c>
      <c r="AL45" s="25" t="e">
        <f t="shared" si="161"/>
        <v>#REF!</v>
      </c>
      <c r="AM45" s="25" t="e">
        <f t="shared" si="161"/>
        <v>#REF!</v>
      </c>
      <c r="AN45" s="25" t="e">
        <f t="shared" si="161"/>
        <v>#REF!</v>
      </c>
      <c r="AO45" s="25" t="e">
        <f t="shared" si="161"/>
        <v>#REF!</v>
      </c>
      <c r="AP45" s="25" t="e">
        <f t="shared" si="161"/>
        <v>#REF!</v>
      </c>
      <c r="AQ45" s="25" t="e">
        <f t="shared" si="161"/>
        <v>#REF!</v>
      </c>
      <c r="AR45" s="25" t="e">
        <f t="shared" si="161"/>
        <v>#REF!</v>
      </c>
      <c r="AS45" s="25" t="e">
        <f t="shared" si="161"/>
        <v>#REF!</v>
      </c>
      <c r="AT45" s="25" t="e">
        <f t="shared" si="161"/>
        <v>#REF!</v>
      </c>
      <c r="AU45" s="25" t="e">
        <f t="shared" si="161"/>
        <v>#REF!</v>
      </c>
      <c r="AV45" s="25" t="e">
        <f t="shared" si="161"/>
        <v>#REF!</v>
      </c>
      <c r="AW45" s="25" t="e">
        <f t="shared" si="161"/>
        <v>#REF!</v>
      </c>
      <c r="AX45" s="25" t="e">
        <f t="shared" si="161"/>
        <v>#REF!</v>
      </c>
      <c r="AY45" s="25" t="e">
        <f t="shared" si="161"/>
        <v>#REF!</v>
      </c>
      <c r="AZ45" s="25" t="e">
        <f t="shared" si="161"/>
        <v>#REF!</v>
      </c>
      <c r="BA45" s="4"/>
      <c r="BB45" s="2"/>
      <c r="BC45" s="1">
        <f>SUBTOTAL(3,BC35,BC36,BC37)</f>
        <v>3</v>
      </c>
      <c r="BF45" s="5"/>
      <c r="BG45" s="5"/>
    </row>
    <row r="46" spans="1:59" s="1" customFormat="1" x14ac:dyDescent="0.25">
      <c r="A46" s="2"/>
      <c r="D46" s="3"/>
      <c r="E46" s="59"/>
      <c r="F46" s="59"/>
      <c r="G46" s="59"/>
      <c r="H46" s="59"/>
      <c r="I46" s="60"/>
      <c r="J46" s="59"/>
      <c r="K46" s="59"/>
      <c r="L46" s="60"/>
      <c r="M46" s="63">
        <v>1</v>
      </c>
      <c r="N46" s="62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4"/>
      <c r="BB46" s="2"/>
      <c r="BF46" s="5"/>
      <c r="BG46" s="5"/>
    </row>
    <row r="48" spans="1:59" x14ac:dyDescent="0.25">
      <c r="A48" s="30" t="s">
        <v>191</v>
      </c>
    </row>
    <row r="49" spans="1:55" ht="45" x14ac:dyDescent="0.25">
      <c r="A49" s="6" t="s">
        <v>178</v>
      </c>
      <c r="B49" s="7" t="s">
        <v>180</v>
      </c>
      <c r="C49" s="7" t="s">
        <v>0</v>
      </c>
      <c r="D49" s="7" t="s">
        <v>1</v>
      </c>
      <c r="E49" s="7" t="s">
        <v>2</v>
      </c>
      <c r="F49" s="7" t="s">
        <v>13</v>
      </c>
      <c r="G49" s="7" t="s">
        <v>14</v>
      </c>
      <c r="H49" s="7" t="s">
        <v>15</v>
      </c>
      <c r="I49" s="8" t="s">
        <v>16</v>
      </c>
      <c r="J49" s="7" t="s">
        <v>8</v>
      </c>
      <c r="K49" s="7" t="s">
        <v>17</v>
      </c>
      <c r="L49" s="8" t="s">
        <v>18</v>
      </c>
      <c r="M49" s="7" t="s">
        <v>3</v>
      </c>
      <c r="N49" s="8" t="s">
        <v>19</v>
      </c>
      <c r="O49" s="7" t="s">
        <v>20</v>
      </c>
      <c r="P49" s="7" t="s">
        <v>4</v>
      </c>
      <c r="Q49" s="7" t="s">
        <v>11</v>
      </c>
      <c r="R49" s="7" t="s">
        <v>21</v>
      </c>
      <c r="S49" s="7" t="s">
        <v>12</v>
      </c>
      <c r="T49" s="7" t="s">
        <v>22</v>
      </c>
      <c r="U49" s="7" t="s">
        <v>23</v>
      </c>
      <c r="V49" s="7" t="s">
        <v>10</v>
      </c>
      <c r="W49" s="7" t="s">
        <v>5</v>
      </c>
      <c r="X49" s="7" t="s">
        <v>24</v>
      </c>
      <c r="Y49" s="7" t="s">
        <v>25</v>
      </c>
      <c r="Z49" s="7" t="s">
        <v>26</v>
      </c>
      <c r="AA49" s="7" t="s">
        <v>27</v>
      </c>
      <c r="AB49" s="7" t="s">
        <v>28</v>
      </c>
      <c r="AC49" s="7" t="s">
        <v>6</v>
      </c>
      <c r="AD49" s="7" t="s">
        <v>29</v>
      </c>
      <c r="AE49" s="7" t="s">
        <v>30</v>
      </c>
      <c r="AF49" s="7" t="s">
        <v>31</v>
      </c>
      <c r="AG49" s="7" t="s">
        <v>32</v>
      </c>
      <c r="AH49" s="7" t="s">
        <v>33</v>
      </c>
      <c r="AI49" s="7" t="s">
        <v>34</v>
      </c>
      <c r="AJ49" s="7" t="s">
        <v>35</v>
      </c>
      <c r="AK49" s="7" t="s">
        <v>36</v>
      </c>
      <c r="AL49" s="7" t="s">
        <v>37</v>
      </c>
      <c r="AM49" s="7" t="s">
        <v>38</v>
      </c>
      <c r="AN49" s="7" t="s">
        <v>39</v>
      </c>
      <c r="AO49" s="7" t="s">
        <v>40</v>
      </c>
      <c r="AP49" s="7" t="s">
        <v>41</v>
      </c>
      <c r="AQ49" s="7" t="s">
        <v>42</v>
      </c>
      <c r="AR49" s="7" t="s">
        <v>43</v>
      </c>
      <c r="AS49" s="7" t="s">
        <v>44</v>
      </c>
      <c r="AT49" s="7" t="s">
        <v>45</v>
      </c>
      <c r="AU49" s="7" t="s">
        <v>46</v>
      </c>
      <c r="AV49" s="7" t="s">
        <v>47</v>
      </c>
      <c r="AW49" s="7" t="s">
        <v>48</v>
      </c>
      <c r="AX49" s="7" t="s">
        <v>49</v>
      </c>
      <c r="AY49" s="7" t="s">
        <v>50</v>
      </c>
      <c r="AZ49" s="7" t="s">
        <v>7</v>
      </c>
      <c r="BA49" s="7" t="s">
        <v>51</v>
      </c>
      <c r="BB49" s="7" t="s">
        <v>52</v>
      </c>
      <c r="BC49" s="9" t="s">
        <v>9</v>
      </c>
    </row>
    <row r="50" spans="1:55" ht="60" x14ac:dyDescent="0.25">
      <c r="A50" s="17" t="s">
        <v>190</v>
      </c>
      <c r="B50" s="18" t="s">
        <v>191</v>
      </c>
      <c r="C50" s="18" t="s">
        <v>284</v>
      </c>
      <c r="D50" s="19" t="s">
        <v>287</v>
      </c>
      <c r="E50" s="19" t="s">
        <v>187</v>
      </c>
      <c r="F50" s="20">
        <f>SUM(F51:F58)</f>
        <v>0</v>
      </c>
      <c r="G50" s="20">
        <f>SUM(G51:G58)</f>
        <v>0</v>
      </c>
      <c r="H50" s="20">
        <f>SUM(H51:H58)</f>
        <v>0</v>
      </c>
      <c r="I50" s="21" t="e">
        <f>H50/F50</f>
        <v>#DIV/0!</v>
      </c>
      <c r="J50" s="20">
        <f t="shared" ref="J50:K50" si="162">SUM(J51:J58)</f>
        <v>0</v>
      </c>
      <c r="K50" s="20">
        <f t="shared" si="162"/>
        <v>0</v>
      </c>
      <c r="L50" s="24" t="e">
        <f>K50/F50</f>
        <v>#DIV/0!</v>
      </c>
      <c r="M50" s="20">
        <f t="shared" ref="M50" si="163">SUM(M51:M58)</f>
        <v>0</v>
      </c>
      <c r="N50" s="21" t="e">
        <f>M50/F50</f>
        <v>#DIV/0!</v>
      </c>
      <c r="O50" s="20">
        <f t="shared" ref="O50" si="164">SUM(O51:O58)</f>
        <v>0</v>
      </c>
      <c r="P50" s="20">
        <f t="shared" ref="P50" si="165">SUM(P51:P58)</f>
        <v>0</v>
      </c>
      <c r="Q50" s="20">
        <f t="shared" ref="Q50" si="166">SUM(Q51:Q58)</f>
        <v>0</v>
      </c>
      <c r="R50" s="20">
        <f t="shared" ref="R50" si="167">SUM(R51:R58)</f>
        <v>0</v>
      </c>
      <c r="S50" s="20">
        <f t="shared" ref="S50" si="168">SUM(S51:S58)</f>
        <v>0</v>
      </c>
      <c r="T50" s="20">
        <f t="shared" ref="T50" si="169">SUM(T51:T58)</f>
        <v>0</v>
      </c>
      <c r="U50" s="20">
        <f t="shared" ref="U50" si="170">SUM(U51:U58)</f>
        <v>0</v>
      </c>
      <c r="V50" s="20">
        <f t="shared" ref="V50" si="171">SUM(V51:V58)</f>
        <v>0</v>
      </c>
      <c r="W50" s="20">
        <f t="shared" ref="W50" si="172">SUM(W51:W58)</f>
        <v>0</v>
      </c>
      <c r="X50" s="20">
        <f t="shared" ref="X50" si="173">SUM(X51:X58)</f>
        <v>0</v>
      </c>
      <c r="Y50" s="20">
        <f t="shared" ref="Y50" si="174">SUM(Y51:Y58)</f>
        <v>0</v>
      </c>
      <c r="Z50" s="20">
        <f t="shared" ref="Z50" si="175">SUM(Z51:Z58)</f>
        <v>0</v>
      </c>
      <c r="AA50" s="20">
        <f t="shared" ref="AA50" si="176">SUM(AA51:AA58)</f>
        <v>0</v>
      </c>
      <c r="AB50" s="20">
        <f t="shared" ref="AB50" si="177">SUM(AB51:AB58)</f>
        <v>0</v>
      </c>
      <c r="AC50" s="20">
        <f t="shared" ref="AC50" si="178">SUM(AC51:AC58)</f>
        <v>0</v>
      </c>
      <c r="AD50" s="20">
        <f t="shared" ref="AD50" si="179">SUM(AD51:AD58)</f>
        <v>0</v>
      </c>
      <c r="AE50" s="20">
        <f t="shared" ref="AE50" si="180">SUM(AE51:AE58)</f>
        <v>0</v>
      </c>
      <c r="AF50" s="20">
        <f t="shared" ref="AF50" si="181">SUM(AF51:AF58)</f>
        <v>0</v>
      </c>
      <c r="AG50" s="20">
        <f t="shared" ref="AG50" si="182">SUM(AG51:AG58)</f>
        <v>0</v>
      </c>
      <c r="AH50" s="20">
        <f t="shared" ref="AH50" si="183">SUM(AH51:AH58)</f>
        <v>0</v>
      </c>
      <c r="AI50" s="20">
        <f t="shared" ref="AI50" si="184">SUM(AI51:AI58)</f>
        <v>0</v>
      </c>
      <c r="AJ50" s="20">
        <f t="shared" ref="AJ50" si="185">SUM(AJ51:AJ58)</f>
        <v>0</v>
      </c>
      <c r="AK50" s="20">
        <f t="shared" ref="AK50" si="186">SUM(AK51:AK58)</f>
        <v>0</v>
      </c>
      <c r="AL50" s="20">
        <f t="shared" ref="AL50" si="187">SUM(AL51:AL58)</f>
        <v>0</v>
      </c>
      <c r="AM50" s="20">
        <f t="shared" ref="AM50" si="188">SUM(AM51:AM58)</f>
        <v>0</v>
      </c>
      <c r="AN50" s="20">
        <f t="shared" ref="AN50" si="189">SUM(AN51:AN58)</f>
        <v>0</v>
      </c>
      <c r="AO50" s="20">
        <f t="shared" ref="AO50" si="190">SUM(AO51:AO58)</f>
        <v>0</v>
      </c>
      <c r="AP50" s="20">
        <f t="shared" ref="AP50" si="191">SUM(AP51:AP58)</f>
        <v>0</v>
      </c>
      <c r="AQ50" s="20">
        <f t="shared" ref="AQ50" si="192">SUM(AQ51:AQ58)</f>
        <v>0</v>
      </c>
      <c r="AR50" s="20">
        <f t="shared" ref="AR50" si="193">SUM(AR51:AR58)</f>
        <v>0</v>
      </c>
      <c r="AS50" s="20">
        <f t="shared" ref="AS50" si="194">SUM(AS51:AS58)</f>
        <v>0</v>
      </c>
      <c r="AT50" s="20">
        <f t="shared" ref="AT50" si="195">SUM(AT51:AT58)</f>
        <v>0</v>
      </c>
      <c r="AU50" s="20">
        <f t="shared" ref="AU50" si="196">SUM(AU51:AU58)</f>
        <v>0</v>
      </c>
      <c r="AV50" s="20">
        <f t="shared" ref="AV50" si="197">SUM(AV51:AV58)</f>
        <v>0</v>
      </c>
      <c r="AW50" s="20">
        <f t="shared" ref="AW50" si="198">SUM(AW51:AW58)</f>
        <v>0</v>
      </c>
      <c r="AX50" s="20">
        <f t="shared" ref="AX50" si="199">SUM(AX51:AX58)</f>
        <v>0</v>
      </c>
      <c r="AY50" s="20">
        <f t="shared" ref="AY50" si="200">SUM(AY51:AY58)</f>
        <v>0</v>
      </c>
      <c r="AZ50" s="20">
        <f t="shared" ref="AZ50" si="201">SUM(AZ51:AZ58)</f>
        <v>0</v>
      </c>
      <c r="BA50" s="18"/>
      <c r="BB50" s="22" t="s">
        <v>291</v>
      </c>
      <c r="BC50" s="23" t="s">
        <v>292</v>
      </c>
    </row>
    <row r="51" spans="1:55" outlineLevel="1" x14ac:dyDescent="0.25">
      <c r="A51" s="10">
        <f>'Fil de l''eau'!A91</f>
        <v>0</v>
      </c>
      <c r="B51" s="11">
        <f>'Fil de l''eau'!B91</f>
        <v>0</v>
      </c>
      <c r="C51" s="11">
        <f>'Fil de l''eau'!C91</f>
        <v>0</v>
      </c>
      <c r="D51" s="12">
        <f>'Fil de l''eau'!D91</f>
        <v>0</v>
      </c>
      <c r="E51" s="12">
        <f>'Fil de l''eau'!E91</f>
        <v>0</v>
      </c>
      <c r="F51" s="13">
        <f>'Fil de l''eau'!F91</f>
        <v>0</v>
      </c>
      <c r="G51" s="13">
        <f>'Fil de l''eau'!G91</f>
        <v>0</v>
      </c>
      <c r="H51" s="13">
        <f>'Fil de l''eau'!H91</f>
        <v>0</v>
      </c>
      <c r="I51" s="14">
        <f>'Fil de l''eau'!I91</f>
        <v>0</v>
      </c>
      <c r="J51" s="13">
        <f>'Fil de l''eau'!J91</f>
        <v>0</v>
      </c>
      <c r="K51" s="13">
        <f>'Fil de l''eau'!K91</f>
        <v>0</v>
      </c>
      <c r="L51" s="14">
        <f>'Fil de l''eau'!L91</f>
        <v>0</v>
      </c>
      <c r="M51" s="13">
        <f>'Fil de l''eau'!M91</f>
        <v>0</v>
      </c>
      <c r="N51" s="14">
        <f>'Fil de l''eau'!N91</f>
        <v>0</v>
      </c>
      <c r="O51" s="13">
        <f>'Fil de l''eau'!O91</f>
        <v>0</v>
      </c>
      <c r="P51" s="13">
        <f>'Fil de l''eau'!P91</f>
        <v>0</v>
      </c>
      <c r="Q51" s="13">
        <f>'Fil de l''eau'!Q91</f>
        <v>0</v>
      </c>
      <c r="R51" s="13">
        <f>'Fil de l''eau'!R91</f>
        <v>0</v>
      </c>
      <c r="S51" s="13">
        <f>'Fil de l''eau'!S91</f>
        <v>0</v>
      </c>
      <c r="T51" s="13">
        <f>'Fil de l''eau'!T91</f>
        <v>0</v>
      </c>
      <c r="U51" s="13">
        <f>'Fil de l''eau'!U91</f>
        <v>0</v>
      </c>
      <c r="V51" s="13">
        <f>'Fil de l''eau'!V91</f>
        <v>0</v>
      </c>
      <c r="W51" s="13">
        <f>'Fil de l''eau'!W91</f>
        <v>0</v>
      </c>
      <c r="X51" s="13">
        <f>'Fil de l''eau'!X91</f>
        <v>0</v>
      </c>
      <c r="Y51" s="13">
        <f>'Fil de l''eau'!Y91</f>
        <v>0</v>
      </c>
      <c r="Z51" s="13">
        <f>'Fil de l''eau'!Z91</f>
        <v>0</v>
      </c>
      <c r="AA51" s="13">
        <f>'Fil de l''eau'!AA91</f>
        <v>0</v>
      </c>
      <c r="AB51" s="13">
        <f>'Fil de l''eau'!AB91</f>
        <v>0</v>
      </c>
      <c r="AC51" s="13">
        <f>'Fil de l''eau'!AC91</f>
        <v>0</v>
      </c>
      <c r="AD51" s="13">
        <f>'Fil de l''eau'!AD91</f>
        <v>0</v>
      </c>
      <c r="AE51" s="13">
        <f>'Fil de l''eau'!AE91</f>
        <v>0</v>
      </c>
      <c r="AF51" s="13">
        <f>'Fil de l''eau'!AF91</f>
        <v>0</v>
      </c>
      <c r="AG51" s="13">
        <f>'Fil de l''eau'!AG91</f>
        <v>0</v>
      </c>
      <c r="AH51" s="13">
        <f>'Fil de l''eau'!AH91</f>
        <v>0</v>
      </c>
      <c r="AI51" s="13">
        <f>'Fil de l''eau'!AI91</f>
        <v>0</v>
      </c>
      <c r="AJ51" s="13">
        <f>'Fil de l''eau'!AJ91</f>
        <v>0</v>
      </c>
      <c r="AK51" s="13">
        <f>'Fil de l''eau'!AK91</f>
        <v>0</v>
      </c>
      <c r="AL51" s="13">
        <f>'Fil de l''eau'!AL91</f>
        <v>0</v>
      </c>
      <c r="AM51" s="13">
        <f>'Fil de l''eau'!AM91</f>
        <v>0</v>
      </c>
      <c r="AN51" s="13">
        <f>'Fil de l''eau'!AN91</f>
        <v>0</v>
      </c>
      <c r="AO51" s="13">
        <f>'Fil de l''eau'!AO91</f>
        <v>0</v>
      </c>
      <c r="AP51" s="13">
        <f>'Fil de l''eau'!AP91</f>
        <v>0</v>
      </c>
      <c r="AQ51" s="13">
        <f>'Fil de l''eau'!AQ91</f>
        <v>0</v>
      </c>
      <c r="AR51" s="13">
        <f>'Fil de l''eau'!AR91</f>
        <v>0</v>
      </c>
      <c r="AS51" s="13">
        <f>'Fil de l''eau'!AS91</f>
        <v>0</v>
      </c>
      <c r="AT51" s="13">
        <f>'Fil de l''eau'!AT91</f>
        <v>0</v>
      </c>
      <c r="AU51" s="13">
        <f>'Fil de l''eau'!AU91</f>
        <v>0</v>
      </c>
      <c r="AV51" s="13">
        <f>'Fil de l''eau'!AV91</f>
        <v>0</v>
      </c>
      <c r="AW51" s="13">
        <f>'Fil de l''eau'!AW91</f>
        <v>0</v>
      </c>
      <c r="AX51" s="13">
        <f>'Fil de l''eau'!AX91</f>
        <v>0</v>
      </c>
      <c r="AY51" s="13">
        <f>'Fil de l''eau'!AY91</f>
        <v>0</v>
      </c>
      <c r="AZ51" s="13">
        <f>'Fil de l''eau'!AZ91</f>
        <v>0</v>
      </c>
      <c r="BA51" s="11">
        <f>'Fil de l''eau'!BB91</f>
        <v>0</v>
      </c>
      <c r="BB51" s="15">
        <f>'Fil de l''eau'!BC91</f>
        <v>0</v>
      </c>
      <c r="BC51" s="16">
        <f>'Fil de l''eau'!BD91</f>
        <v>0</v>
      </c>
    </row>
    <row r="52" spans="1:55" outlineLevel="1" x14ac:dyDescent="0.25">
      <c r="A52" s="17">
        <f>'Fil de l''eau'!A92</f>
        <v>0</v>
      </c>
      <c r="B52" s="18">
        <f>'Fil de l''eau'!B92</f>
        <v>0</v>
      </c>
      <c r="C52" s="18" t="str">
        <f>'Fil de l''eau'!C92</f>
        <v>Total</v>
      </c>
      <c r="D52" s="19">
        <f>'Fil de l''eau'!D92</f>
        <v>0</v>
      </c>
      <c r="E52" s="19">
        <f>'Fil de l''eau'!E92</f>
        <v>0</v>
      </c>
      <c r="F52" s="20">
        <f>'Fil de l''eau'!F92</f>
        <v>0</v>
      </c>
      <c r="G52" s="20">
        <f>'Fil de l''eau'!G92</f>
        <v>0</v>
      </c>
      <c r="H52" s="20">
        <f>'Fil de l''eau'!H92</f>
        <v>0</v>
      </c>
      <c r="I52" s="21">
        <f>'Fil de l''eau'!I92</f>
        <v>0</v>
      </c>
      <c r="J52" s="20">
        <f>'Fil de l''eau'!J92</f>
        <v>0</v>
      </c>
      <c r="K52" s="20">
        <f>'Fil de l''eau'!K92</f>
        <v>0</v>
      </c>
      <c r="L52" s="21">
        <f>'Fil de l''eau'!L92</f>
        <v>0</v>
      </c>
      <c r="M52" s="20">
        <f>'Fil de l''eau'!M92</f>
        <v>0</v>
      </c>
      <c r="N52" s="21">
        <f>'Fil de l''eau'!N92</f>
        <v>0</v>
      </c>
      <c r="O52" s="20">
        <f>'Fil de l''eau'!O92</f>
        <v>0</v>
      </c>
      <c r="P52" s="20">
        <f>'Fil de l''eau'!P92</f>
        <v>0</v>
      </c>
      <c r="Q52" s="20">
        <f>'Fil de l''eau'!Q92</f>
        <v>0</v>
      </c>
      <c r="R52" s="20">
        <f>'Fil de l''eau'!R92</f>
        <v>0</v>
      </c>
      <c r="S52" s="20">
        <f>'Fil de l''eau'!S92</f>
        <v>0</v>
      </c>
      <c r="T52" s="20">
        <f>'Fil de l''eau'!T92</f>
        <v>0</v>
      </c>
      <c r="U52" s="20">
        <f>'Fil de l''eau'!U92</f>
        <v>0</v>
      </c>
      <c r="V52" s="20">
        <f>'Fil de l''eau'!V92</f>
        <v>0</v>
      </c>
      <c r="W52" s="20">
        <f>'Fil de l''eau'!W92</f>
        <v>0</v>
      </c>
      <c r="X52" s="20">
        <f>'Fil de l''eau'!X92</f>
        <v>0</v>
      </c>
      <c r="Y52" s="20">
        <f>'Fil de l''eau'!Y92</f>
        <v>0</v>
      </c>
      <c r="Z52" s="20">
        <f>'Fil de l''eau'!Z92</f>
        <v>0</v>
      </c>
      <c r="AA52" s="20">
        <f>'Fil de l''eau'!AA92</f>
        <v>0</v>
      </c>
      <c r="AB52" s="20">
        <f>'Fil de l''eau'!AB92</f>
        <v>0</v>
      </c>
      <c r="AC52" s="20">
        <f>'Fil de l''eau'!AC92</f>
        <v>0</v>
      </c>
      <c r="AD52" s="20">
        <f>'Fil de l''eau'!AD92</f>
        <v>0</v>
      </c>
      <c r="AE52" s="20">
        <f>'Fil de l''eau'!AE92</f>
        <v>0</v>
      </c>
      <c r="AF52" s="20">
        <f>'Fil de l''eau'!AF92</f>
        <v>0</v>
      </c>
      <c r="AG52" s="20">
        <f>'Fil de l''eau'!AG92</f>
        <v>0</v>
      </c>
      <c r="AH52" s="20">
        <f>'Fil de l''eau'!AH92</f>
        <v>0</v>
      </c>
      <c r="AI52" s="20">
        <f>'Fil de l''eau'!AI92</f>
        <v>0</v>
      </c>
      <c r="AJ52" s="20">
        <f>'Fil de l''eau'!AJ92</f>
        <v>0</v>
      </c>
      <c r="AK52" s="20">
        <f>'Fil de l''eau'!AK92</f>
        <v>0</v>
      </c>
      <c r="AL52" s="20">
        <f>'Fil de l''eau'!AL92</f>
        <v>0</v>
      </c>
      <c r="AM52" s="20">
        <f>'Fil de l''eau'!AM92</f>
        <v>0</v>
      </c>
      <c r="AN52" s="20">
        <f>'Fil de l''eau'!AN92</f>
        <v>0</v>
      </c>
      <c r="AO52" s="20">
        <f>'Fil de l''eau'!AO92</f>
        <v>0</v>
      </c>
      <c r="AP52" s="20">
        <f>'Fil de l''eau'!AP92</f>
        <v>0</v>
      </c>
      <c r="AQ52" s="20">
        <f>'Fil de l''eau'!AQ92</f>
        <v>0</v>
      </c>
      <c r="AR52" s="20">
        <f>'Fil de l''eau'!AR92</f>
        <v>0</v>
      </c>
      <c r="AS52" s="20">
        <f>'Fil de l''eau'!AS92</f>
        <v>0</v>
      </c>
      <c r="AT52" s="20">
        <f>'Fil de l''eau'!AT92</f>
        <v>0</v>
      </c>
      <c r="AU52" s="20">
        <f>'Fil de l''eau'!AU92</f>
        <v>0</v>
      </c>
      <c r="AV52" s="20">
        <f>'Fil de l''eau'!AV92</f>
        <v>0</v>
      </c>
      <c r="AW52" s="20">
        <f>'Fil de l''eau'!AW92</f>
        <v>0</v>
      </c>
      <c r="AX52" s="20">
        <f>'Fil de l''eau'!AX92</f>
        <v>0</v>
      </c>
      <c r="AY52" s="20">
        <f>'Fil de l''eau'!AY92</f>
        <v>0</v>
      </c>
      <c r="AZ52" s="20">
        <f>'Fil de l''eau'!AZ92</f>
        <v>0</v>
      </c>
      <c r="BA52" s="18">
        <f>'Fil de l''eau'!BB92</f>
        <v>0</v>
      </c>
      <c r="BB52" s="22">
        <f>'Fil de l''eau'!BC92</f>
        <v>0</v>
      </c>
      <c r="BC52" s="23">
        <f>'Fil de l''eau'!BD92</f>
        <v>0</v>
      </c>
    </row>
    <row r="53" spans="1:55" outlineLevel="1" x14ac:dyDescent="0.25">
      <c r="A53" s="10">
        <f>'Fil de l''eau'!A94</f>
        <v>0</v>
      </c>
      <c r="B53" s="11">
        <f>'Fil de l''eau'!B94</f>
        <v>0</v>
      </c>
      <c r="C53" s="11">
        <f>'Fil de l''eau'!C94</f>
        <v>0</v>
      </c>
      <c r="D53" s="12">
        <f>'Fil de l''eau'!D94</f>
        <v>0</v>
      </c>
      <c r="E53" s="12">
        <f>'Fil de l''eau'!E94</f>
        <v>0</v>
      </c>
      <c r="F53" s="13">
        <f>'Fil de l''eau'!F94</f>
        <v>0</v>
      </c>
      <c r="G53" s="13">
        <f>'Fil de l''eau'!G94</f>
        <v>0</v>
      </c>
      <c r="H53" s="13">
        <f>'Fil de l''eau'!H94</f>
        <v>0</v>
      </c>
      <c r="I53" s="14">
        <f>'Fil de l''eau'!I94</f>
        <v>0</v>
      </c>
      <c r="J53" s="13">
        <f>'Fil de l''eau'!J94</f>
        <v>0</v>
      </c>
      <c r="K53" s="13">
        <f>'Fil de l''eau'!K94</f>
        <v>0</v>
      </c>
      <c r="L53" s="14">
        <f>'Fil de l''eau'!L94</f>
        <v>0</v>
      </c>
      <c r="M53" s="13">
        <f>'Fil de l''eau'!M94</f>
        <v>0</v>
      </c>
      <c r="N53" s="14">
        <f>'Fil de l''eau'!N94</f>
        <v>0</v>
      </c>
      <c r="O53" s="13">
        <f>'Fil de l''eau'!O94</f>
        <v>0</v>
      </c>
      <c r="P53" s="13">
        <f>'Fil de l''eau'!P94</f>
        <v>0</v>
      </c>
      <c r="Q53" s="13">
        <f>'Fil de l''eau'!Q94</f>
        <v>0</v>
      </c>
      <c r="R53" s="13">
        <f>'Fil de l''eau'!R94</f>
        <v>0</v>
      </c>
      <c r="S53" s="13">
        <f>'Fil de l''eau'!S94</f>
        <v>0</v>
      </c>
      <c r="T53" s="13">
        <f>'Fil de l''eau'!T94</f>
        <v>0</v>
      </c>
      <c r="U53" s="13">
        <f>'Fil de l''eau'!U94</f>
        <v>0</v>
      </c>
      <c r="V53" s="13">
        <f>'Fil de l''eau'!V94</f>
        <v>0</v>
      </c>
      <c r="W53" s="13">
        <f>'Fil de l''eau'!W94</f>
        <v>0</v>
      </c>
      <c r="X53" s="13">
        <f>'Fil de l''eau'!X94</f>
        <v>0</v>
      </c>
      <c r="Y53" s="13">
        <f>'Fil de l''eau'!Y94</f>
        <v>0</v>
      </c>
      <c r="Z53" s="13">
        <f>'Fil de l''eau'!Z94</f>
        <v>0</v>
      </c>
      <c r="AA53" s="13">
        <f>'Fil de l''eau'!AA94</f>
        <v>0</v>
      </c>
      <c r="AB53" s="13">
        <f>'Fil de l''eau'!AB94</f>
        <v>0</v>
      </c>
      <c r="AC53" s="13">
        <f>'Fil de l''eau'!AC94</f>
        <v>0</v>
      </c>
      <c r="AD53" s="13">
        <f>'Fil de l''eau'!AD94</f>
        <v>0</v>
      </c>
      <c r="AE53" s="13">
        <f>'Fil de l''eau'!AE94</f>
        <v>0</v>
      </c>
      <c r="AF53" s="13">
        <f>'Fil de l''eau'!AF94</f>
        <v>0</v>
      </c>
      <c r="AG53" s="13">
        <f>'Fil de l''eau'!AG94</f>
        <v>0</v>
      </c>
      <c r="AH53" s="13">
        <f>'Fil de l''eau'!AH94</f>
        <v>0</v>
      </c>
      <c r="AI53" s="13">
        <f>'Fil de l''eau'!AI94</f>
        <v>0</v>
      </c>
      <c r="AJ53" s="13">
        <f>'Fil de l''eau'!AJ94</f>
        <v>0</v>
      </c>
      <c r="AK53" s="13">
        <f>'Fil de l''eau'!AK94</f>
        <v>0</v>
      </c>
      <c r="AL53" s="13">
        <f>'Fil de l''eau'!AL94</f>
        <v>0</v>
      </c>
      <c r="AM53" s="13">
        <f>'Fil de l''eau'!AM94</f>
        <v>0</v>
      </c>
      <c r="AN53" s="13">
        <f>'Fil de l''eau'!AN94</f>
        <v>0</v>
      </c>
      <c r="AO53" s="13">
        <f>'Fil de l''eau'!AO94</f>
        <v>0</v>
      </c>
      <c r="AP53" s="13">
        <f>'Fil de l''eau'!AP94</f>
        <v>0</v>
      </c>
      <c r="AQ53" s="13">
        <f>'Fil de l''eau'!AQ94</f>
        <v>0</v>
      </c>
      <c r="AR53" s="13">
        <f>'Fil de l''eau'!AR94</f>
        <v>0</v>
      </c>
      <c r="AS53" s="13">
        <f>'Fil de l''eau'!AS94</f>
        <v>0</v>
      </c>
      <c r="AT53" s="13">
        <f>'Fil de l''eau'!AT94</f>
        <v>0</v>
      </c>
      <c r="AU53" s="13">
        <f>'Fil de l''eau'!AU94</f>
        <v>0</v>
      </c>
      <c r="AV53" s="13">
        <f>'Fil de l''eau'!AV94</f>
        <v>0</v>
      </c>
      <c r="AW53" s="13">
        <f>'Fil de l''eau'!AW94</f>
        <v>0</v>
      </c>
      <c r="AX53" s="13">
        <f>'Fil de l''eau'!AX94</f>
        <v>0</v>
      </c>
      <c r="AY53" s="13">
        <f>'Fil de l''eau'!AY94</f>
        <v>0</v>
      </c>
      <c r="AZ53" s="13">
        <f>'Fil de l''eau'!AZ94</f>
        <v>0</v>
      </c>
      <c r="BA53" s="11">
        <f>'Fil de l''eau'!BB94</f>
        <v>0</v>
      </c>
      <c r="BB53" s="15">
        <f>'Fil de l''eau'!BC94</f>
        <v>0</v>
      </c>
      <c r="BC53" s="16">
        <f>'Fil de l''eau'!BD94</f>
        <v>0</v>
      </c>
    </row>
    <row r="54" spans="1:55" outlineLevel="1" x14ac:dyDescent="0.25">
      <c r="A54" s="17">
        <f>'Fil de l''eau'!A95</f>
        <v>0</v>
      </c>
      <c r="B54" s="18">
        <f>'Fil de l''eau'!B95</f>
        <v>0</v>
      </c>
      <c r="C54" s="18">
        <f>'Fil de l''eau'!C95</f>
        <v>0</v>
      </c>
      <c r="D54" s="19">
        <f>'Fil de l''eau'!D95</f>
        <v>0</v>
      </c>
      <c r="E54" s="19">
        <f>'Fil de l''eau'!E95</f>
        <v>0</v>
      </c>
      <c r="F54" s="20">
        <f>'Fil de l''eau'!F95</f>
        <v>0</v>
      </c>
      <c r="G54" s="20">
        <f>'Fil de l''eau'!G95</f>
        <v>0</v>
      </c>
      <c r="H54" s="20">
        <f>'Fil de l''eau'!H95</f>
        <v>0</v>
      </c>
      <c r="I54" s="21">
        <f>'Fil de l''eau'!I95</f>
        <v>0</v>
      </c>
      <c r="J54" s="20">
        <f>'Fil de l''eau'!J95</f>
        <v>0</v>
      </c>
      <c r="K54" s="20">
        <f>'Fil de l''eau'!K95</f>
        <v>0</v>
      </c>
      <c r="L54" s="21">
        <f>'Fil de l''eau'!L95</f>
        <v>0</v>
      </c>
      <c r="M54" s="20">
        <f>'Fil de l''eau'!M95</f>
        <v>0</v>
      </c>
      <c r="N54" s="21">
        <f>'Fil de l''eau'!N95</f>
        <v>0</v>
      </c>
      <c r="O54" s="20">
        <f>'Fil de l''eau'!O95</f>
        <v>0</v>
      </c>
      <c r="P54" s="20">
        <f>'Fil de l''eau'!P95</f>
        <v>0</v>
      </c>
      <c r="Q54" s="20">
        <f>'Fil de l''eau'!Q95</f>
        <v>0</v>
      </c>
      <c r="R54" s="20">
        <f>'Fil de l''eau'!R95</f>
        <v>0</v>
      </c>
      <c r="S54" s="20">
        <f>'Fil de l''eau'!S95</f>
        <v>0</v>
      </c>
      <c r="T54" s="20">
        <f>'Fil de l''eau'!T95</f>
        <v>0</v>
      </c>
      <c r="U54" s="20">
        <f>'Fil de l''eau'!U95</f>
        <v>0</v>
      </c>
      <c r="V54" s="20">
        <f>'Fil de l''eau'!V95</f>
        <v>0</v>
      </c>
      <c r="W54" s="20">
        <f>'Fil de l''eau'!W95</f>
        <v>0</v>
      </c>
      <c r="X54" s="20">
        <f>'Fil de l''eau'!X95</f>
        <v>0</v>
      </c>
      <c r="Y54" s="20">
        <f>'Fil de l''eau'!Y95</f>
        <v>0</v>
      </c>
      <c r="Z54" s="20">
        <f>'Fil de l''eau'!Z95</f>
        <v>0</v>
      </c>
      <c r="AA54" s="20">
        <f>'Fil de l''eau'!AA95</f>
        <v>0</v>
      </c>
      <c r="AB54" s="20">
        <f>'Fil de l''eau'!AB95</f>
        <v>0</v>
      </c>
      <c r="AC54" s="20">
        <f>'Fil de l''eau'!AC95</f>
        <v>0</v>
      </c>
      <c r="AD54" s="20">
        <f>'Fil de l''eau'!AD95</f>
        <v>0</v>
      </c>
      <c r="AE54" s="20">
        <f>'Fil de l''eau'!AE95</f>
        <v>0</v>
      </c>
      <c r="AF54" s="20">
        <f>'Fil de l''eau'!AF95</f>
        <v>0</v>
      </c>
      <c r="AG54" s="20">
        <f>'Fil de l''eau'!AG95</f>
        <v>0</v>
      </c>
      <c r="AH54" s="20">
        <f>'Fil de l''eau'!AH95</f>
        <v>0</v>
      </c>
      <c r="AI54" s="20">
        <f>'Fil de l''eau'!AI95</f>
        <v>0</v>
      </c>
      <c r="AJ54" s="20">
        <f>'Fil de l''eau'!AJ95</f>
        <v>0</v>
      </c>
      <c r="AK54" s="20">
        <f>'Fil de l''eau'!AK95</f>
        <v>0</v>
      </c>
      <c r="AL54" s="20">
        <f>'Fil de l''eau'!AL95</f>
        <v>0</v>
      </c>
      <c r="AM54" s="20">
        <f>'Fil de l''eau'!AM95</f>
        <v>0</v>
      </c>
      <c r="AN54" s="20">
        <f>'Fil de l''eau'!AN95</f>
        <v>0</v>
      </c>
      <c r="AO54" s="20">
        <f>'Fil de l''eau'!AO95</f>
        <v>0</v>
      </c>
      <c r="AP54" s="20">
        <f>'Fil de l''eau'!AP95</f>
        <v>0</v>
      </c>
      <c r="AQ54" s="20">
        <f>'Fil de l''eau'!AQ95</f>
        <v>0</v>
      </c>
      <c r="AR54" s="20">
        <f>'Fil de l''eau'!AR95</f>
        <v>0</v>
      </c>
      <c r="AS54" s="20">
        <f>'Fil de l''eau'!AS95</f>
        <v>0</v>
      </c>
      <c r="AT54" s="20">
        <f>'Fil de l''eau'!AT95</f>
        <v>0</v>
      </c>
      <c r="AU54" s="20">
        <f>'Fil de l''eau'!AU95</f>
        <v>0</v>
      </c>
      <c r="AV54" s="20">
        <f>'Fil de l''eau'!AV95</f>
        <v>0</v>
      </c>
      <c r="AW54" s="20">
        <f>'Fil de l''eau'!AW95</f>
        <v>0</v>
      </c>
      <c r="AX54" s="20">
        <f>'Fil de l''eau'!AX95</f>
        <v>0</v>
      </c>
      <c r="AY54" s="20">
        <f>'Fil de l''eau'!AY95</f>
        <v>0</v>
      </c>
      <c r="AZ54" s="20">
        <f>'Fil de l''eau'!AZ95</f>
        <v>0</v>
      </c>
      <c r="BA54" s="18">
        <f>'Fil de l''eau'!BB95</f>
        <v>0</v>
      </c>
      <c r="BB54" s="22">
        <f>'Fil de l''eau'!BC95</f>
        <v>0</v>
      </c>
      <c r="BC54" s="23">
        <f>'Fil de l''eau'!BD95</f>
        <v>0</v>
      </c>
    </row>
    <row r="55" spans="1:55" outlineLevel="1" x14ac:dyDescent="0.25">
      <c r="A55" s="10">
        <f>'Fil de l''eau'!A96</f>
        <v>0</v>
      </c>
      <c r="B55" s="11">
        <f>'Fil de l''eau'!B96</f>
        <v>0</v>
      </c>
      <c r="C55" s="11">
        <f>'Fil de l''eau'!C96</f>
        <v>0</v>
      </c>
      <c r="D55" s="12">
        <f>'Fil de l''eau'!D96</f>
        <v>0</v>
      </c>
      <c r="E55" s="12">
        <f>'Fil de l''eau'!E96</f>
        <v>0</v>
      </c>
      <c r="F55" s="13">
        <f>'Fil de l''eau'!F96</f>
        <v>0</v>
      </c>
      <c r="G55" s="13">
        <f>'Fil de l''eau'!G96</f>
        <v>0</v>
      </c>
      <c r="H55" s="13">
        <f>'Fil de l''eau'!H96</f>
        <v>0</v>
      </c>
      <c r="I55" s="14">
        <f>'Fil de l''eau'!I96</f>
        <v>0</v>
      </c>
      <c r="J55" s="13">
        <f>'Fil de l''eau'!J96</f>
        <v>0</v>
      </c>
      <c r="K55" s="13">
        <f>'Fil de l''eau'!K96</f>
        <v>0</v>
      </c>
      <c r="L55" s="14">
        <f>'Fil de l''eau'!L96</f>
        <v>0</v>
      </c>
      <c r="M55" s="13">
        <f>'Fil de l''eau'!M96</f>
        <v>0</v>
      </c>
      <c r="N55" s="14">
        <f>'Fil de l''eau'!N96</f>
        <v>0</v>
      </c>
      <c r="O55" s="13">
        <f>'Fil de l''eau'!O96</f>
        <v>0</v>
      </c>
      <c r="P55" s="13">
        <f>'Fil de l''eau'!P96</f>
        <v>0</v>
      </c>
      <c r="Q55" s="13">
        <f>'Fil de l''eau'!Q96</f>
        <v>0</v>
      </c>
      <c r="R55" s="13">
        <f>'Fil de l''eau'!R96</f>
        <v>0</v>
      </c>
      <c r="S55" s="13">
        <f>'Fil de l''eau'!S96</f>
        <v>0</v>
      </c>
      <c r="T55" s="13">
        <f>'Fil de l''eau'!T96</f>
        <v>0</v>
      </c>
      <c r="U55" s="13">
        <f>'Fil de l''eau'!U96</f>
        <v>0</v>
      </c>
      <c r="V55" s="13">
        <f>'Fil de l''eau'!V96</f>
        <v>0</v>
      </c>
      <c r="W55" s="13">
        <f>'Fil de l''eau'!W96</f>
        <v>0</v>
      </c>
      <c r="X55" s="13">
        <f>'Fil de l''eau'!X96</f>
        <v>0</v>
      </c>
      <c r="Y55" s="13">
        <f>'Fil de l''eau'!Y96</f>
        <v>0</v>
      </c>
      <c r="Z55" s="13">
        <f>'Fil de l''eau'!Z96</f>
        <v>0</v>
      </c>
      <c r="AA55" s="13">
        <f>'Fil de l''eau'!AA96</f>
        <v>0</v>
      </c>
      <c r="AB55" s="13">
        <f>'Fil de l''eau'!AB96</f>
        <v>0</v>
      </c>
      <c r="AC55" s="13">
        <f>'Fil de l''eau'!AC96</f>
        <v>0</v>
      </c>
      <c r="AD55" s="13">
        <f>'Fil de l''eau'!AD96</f>
        <v>0</v>
      </c>
      <c r="AE55" s="13">
        <f>'Fil de l''eau'!AE96</f>
        <v>0</v>
      </c>
      <c r="AF55" s="13">
        <f>'Fil de l''eau'!AF96</f>
        <v>0</v>
      </c>
      <c r="AG55" s="13">
        <f>'Fil de l''eau'!AG96</f>
        <v>0</v>
      </c>
      <c r="AH55" s="13">
        <f>'Fil de l''eau'!AH96</f>
        <v>0</v>
      </c>
      <c r="AI55" s="13">
        <f>'Fil de l''eau'!AI96</f>
        <v>0</v>
      </c>
      <c r="AJ55" s="13">
        <f>'Fil de l''eau'!AJ96</f>
        <v>0</v>
      </c>
      <c r="AK55" s="13">
        <f>'Fil de l''eau'!AK96</f>
        <v>0</v>
      </c>
      <c r="AL55" s="13">
        <f>'Fil de l''eau'!AL96</f>
        <v>0</v>
      </c>
      <c r="AM55" s="13">
        <f>'Fil de l''eau'!AM96</f>
        <v>0</v>
      </c>
      <c r="AN55" s="13">
        <f>'Fil de l''eau'!AN96</f>
        <v>0</v>
      </c>
      <c r="AO55" s="13">
        <f>'Fil de l''eau'!AO96</f>
        <v>0</v>
      </c>
      <c r="AP55" s="13">
        <f>'Fil de l''eau'!AP96</f>
        <v>0</v>
      </c>
      <c r="AQ55" s="13">
        <f>'Fil de l''eau'!AQ96</f>
        <v>0</v>
      </c>
      <c r="AR55" s="13">
        <f>'Fil de l''eau'!AR96</f>
        <v>0</v>
      </c>
      <c r="AS55" s="13">
        <f>'Fil de l''eau'!AS96</f>
        <v>0</v>
      </c>
      <c r="AT55" s="13">
        <f>'Fil de l''eau'!AT96</f>
        <v>0</v>
      </c>
      <c r="AU55" s="13">
        <f>'Fil de l''eau'!AU96</f>
        <v>0</v>
      </c>
      <c r="AV55" s="13">
        <f>'Fil de l''eau'!AV96</f>
        <v>0</v>
      </c>
      <c r="AW55" s="13">
        <f>'Fil de l''eau'!AW96</f>
        <v>0</v>
      </c>
      <c r="AX55" s="13">
        <f>'Fil de l''eau'!AX96</f>
        <v>0</v>
      </c>
      <c r="AY55" s="13">
        <f>'Fil de l''eau'!AY96</f>
        <v>0</v>
      </c>
      <c r="AZ55" s="13">
        <f>'Fil de l''eau'!AZ96</f>
        <v>0</v>
      </c>
      <c r="BA55" s="11">
        <f>'Fil de l''eau'!BB96</f>
        <v>0</v>
      </c>
      <c r="BB55" s="15">
        <f>'Fil de l''eau'!BC96</f>
        <v>0</v>
      </c>
      <c r="BC55" s="16">
        <f>'Fil de l''eau'!BD96</f>
        <v>0</v>
      </c>
    </row>
    <row r="56" spans="1:55" outlineLevel="1" x14ac:dyDescent="0.25">
      <c r="A56" s="17">
        <f>'Fil de l''eau'!A97</f>
        <v>0</v>
      </c>
      <c r="B56" s="18">
        <f>'Fil de l''eau'!B97</f>
        <v>0</v>
      </c>
      <c r="C56" s="18">
        <f>'Fil de l''eau'!C97</f>
        <v>0</v>
      </c>
      <c r="D56" s="19">
        <f>'Fil de l''eau'!D97</f>
        <v>0</v>
      </c>
      <c r="E56" s="19">
        <f>'Fil de l''eau'!E97</f>
        <v>0</v>
      </c>
      <c r="F56" s="20">
        <f>'Fil de l''eau'!F97</f>
        <v>0</v>
      </c>
      <c r="G56" s="20">
        <f>'Fil de l''eau'!G97</f>
        <v>0</v>
      </c>
      <c r="H56" s="20">
        <f>'Fil de l''eau'!H97</f>
        <v>0</v>
      </c>
      <c r="I56" s="21">
        <f>'Fil de l''eau'!I97</f>
        <v>0</v>
      </c>
      <c r="J56" s="20">
        <f>'Fil de l''eau'!J97</f>
        <v>0</v>
      </c>
      <c r="K56" s="20">
        <f>'Fil de l''eau'!K97</f>
        <v>0</v>
      </c>
      <c r="L56" s="21">
        <f>'Fil de l''eau'!L97</f>
        <v>0</v>
      </c>
      <c r="M56" s="20">
        <f>'Fil de l''eau'!M97</f>
        <v>0</v>
      </c>
      <c r="N56" s="21">
        <f>'Fil de l''eau'!N97</f>
        <v>0</v>
      </c>
      <c r="O56" s="20">
        <f>'Fil de l''eau'!O97</f>
        <v>0</v>
      </c>
      <c r="P56" s="20">
        <f>'Fil de l''eau'!P97</f>
        <v>0</v>
      </c>
      <c r="Q56" s="20">
        <f>'Fil de l''eau'!Q97</f>
        <v>0</v>
      </c>
      <c r="R56" s="20">
        <f>'Fil de l''eau'!R97</f>
        <v>0</v>
      </c>
      <c r="S56" s="20">
        <f>'Fil de l''eau'!S97</f>
        <v>0</v>
      </c>
      <c r="T56" s="20">
        <f>'Fil de l''eau'!T97</f>
        <v>0</v>
      </c>
      <c r="U56" s="20">
        <f>'Fil de l''eau'!U97</f>
        <v>0</v>
      </c>
      <c r="V56" s="20">
        <f>'Fil de l''eau'!V97</f>
        <v>0</v>
      </c>
      <c r="W56" s="20">
        <f>'Fil de l''eau'!W97</f>
        <v>0</v>
      </c>
      <c r="X56" s="20">
        <f>'Fil de l''eau'!X97</f>
        <v>0</v>
      </c>
      <c r="Y56" s="20">
        <f>'Fil de l''eau'!Y97</f>
        <v>0</v>
      </c>
      <c r="Z56" s="20">
        <f>'Fil de l''eau'!Z97</f>
        <v>0</v>
      </c>
      <c r="AA56" s="20">
        <f>'Fil de l''eau'!AA97</f>
        <v>0</v>
      </c>
      <c r="AB56" s="20">
        <f>'Fil de l''eau'!AB97</f>
        <v>0</v>
      </c>
      <c r="AC56" s="20">
        <f>'Fil de l''eau'!AC97</f>
        <v>0</v>
      </c>
      <c r="AD56" s="20">
        <f>'Fil de l''eau'!AD97</f>
        <v>0</v>
      </c>
      <c r="AE56" s="20">
        <f>'Fil de l''eau'!AE97</f>
        <v>0</v>
      </c>
      <c r="AF56" s="20">
        <f>'Fil de l''eau'!AF97</f>
        <v>0</v>
      </c>
      <c r="AG56" s="20">
        <f>'Fil de l''eau'!AG97</f>
        <v>0</v>
      </c>
      <c r="AH56" s="20">
        <f>'Fil de l''eau'!AH97</f>
        <v>0</v>
      </c>
      <c r="AI56" s="20">
        <f>'Fil de l''eau'!AI97</f>
        <v>0</v>
      </c>
      <c r="AJ56" s="20">
        <f>'Fil de l''eau'!AJ97</f>
        <v>0</v>
      </c>
      <c r="AK56" s="20">
        <f>'Fil de l''eau'!AK97</f>
        <v>0</v>
      </c>
      <c r="AL56" s="20">
        <f>'Fil de l''eau'!AL97</f>
        <v>0</v>
      </c>
      <c r="AM56" s="20">
        <f>'Fil de l''eau'!AM97</f>
        <v>0</v>
      </c>
      <c r="AN56" s="20">
        <f>'Fil de l''eau'!AN97</f>
        <v>0</v>
      </c>
      <c r="AO56" s="20">
        <f>'Fil de l''eau'!AO97</f>
        <v>0</v>
      </c>
      <c r="AP56" s="20">
        <f>'Fil de l''eau'!AP97</f>
        <v>0</v>
      </c>
      <c r="AQ56" s="20">
        <f>'Fil de l''eau'!AQ97</f>
        <v>0</v>
      </c>
      <c r="AR56" s="20">
        <f>'Fil de l''eau'!AR97</f>
        <v>0</v>
      </c>
      <c r="AS56" s="20">
        <f>'Fil de l''eau'!AS97</f>
        <v>0</v>
      </c>
      <c r="AT56" s="20">
        <f>'Fil de l''eau'!AT97</f>
        <v>0</v>
      </c>
      <c r="AU56" s="20">
        <f>'Fil de l''eau'!AU97</f>
        <v>0</v>
      </c>
      <c r="AV56" s="20">
        <f>'Fil de l''eau'!AV97</f>
        <v>0</v>
      </c>
      <c r="AW56" s="20">
        <f>'Fil de l''eau'!AW97</f>
        <v>0</v>
      </c>
      <c r="AX56" s="20">
        <f>'Fil de l''eau'!AX97</f>
        <v>0</v>
      </c>
      <c r="AY56" s="20">
        <f>'Fil de l''eau'!AY97</f>
        <v>0</v>
      </c>
      <c r="AZ56" s="20">
        <f>'Fil de l''eau'!AZ97</f>
        <v>0</v>
      </c>
      <c r="BA56" s="18">
        <f>'Fil de l''eau'!BB97</f>
        <v>0</v>
      </c>
      <c r="BB56" s="22">
        <f>'Fil de l''eau'!BC97</f>
        <v>0</v>
      </c>
      <c r="BC56" s="23">
        <f>'Fil de l''eau'!BD97</f>
        <v>0</v>
      </c>
    </row>
    <row r="57" spans="1:55" outlineLevel="1" x14ac:dyDescent="0.25">
      <c r="A57" s="10">
        <f>'Fil de l''eau'!A98</f>
        <v>0</v>
      </c>
      <c r="B57" s="11">
        <f>'Fil de l''eau'!B98</f>
        <v>0</v>
      </c>
      <c r="C57" s="11">
        <f>'Fil de l''eau'!C98</f>
        <v>0</v>
      </c>
      <c r="D57" s="12">
        <f>'Fil de l''eau'!D98</f>
        <v>0</v>
      </c>
      <c r="E57" s="12">
        <f>'Fil de l''eau'!E98</f>
        <v>0</v>
      </c>
      <c r="F57" s="13">
        <f>'Fil de l''eau'!F98</f>
        <v>0</v>
      </c>
      <c r="G57" s="13">
        <f>'Fil de l''eau'!G98</f>
        <v>0</v>
      </c>
      <c r="H57" s="13">
        <f>'Fil de l''eau'!H98</f>
        <v>0</v>
      </c>
      <c r="I57" s="14">
        <f>'Fil de l''eau'!I98</f>
        <v>0</v>
      </c>
      <c r="J57" s="13">
        <f>'Fil de l''eau'!J98</f>
        <v>0</v>
      </c>
      <c r="K57" s="13">
        <f>'Fil de l''eau'!K98</f>
        <v>0</v>
      </c>
      <c r="L57" s="14">
        <f>'Fil de l''eau'!L98</f>
        <v>0</v>
      </c>
      <c r="M57" s="13">
        <f>'Fil de l''eau'!M98</f>
        <v>0</v>
      </c>
      <c r="N57" s="14">
        <f>'Fil de l''eau'!N98</f>
        <v>0</v>
      </c>
      <c r="O57" s="13">
        <f>'Fil de l''eau'!O98</f>
        <v>0</v>
      </c>
      <c r="P57" s="13">
        <f>'Fil de l''eau'!P98</f>
        <v>0</v>
      </c>
      <c r="Q57" s="13">
        <f>'Fil de l''eau'!Q98</f>
        <v>0</v>
      </c>
      <c r="R57" s="13">
        <f>'Fil de l''eau'!R98</f>
        <v>0</v>
      </c>
      <c r="S57" s="13">
        <f>'Fil de l''eau'!S98</f>
        <v>0</v>
      </c>
      <c r="T57" s="13">
        <f>'Fil de l''eau'!T98</f>
        <v>0</v>
      </c>
      <c r="U57" s="13">
        <f>'Fil de l''eau'!U98</f>
        <v>0</v>
      </c>
      <c r="V57" s="13">
        <f>'Fil de l''eau'!V98</f>
        <v>0</v>
      </c>
      <c r="W57" s="13">
        <f>'Fil de l''eau'!W98</f>
        <v>0</v>
      </c>
      <c r="X57" s="13">
        <f>'Fil de l''eau'!X98</f>
        <v>0</v>
      </c>
      <c r="Y57" s="13">
        <f>'Fil de l''eau'!Y98</f>
        <v>0</v>
      </c>
      <c r="Z57" s="13">
        <f>'Fil de l''eau'!Z98</f>
        <v>0</v>
      </c>
      <c r="AA57" s="13">
        <f>'Fil de l''eau'!AA98</f>
        <v>0</v>
      </c>
      <c r="AB57" s="13">
        <f>'Fil de l''eau'!AB98</f>
        <v>0</v>
      </c>
      <c r="AC57" s="13">
        <f>'Fil de l''eau'!AC98</f>
        <v>0</v>
      </c>
      <c r="AD57" s="13">
        <f>'Fil de l''eau'!AD98</f>
        <v>0</v>
      </c>
      <c r="AE57" s="13">
        <f>'Fil de l''eau'!AE98</f>
        <v>0</v>
      </c>
      <c r="AF57" s="13">
        <f>'Fil de l''eau'!AF98</f>
        <v>0</v>
      </c>
      <c r="AG57" s="13">
        <f>'Fil de l''eau'!AG98</f>
        <v>0</v>
      </c>
      <c r="AH57" s="13">
        <f>'Fil de l''eau'!AH98</f>
        <v>0</v>
      </c>
      <c r="AI57" s="13">
        <f>'Fil de l''eau'!AI98</f>
        <v>0</v>
      </c>
      <c r="AJ57" s="13">
        <f>'Fil de l''eau'!AJ98</f>
        <v>0</v>
      </c>
      <c r="AK57" s="13">
        <f>'Fil de l''eau'!AK98</f>
        <v>0</v>
      </c>
      <c r="AL57" s="13">
        <f>'Fil de l''eau'!AL98</f>
        <v>0</v>
      </c>
      <c r="AM57" s="13">
        <f>'Fil de l''eau'!AM98</f>
        <v>0</v>
      </c>
      <c r="AN57" s="13">
        <f>'Fil de l''eau'!AN98</f>
        <v>0</v>
      </c>
      <c r="AO57" s="13">
        <f>'Fil de l''eau'!AO98</f>
        <v>0</v>
      </c>
      <c r="AP57" s="13">
        <f>'Fil de l''eau'!AP98</f>
        <v>0</v>
      </c>
      <c r="AQ57" s="13">
        <f>'Fil de l''eau'!AQ98</f>
        <v>0</v>
      </c>
      <c r="AR57" s="13">
        <f>'Fil de l''eau'!AR98</f>
        <v>0</v>
      </c>
      <c r="AS57" s="13">
        <f>'Fil de l''eau'!AS98</f>
        <v>0</v>
      </c>
      <c r="AT57" s="13">
        <f>'Fil de l''eau'!AT98</f>
        <v>0</v>
      </c>
      <c r="AU57" s="13">
        <f>'Fil de l''eau'!AU98</f>
        <v>0</v>
      </c>
      <c r="AV57" s="13">
        <f>'Fil de l''eau'!AV98</f>
        <v>0</v>
      </c>
      <c r="AW57" s="13">
        <f>'Fil de l''eau'!AW98</f>
        <v>0</v>
      </c>
      <c r="AX57" s="13">
        <f>'Fil de l''eau'!AX98</f>
        <v>0</v>
      </c>
      <c r="AY57" s="13">
        <f>'Fil de l''eau'!AY98</f>
        <v>0</v>
      </c>
      <c r="AZ57" s="13">
        <f>'Fil de l''eau'!AZ98</f>
        <v>0</v>
      </c>
      <c r="BA57" s="11">
        <f>'Fil de l''eau'!BB98</f>
        <v>0</v>
      </c>
      <c r="BB57" s="15">
        <f>'Fil de l''eau'!BC98</f>
        <v>0</v>
      </c>
      <c r="BC57" s="16">
        <f>'Fil de l''eau'!BD98</f>
        <v>0</v>
      </c>
    </row>
    <row r="58" spans="1:55" outlineLevel="1" x14ac:dyDescent="0.25">
      <c r="A58" s="17">
        <f>'Fil de l''eau'!A99</f>
        <v>0</v>
      </c>
      <c r="B58" s="18">
        <f>'Fil de l''eau'!B99</f>
        <v>0</v>
      </c>
      <c r="C58" s="18">
        <f>'Fil de l''eau'!C99</f>
        <v>0</v>
      </c>
      <c r="D58" s="19">
        <f>'Fil de l''eau'!D99</f>
        <v>0</v>
      </c>
      <c r="E58" s="19">
        <f>'Fil de l''eau'!E99</f>
        <v>0</v>
      </c>
      <c r="F58" s="20">
        <f>'Fil de l''eau'!F99</f>
        <v>0</v>
      </c>
      <c r="G58" s="20">
        <f>'Fil de l''eau'!G99</f>
        <v>0</v>
      </c>
      <c r="H58" s="20">
        <f>'Fil de l''eau'!H99</f>
        <v>0</v>
      </c>
      <c r="I58" s="21">
        <f>'Fil de l''eau'!I99</f>
        <v>0</v>
      </c>
      <c r="J58" s="20">
        <f>'Fil de l''eau'!J99</f>
        <v>0</v>
      </c>
      <c r="K58" s="20">
        <f>'Fil de l''eau'!K99</f>
        <v>0</v>
      </c>
      <c r="L58" s="21">
        <f>'Fil de l''eau'!L99</f>
        <v>0</v>
      </c>
      <c r="M58" s="20">
        <f>'Fil de l''eau'!M99</f>
        <v>0</v>
      </c>
      <c r="N58" s="21">
        <f>'Fil de l''eau'!N99</f>
        <v>0</v>
      </c>
      <c r="O58" s="20">
        <f>'Fil de l''eau'!O99</f>
        <v>0</v>
      </c>
      <c r="P58" s="20">
        <f>'Fil de l''eau'!P99</f>
        <v>0</v>
      </c>
      <c r="Q58" s="20">
        <f>'Fil de l''eau'!Q99</f>
        <v>0</v>
      </c>
      <c r="R58" s="20">
        <f>'Fil de l''eau'!R99</f>
        <v>0</v>
      </c>
      <c r="S58" s="20">
        <f>'Fil de l''eau'!S99</f>
        <v>0</v>
      </c>
      <c r="T58" s="20">
        <f>'Fil de l''eau'!T99</f>
        <v>0</v>
      </c>
      <c r="U58" s="20">
        <f>'Fil de l''eau'!U99</f>
        <v>0</v>
      </c>
      <c r="V58" s="20">
        <f>'Fil de l''eau'!V99</f>
        <v>0</v>
      </c>
      <c r="W58" s="20">
        <f>'Fil de l''eau'!W99</f>
        <v>0</v>
      </c>
      <c r="X58" s="20">
        <f>'Fil de l''eau'!X99</f>
        <v>0</v>
      </c>
      <c r="Y58" s="20">
        <f>'Fil de l''eau'!Y99</f>
        <v>0</v>
      </c>
      <c r="Z58" s="20">
        <f>'Fil de l''eau'!Z99</f>
        <v>0</v>
      </c>
      <c r="AA58" s="20">
        <f>'Fil de l''eau'!AA99</f>
        <v>0</v>
      </c>
      <c r="AB58" s="20">
        <f>'Fil de l''eau'!AB99</f>
        <v>0</v>
      </c>
      <c r="AC58" s="20">
        <f>'Fil de l''eau'!AC99</f>
        <v>0</v>
      </c>
      <c r="AD58" s="20">
        <f>'Fil de l''eau'!AD99</f>
        <v>0</v>
      </c>
      <c r="AE58" s="20">
        <f>'Fil de l''eau'!AE99</f>
        <v>0</v>
      </c>
      <c r="AF58" s="20">
        <f>'Fil de l''eau'!AF99</f>
        <v>0</v>
      </c>
      <c r="AG58" s="20">
        <f>'Fil de l''eau'!AG99</f>
        <v>0</v>
      </c>
      <c r="AH58" s="20">
        <f>'Fil de l''eau'!AH99</f>
        <v>0</v>
      </c>
      <c r="AI58" s="20">
        <f>'Fil de l''eau'!AI99</f>
        <v>0</v>
      </c>
      <c r="AJ58" s="20">
        <f>'Fil de l''eau'!AJ99</f>
        <v>0</v>
      </c>
      <c r="AK58" s="20">
        <f>'Fil de l''eau'!AK99</f>
        <v>0</v>
      </c>
      <c r="AL58" s="20">
        <f>'Fil de l''eau'!AL99</f>
        <v>0</v>
      </c>
      <c r="AM58" s="20">
        <f>'Fil de l''eau'!AM99</f>
        <v>0</v>
      </c>
      <c r="AN58" s="20">
        <f>'Fil de l''eau'!AN99</f>
        <v>0</v>
      </c>
      <c r="AO58" s="20">
        <f>'Fil de l''eau'!AO99</f>
        <v>0</v>
      </c>
      <c r="AP58" s="20">
        <f>'Fil de l''eau'!AP99</f>
        <v>0</v>
      </c>
      <c r="AQ58" s="20">
        <f>'Fil de l''eau'!AQ99</f>
        <v>0</v>
      </c>
      <c r="AR58" s="20">
        <f>'Fil de l''eau'!AR99</f>
        <v>0</v>
      </c>
      <c r="AS58" s="20">
        <f>'Fil de l''eau'!AS99</f>
        <v>0</v>
      </c>
      <c r="AT58" s="20">
        <f>'Fil de l''eau'!AT99</f>
        <v>0</v>
      </c>
      <c r="AU58" s="20">
        <f>'Fil de l''eau'!AU99</f>
        <v>0</v>
      </c>
      <c r="AV58" s="20">
        <f>'Fil de l''eau'!AV99</f>
        <v>0</v>
      </c>
      <c r="AW58" s="20">
        <f>'Fil de l''eau'!AW99</f>
        <v>0</v>
      </c>
      <c r="AX58" s="20">
        <f>'Fil de l''eau'!AX99</f>
        <v>0</v>
      </c>
      <c r="AY58" s="20">
        <f>'Fil de l''eau'!AY99</f>
        <v>0</v>
      </c>
      <c r="AZ58" s="20">
        <f>'Fil de l''eau'!AZ99</f>
        <v>0</v>
      </c>
      <c r="BA58" s="18">
        <f>'Fil de l''eau'!BB99</f>
        <v>0</v>
      </c>
      <c r="BB58" s="22">
        <f>'Fil de l''eau'!BC99</f>
        <v>0</v>
      </c>
      <c r="BC58" s="23">
        <f>'Fil de l''eau'!BD99</f>
        <v>0</v>
      </c>
    </row>
    <row r="59" spans="1:55" ht="30" x14ac:dyDescent="0.25">
      <c r="A59" s="10" t="s">
        <v>190</v>
      </c>
      <c r="B59" s="11" t="s">
        <v>191</v>
      </c>
      <c r="C59" s="11" t="s">
        <v>285</v>
      </c>
      <c r="D59" s="12" t="s">
        <v>286</v>
      </c>
      <c r="E59" s="12" t="s">
        <v>200</v>
      </c>
      <c r="F59" s="13">
        <f>SUM(F60:F79)</f>
        <v>0</v>
      </c>
      <c r="G59" s="13">
        <f t="shared" ref="G59:M59" si="202">SUM(G60:G79)</f>
        <v>0</v>
      </c>
      <c r="H59" s="13">
        <f t="shared" si="202"/>
        <v>0</v>
      </c>
      <c r="I59" s="14" t="e">
        <f>H59/F59</f>
        <v>#DIV/0!</v>
      </c>
      <c r="J59" s="13">
        <f t="shared" si="202"/>
        <v>0</v>
      </c>
      <c r="K59" s="13">
        <f t="shared" si="202"/>
        <v>0</v>
      </c>
      <c r="L59" s="14" t="e">
        <f>K59/F59</f>
        <v>#DIV/0!</v>
      </c>
      <c r="M59" s="13">
        <f t="shared" si="202"/>
        <v>0</v>
      </c>
      <c r="N59" s="14" t="e">
        <f>M59/F59</f>
        <v>#DIV/0!</v>
      </c>
      <c r="O59" s="13">
        <f t="shared" ref="O59" si="203">SUM(O60:O79)</f>
        <v>0</v>
      </c>
      <c r="P59" s="13">
        <f t="shared" ref="P59" si="204">SUM(P60:P79)</f>
        <v>0</v>
      </c>
      <c r="Q59" s="13">
        <f t="shared" ref="Q59" si="205">SUM(Q60:Q79)</f>
        <v>0</v>
      </c>
      <c r="R59" s="13">
        <f t="shared" ref="R59" si="206">SUM(R60:R79)</f>
        <v>0</v>
      </c>
      <c r="S59" s="13">
        <f t="shared" ref="S59" si="207">SUM(S60:S79)</f>
        <v>0</v>
      </c>
      <c r="T59" s="13">
        <f t="shared" ref="T59" si="208">SUM(T60:T79)</f>
        <v>0</v>
      </c>
      <c r="U59" s="13">
        <f t="shared" ref="U59" si="209">SUM(U60:U79)</f>
        <v>0</v>
      </c>
      <c r="V59" s="13">
        <f t="shared" ref="V59" si="210">SUM(V60:V79)</f>
        <v>0</v>
      </c>
      <c r="W59" s="13">
        <f t="shared" ref="W59" si="211">SUM(W60:W79)</f>
        <v>0</v>
      </c>
      <c r="X59" s="13">
        <f t="shared" ref="X59" si="212">SUM(X60:X79)</f>
        <v>0</v>
      </c>
      <c r="Y59" s="13">
        <f t="shared" ref="Y59" si="213">SUM(Y60:Y79)</f>
        <v>0</v>
      </c>
      <c r="Z59" s="13">
        <f t="shared" ref="Z59" si="214">SUM(Z60:Z79)</f>
        <v>0</v>
      </c>
      <c r="AA59" s="13">
        <f t="shared" ref="AA59" si="215">SUM(AA60:AA79)</f>
        <v>0</v>
      </c>
      <c r="AB59" s="13">
        <f t="shared" ref="AB59" si="216">SUM(AB60:AB79)</f>
        <v>0</v>
      </c>
      <c r="AC59" s="13">
        <f t="shared" ref="AC59" si="217">SUM(AC60:AC79)</f>
        <v>0</v>
      </c>
      <c r="AD59" s="13">
        <f t="shared" ref="AD59" si="218">SUM(AD60:AD79)</f>
        <v>0</v>
      </c>
      <c r="AE59" s="13">
        <f t="shared" ref="AE59" si="219">SUM(AE60:AE79)</f>
        <v>0</v>
      </c>
      <c r="AF59" s="13">
        <f t="shared" ref="AF59" si="220">SUM(AF60:AF79)</f>
        <v>0</v>
      </c>
      <c r="AG59" s="13">
        <f t="shared" ref="AG59" si="221">SUM(AG60:AG79)</f>
        <v>0</v>
      </c>
      <c r="AH59" s="13">
        <f t="shared" ref="AH59" si="222">SUM(AH60:AH79)</f>
        <v>0</v>
      </c>
      <c r="AI59" s="13">
        <f t="shared" ref="AI59" si="223">SUM(AI60:AI79)</f>
        <v>0</v>
      </c>
      <c r="AJ59" s="13">
        <f t="shared" ref="AJ59" si="224">SUM(AJ60:AJ79)</f>
        <v>0</v>
      </c>
      <c r="AK59" s="13">
        <f t="shared" ref="AK59" si="225">SUM(AK60:AK79)</f>
        <v>0</v>
      </c>
      <c r="AL59" s="13">
        <f t="shared" ref="AL59" si="226">SUM(AL60:AL79)</f>
        <v>0</v>
      </c>
      <c r="AM59" s="13">
        <f t="shared" ref="AM59" si="227">SUM(AM60:AM79)</f>
        <v>0</v>
      </c>
      <c r="AN59" s="13">
        <f t="shared" ref="AN59" si="228">SUM(AN60:AN79)</f>
        <v>0</v>
      </c>
      <c r="AO59" s="13">
        <f t="shared" ref="AO59" si="229">SUM(AO60:AO79)</f>
        <v>0</v>
      </c>
      <c r="AP59" s="13">
        <f t="shared" ref="AP59" si="230">SUM(AP60:AP79)</f>
        <v>0</v>
      </c>
      <c r="AQ59" s="13">
        <f t="shared" ref="AQ59" si="231">SUM(AQ60:AQ79)</f>
        <v>0</v>
      </c>
      <c r="AR59" s="13">
        <f t="shared" ref="AR59" si="232">SUM(AR60:AR79)</f>
        <v>0</v>
      </c>
      <c r="AS59" s="13">
        <f t="shared" ref="AS59" si="233">SUM(AS60:AS79)</f>
        <v>0</v>
      </c>
      <c r="AT59" s="13">
        <f t="shared" ref="AT59" si="234">SUM(AT60:AT79)</f>
        <v>0</v>
      </c>
      <c r="AU59" s="13">
        <f t="shared" ref="AU59" si="235">SUM(AU60:AU79)</f>
        <v>0</v>
      </c>
      <c r="AV59" s="13">
        <f t="shared" ref="AV59" si="236">SUM(AV60:AV79)</f>
        <v>0</v>
      </c>
      <c r="AW59" s="13">
        <f t="shared" ref="AW59" si="237">SUM(AW60:AW79)</f>
        <v>0</v>
      </c>
      <c r="AX59" s="13">
        <f t="shared" ref="AX59" si="238">SUM(AX60:AX79)</f>
        <v>0</v>
      </c>
      <c r="AY59" s="13">
        <f t="shared" ref="AY59" si="239">SUM(AY60:AY79)</f>
        <v>0</v>
      </c>
      <c r="AZ59" s="13">
        <f t="shared" ref="AZ59" si="240">SUM(AZ60:AZ79)</f>
        <v>0</v>
      </c>
      <c r="BA59" s="11"/>
      <c r="BB59" s="15" t="s">
        <v>291</v>
      </c>
      <c r="BC59" s="16" t="s">
        <v>292</v>
      </c>
    </row>
    <row r="60" spans="1:55" ht="30" hidden="1" outlineLevel="1" x14ac:dyDescent="0.25">
      <c r="A60" s="17">
        <f>'Fil de l''eau'!A100</f>
        <v>0</v>
      </c>
      <c r="B60" s="18">
        <f>'Fil de l''eau'!B100</f>
        <v>0</v>
      </c>
      <c r="C60" s="18">
        <f>'Fil de l''eau'!C100</f>
        <v>0</v>
      </c>
      <c r="D60" s="19">
        <f>'Fil de l''eau'!D100</f>
        <v>0</v>
      </c>
      <c r="E60" s="19">
        <f>'Fil de l''eau'!E100</f>
        <v>0</v>
      </c>
      <c r="F60" s="20">
        <f>'Fil de l''eau'!F100</f>
        <v>0</v>
      </c>
      <c r="G60" s="20">
        <f>'Fil de l''eau'!G100</f>
        <v>0</v>
      </c>
      <c r="H60" s="20">
        <f>'Fil de l''eau'!H100</f>
        <v>0</v>
      </c>
      <c r="I60" s="21">
        <f>'Fil de l''eau'!I100</f>
        <v>0</v>
      </c>
      <c r="J60" s="20">
        <f>'Fil de l''eau'!J100</f>
        <v>0</v>
      </c>
      <c r="K60" s="20">
        <f>'Fil de l''eau'!K100</f>
        <v>0</v>
      </c>
      <c r="L60" s="21">
        <f>'Fil de l''eau'!L100</f>
        <v>0</v>
      </c>
      <c r="M60" s="20">
        <f>'Fil de l''eau'!M100</f>
        <v>0</v>
      </c>
      <c r="N60" s="21">
        <f>'Fil de l''eau'!N100</f>
        <v>0</v>
      </c>
      <c r="O60" s="20">
        <f>'Fil de l''eau'!O100</f>
        <v>0</v>
      </c>
      <c r="P60" s="20">
        <f>'Fil de l''eau'!P100</f>
        <v>0</v>
      </c>
      <c r="Q60" s="20">
        <f>'Fil de l''eau'!Q100</f>
        <v>0</v>
      </c>
      <c r="R60" s="20">
        <f>'Fil de l''eau'!R100</f>
        <v>0</v>
      </c>
      <c r="S60" s="20">
        <f>'Fil de l''eau'!S100</f>
        <v>0</v>
      </c>
      <c r="T60" s="20">
        <f>'Fil de l''eau'!T100</f>
        <v>0</v>
      </c>
      <c r="U60" s="20">
        <f>'Fil de l''eau'!U100</f>
        <v>0</v>
      </c>
      <c r="V60" s="20">
        <f>'Fil de l''eau'!V100</f>
        <v>0</v>
      </c>
      <c r="W60" s="20">
        <f>'Fil de l''eau'!W100</f>
        <v>0</v>
      </c>
      <c r="X60" s="20">
        <f>'Fil de l''eau'!X100</f>
        <v>0</v>
      </c>
      <c r="Y60" s="20">
        <f>'Fil de l''eau'!Y100</f>
        <v>0</v>
      </c>
      <c r="Z60" s="20">
        <f>'Fil de l''eau'!Z100</f>
        <v>0</v>
      </c>
      <c r="AA60" s="20">
        <f>'Fil de l''eau'!AA100</f>
        <v>0</v>
      </c>
      <c r="AB60" s="20">
        <f>'Fil de l''eau'!AB100</f>
        <v>0</v>
      </c>
      <c r="AC60" s="20">
        <f>'Fil de l''eau'!AC100</f>
        <v>0</v>
      </c>
      <c r="AD60" s="20">
        <f>'Fil de l''eau'!AD100</f>
        <v>0</v>
      </c>
      <c r="AE60" s="20">
        <f>'Fil de l''eau'!AE100</f>
        <v>0</v>
      </c>
      <c r="AF60" s="20">
        <f>'Fil de l''eau'!AF100</f>
        <v>0</v>
      </c>
      <c r="AG60" s="20">
        <f>'Fil de l''eau'!AG100</f>
        <v>0</v>
      </c>
      <c r="AH60" s="20">
        <f>'Fil de l''eau'!AH100</f>
        <v>0</v>
      </c>
      <c r="AI60" s="20">
        <f>'Fil de l''eau'!AI100</f>
        <v>0</v>
      </c>
      <c r="AJ60" s="20">
        <f>'Fil de l''eau'!AJ100</f>
        <v>0</v>
      </c>
      <c r="AK60" s="20">
        <f>'Fil de l''eau'!AK100</f>
        <v>0</v>
      </c>
      <c r="AL60" s="20">
        <f>'Fil de l''eau'!AL100</f>
        <v>0</v>
      </c>
      <c r="AM60" s="20">
        <f>'Fil de l''eau'!AM100</f>
        <v>0</v>
      </c>
      <c r="AN60" s="20">
        <f>'Fil de l''eau'!AN100</f>
        <v>0</v>
      </c>
      <c r="AO60" s="20">
        <f>'Fil de l''eau'!AO100</f>
        <v>0</v>
      </c>
      <c r="AP60" s="20">
        <f>'Fil de l''eau'!AP100</f>
        <v>0</v>
      </c>
      <c r="AQ60" s="20">
        <f>'Fil de l''eau'!AQ100</f>
        <v>0</v>
      </c>
      <c r="AR60" s="20">
        <f>'Fil de l''eau'!AR100</f>
        <v>0</v>
      </c>
      <c r="AS60" s="20">
        <f>'Fil de l''eau'!AS100</f>
        <v>0</v>
      </c>
      <c r="AT60" s="20">
        <f>'Fil de l''eau'!AT100</f>
        <v>0</v>
      </c>
      <c r="AU60" s="20">
        <f>'Fil de l''eau'!AU100</f>
        <v>0</v>
      </c>
      <c r="AV60" s="20">
        <f>'Fil de l''eau'!AV100</f>
        <v>0</v>
      </c>
      <c r="AW60" s="20">
        <f>'Fil de l''eau'!AW100</f>
        <v>0</v>
      </c>
      <c r="AX60" s="20">
        <f>'Fil de l''eau'!AX100</f>
        <v>0</v>
      </c>
      <c r="AY60" s="20">
        <f>'Fil de l''eau'!AY100</f>
        <v>0</v>
      </c>
      <c r="AZ60" s="20">
        <f>'Fil de l''eau'!AZ100</f>
        <v>0</v>
      </c>
      <c r="BA60" s="18">
        <f>'Fil de l''eau'!BB100</f>
        <v>0</v>
      </c>
      <c r="BB60" s="22">
        <f>'Fil de l''eau'!BC100</f>
        <v>0</v>
      </c>
      <c r="BC60" s="23">
        <f>'Fil de l''eau'!BD100</f>
        <v>0</v>
      </c>
    </row>
    <row r="61" spans="1:55" ht="30" hidden="1" outlineLevel="1" x14ac:dyDescent="0.25">
      <c r="A61" s="10">
        <f>'Fil de l''eau'!A101</f>
        <v>0</v>
      </c>
      <c r="B61" s="11">
        <f>'Fil de l''eau'!B101</f>
        <v>0</v>
      </c>
      <c r="C61" s="11">
        <f>'Fil de l''eau'!C101</f>
        <v>0</v>
      </c>
      <c r="D61" s="12">
        <f>'Fil de l''eau'!D101</f>
        <v>0</v>
      </c>
      <c r="E61" s="12">
        <f>'Fil de l''eau'!E101</f>
        <v>0</v>
      </c>
      <c r="F61" s="13">
        <f>'Fil de l''eau'!F101</f>
        <v>0</v>
      </c>
      <c r="G61" s="13">
        <f>'Fil de l''eau'!G101</f>
        <v>0</v>
      </c>
      <c r="H61" s="13">
        <f>'Fil de l''eau'!H101</f>
        <v>0</v>
      </c>
      <c r="I61" s="14">
        <f>'Fil de l''eau'!I101</f>
        <v>0</v>
      </c>
      <c r="J61" s="13">
        <f>'Fil de l''eau'!J101</f>
        <v>0</v>
      </c>
      <c r="K61" s="13">
        <f>'Fil de l''eau'!K101</f>
        <v>0</v>
      </c>
      <c r="L61" s="14">
        <f>'Fil de l''eau'!L101</f>
        <v>0</v>
      </c>
      <c r="M61" s="13">
        <f>'Fil de l''eau'!M101</f>
        <v>0</v>
      </c>
      <c r="N61" s="14">
        <f>'Fil de l''eau'!N101</f>
        <v>0</v>
      </c>
      <c r="O61" s="13">
        <f>'Fil de l''eau'!O101</f>
        <v>0</v>
      </c>
      <c r="P61" s="13">
        <f>'Fil de l''eau'!P101</f>
        <v>0</v>
      </c>
      <c r="Q61" s="13">
        <f>'Fil de l''eau'!Q101</f>
        <v>0</v>
      </c>
      <c r="R61" s="13">
        <f>'Fil de l''eau'!R101</f>
        <v>0</v>
      </c>
      <c r="S61" s="13">
        <f>'Fil de l''eau'!S101</f>
        <v>0</v>
      </c>
      <c r="T61" s="13">
        <f>'Fil de l''eau'!T101</f>
        <v>0</v>
      </c>
      <c r="U61" s="13">
        <f>'Fil de l''eau'!U101</f>
        <v>0</v>
      </c>
      <c r="V61" s="13">
        <f>'Fil de l''eau'!V101</f>
        <v>0</v>
      </c>
      <c r="W61" s="13">
        <f>'Fil de l''eau'!W101</f>
        <v>0</v>
      </c>
      <c r="X61" s="13">
        <f>'Fil de l''eau'!X101</f>
        <v>0</v>
      </c>
      <c r="Y61" s="13">
        <f>'Fil de l''eau'!Y101</f>
        <v>0</v>
      </c>
      <c r="Z61" s="13">
        <f>'Fil de l''eau'!Z101</f>
        <v>0</v>
      </c>
      <c r="AA61" s="13">
        <f>'Fil de l''eau'!AA101</f>
        <v>0</v>
      </c>
      <c r="AB61" s="13">
        <f>'Fil de l''eau'!AB101</f>
        <v>0</v>
      </c>
      <c r="AC61" s="13">
        <f>'Fil de l''eau'!AC101</f>
        <v>0</v>
      </c>
      <c r="AD61" s="13">
        <f>'Fil de l''eau'!AD101</f>
        <v>0</v>
      </c>
      <c r="AE61" s="13">
        <f>'Fil de l''eau'!AE101</f>
        <v>0</v>
      </c>
      <c r="AF61" s="13">
        <f>'Fil de l''eau'!AF101</f>
        <v>0</v>
      </c>
      <c r="AG61" s="13">
        <f>'Fil de l''eau'!AG101</f>
        <v>0</v>
      </c>
      <c r="AH61" s="13">
        <f>'Fil de l''eau'!AH101</f>
        <v>0</v>
      </c>
      <c r="AI61" s="13">
        <f>'Fil de l''eau'!AI101</f>
        <v>0</v>
      </c>
      <c r="AJ61" s="13">
        <f>'Fil de l''eau'!AJ101</f>
        <v>0</v>
      </c>
      <c r="AK61" s="13">
        <f>'Fil de l''eau'!AK101</f>
        <v>0</v>
      </c>
      <c r="AL61" s="13">
        <f>'Fil de l''eau'!AL101</f>
        <v>0</v>
      </c>
      <c r="AM61" s="13">
        <f>'Fil de l''eau'!AM101</f>
        <v>0</v>
      </c>
      <c r="AN61" s="13">
        <f>'Fil de l''eau'!AN101</f>
        <v>0</v>
      </c>
      <c r="AO61" s="13">
        <f>'Fil de l''eau'!AO101</f>
        <v>0</v>
      </c>
      <c r="AP61" s="13">
        <f>'Fil de l''eau'!AP101</f>
        <v>0</v>
      </c>
      <c r="AQ61" s="13">
        <f>'Fil de l''eau'!AQ101</f>
        <v>0</v>
      </c>
      <c r="AR61" s="13">
        <f>'Fil de l''eau'!AR101</f>
        <v>0</v>
      </c>
      <c r="AS61" s="13">
        <f>'Fil de l''eau'!AS101</f>
        <v>0</v>
      </c>
      <c r="AT61" s="13">
        <f>'Fil de l''eau'!AT101</f>
        <v>0</v>
      </c>
      <c r="AU61" s="13">
        <f>'Fil de l''eau'!AU101</f>
        <v>0</v>
      </c>
      <c r="AV61" s="13">
        <f>'Fil de l''eau'!AV101</f>
        <v>0</v>
      </c>
      <c r="AW61" s="13">
        <f>'Fil de l''eau'!AW101</f>
        <v>0</v>
      </c>
      <c r="AX61" s="13">
        <f>'Fil de l''eau'!AX101</f>
        <v>0</v>
      </c>
      <c r="AY61" s="13">
        <f>'Fil de l''eau'!AY101</f>
        <v>0</v>
      </c>
      <c r="AZ61" s="13">
        <f>'Fil de l''eau'!AZ101</f>
        <v>0</v>
      </c>
      <c r="BA61" s="11">
        <f>'Fil de l''eau'!BB101</f>
        <v>0</v>
      </c>
      <c r="BB61" s="15">
        <f>'Fil de l''eau'!BC101</f>
        <v>0</v>
      </c>
      <c r="BC61" s="16">
        <f>'Fil de l''eau'!BD101</f>
        <v>0</v>
      </c>
    </row>
    <row r="62" spans="1:55" ht="30" hidden="1" outlineLevel="1" x14ac:dyDescent="0.25">
      <c r="A62" s="17">
        <f>'Fil de l''eau'!A102</f>
        <v>0</v>
      </c>
      <c r="B62" s="18">
        <f>'Fil de l''eau'!B102</f>
        <v>0</v>
      </c>
      <c r="C62" s="18">
        <f>'Fil de l''eau'!C102</f>
        <v>0</v>
      </c>
      <c r="D62" s="19">
        <f>'Fil de l''eau'!D102</f>
        <v>0</v>
      </c>
      <c r="E62" s="19">
        <f>'Fil de l''eau'!E102</f>
        <v>0</v>
      </c>
      <c r="F62" s="20">
        <f>'Fil de l''eau'!F102</f>
        <v>0</v>
      </c>
      <c r="G62" s="20">
        <f>'Fil de l''eau'!G102</f>
        <v>0</v>
      </c>
      <c r="H62" s="20">
        <f>'Fil de l''eau'!H102</f>
        <v>0</v>
      </c>
      <c r="I62" s="21">
        <f>'Fil de l''eau'!I102</f>
        <v>0</v>
      </c>
      <c r="J62" s="20">
        <f>'Fil de l''eau'!J102</f>
        <v>0</v>
      </c>
      <c r="K62" s="20">
        <f>'Fil de l''eau'!K102</f>
        <v>0</v>
      </c>
      <c r="L62" s="21">
        <f>'Fil de l''eau'!L102</f>
        <v>0</v>
      </c>
      <c r="M62" s="20">
        <f>'Fil de l''eau'!M102</f>
        <v>0</v>
      </c>
      <c r="N62" s="21">
        <f>'Fil de l''eau'!N102</f>
        <v>0</v>
      </c>
      <c r="O62" s="20">
        <f>'Fil de l''eau'!O102</f>
        <v>0</v>
      </c>
      <c r="P62" s="20">
        <f>'Fil de l''eau'!P102</f>
        <v>0</v>
      </c>
      <c r="Q62" s="20">
        <f>'Fil de l''eau'!Q102</f>
        <v>0</v>
      </c>
      <c r="R62" s="20">
        <f>'Fil de l''eau'!R102</f>
        <v>0</v>
      </c>
      <c r="S62" s="20">
        <f>'Fil de l''eau'!S102</f>
        <v>0</v>
      </c>
      <c r="T62" s="20">
        <f>'Fil de l''eau'!T102</f>
        <v>0</v>
      </c>
      <c r="U62" s="20">
        <f>'Fil de l''eau'!U102</f>
        <v>0</v>
      </c>
      <c r="V62" s="20">
        <f>'Fil de l''eau'!V102</f>
        <v>0</v>
      </c>
      <c r="W62" s="20">
        <f>'Fil de l''eau'!W102</f>
        <v>0</v>
      </c>
      <c r="X62" s="20">
        <f>'Fil de l''eau'!X102</f>
        <v>0</v>
      </c>
      <c r="Y62" s="20">
        <f>'Fil de l''eau'!Y102</f>
        <v>0</v>
      </c>
      <c r="Z62" s="20">
        <f>'Fil de l''eau'!Z102</f>
        <v>0</v>
      </c>
      <c r="AA62" s="20">
        <f>'Fil de l''eau'!AA102</f>
        <v>0</v>
      </c>
      <c r="AB62" s="20">
        <f>'Fil de l''eau'!AB102</f>
        <v>0</v>
      </c>
      <c r="AC62" s="20">
        <f>'Fil de l''eau'!AC102</f>
        <v>0</v>
      </c>
      <c r="AD62" s="20">
        <f>'Fil de l''eau'!AD102</f>
        <v>0</v>
      </c>
      <c r="AE62" s="20">
        <f>'Fil de l''eau'!AE102</f>
        <v>0</v>
      </c>
      <c r="AF62" s="20">
        <f>'Fil de l''eau'!AF102</f>
        <v>0</v>
      </c>
      <c r="AG62" s="20">
        <f>'Fil de l''eau'!AG102</f>
        <v>0</v>
      </c>
      <c r="AH62" s="20">
        <f>'Fil de l''eau'!AH102</f>
        <v>0</v>
      </c>
      <c r="AI62" s="20">
        <f>'Fil de l''eau'!AI102</f>
        <v>0</v>
      </c>
      <c r="AJ62" s="20">
        <f>'Fil de l''eau'!AJ102</f>
        <v>0</v>
      </c>
      <c r="AK62" s="20">
        <f>'Fil de l''eau'!AK102</f>
        <v>0</v>
      </c>
      <c r="AL62" s="20">
        <f>'Fil de l''eau'!AL102</f>
        <v>0</v>
      </c>
      <c r="AM62" s="20">
        <f>'Fil de l''eau'!AM102</f>
        <v>0</v>
      </c>
      <c r="AN62" s="20">
        <f>'Fil de l''eau'!AN102</f>
        <v>0</v>
      </c>
      <c r="AO62" s="20">
        <f>'Fil de l''eau'!AO102</f>
        <v>0</v>
      </c>
      <c r="AP62" s="20">
        <f>'Fil de l''eau'!AP102</f>
        <v>0</v>
      </c>
      <c r="AQ62" s="20">
        <f>'Fil de l''eau'!AQ102</f>
        <v>0</v>
      </c>
      <c r="AR62" s="20">
        <f>'Fil de l''eau'!AR102</f>
        <v>0</v>
      </c>
      <c r="AS62" s="20">
        <f>'Fil de l''eau'!AS102</f>
        <v>0</v>
      </c>
      <c r="AT62" s="20">
        <f>'Fil de l''eau'!AT102</f>
        <v>0</v>
      </c>
      <c r="AU62" s="20">
        <f>'Fil de l''eau'!AU102</f>
        <v>0</v>
      </c>
      <c r="AV62" s="20">
        <f>'Fil de l''eau'!AV102</f>
        <v>0</v>
      </c>
      <c r="AW62" s="20">
        <f>'Fil de l''eau'!AW102</f>
        <v>0</v>
      </c>
      <c r="AX62" s="20">
        <f>'Fil de l''eau'!AX102</f>
        <v>0</v>
      </c>
      <c r="AY62" s="20">
        <f>'Fil de l''eau'!AY102</f>
        <v>0</v>
      </c>
      <c r="AZ62" s="20">
        <f>'Fil de l''eau'!AZ102</f>
        <v>0</v>
      </c>
      <c r="BA62" s="18">
        <f>'Fil de l''eau'!BB102</f>
        <v>0</v>
      </c>
      <c r="BB62" s="22">
        <f>'Fil de l''eau'!BC102</f>
        <v>0</v>
      </c>
      <c r="BC62" s="23">
        <f>'Fil de l''eau'!BD102</f>
        <v>0</v>
      </c>
    </row>
    <row r="63" spans="1:55" ht="30" hidden="1" outlineLevel="1" x14ac:dyDescent="0.25">
      <c r="A63" s="10">
        <f>'Fil de l''eau'!A103</f>
        <v>0</v>
      </c>
      <c r="B63" s="11">
        <f>'Fil de l''eau'!B103</f>
        <v>0</v>
      </c>
      <c r="C63" s="11">
        <f>'Fil de l''eau'!C103</f>
        <v>0</v>
      </c>
      <c r="D63" s="12">
        <f>'Fil de l''eau'!D103</f>
        <v>0</v>
      </c>
      <c r="E63" s="12">
        <f>'Fil de l''eau'!E103</f>
        <v>0</v>
      </c>
      <c r="F63" s="13">
        <f>'Fil de l''eau'!F103</f>
        <v>0</v>
      </c>
      <c r="G63" s="13">
        <f>'Fil de l''eau'!G103</f>
        <v>0</v>
      </c>
      <c r="H63" s="13">
        <f>'Fil de l''eau'!H103</f>
        <v>0</v>
      </c>
      <c r="I63" s="14">
        <f>'Fil de l''eau'!I103</f>
        <v>0</v>
      </c>
      <c r="J63" s="13">
        <f>'Fil de l''eau'!J103</f>
        <v>0</v>
      </c>
      <c r="K63" s="13">
        <f>'Fil de l''eau'!K103</f>
        <v>0</v>
      </c>
      <c r="L63" s="14">
        <f>'Fil de l''eau'!L103</f>
        <v>0</v>
      </c>
      <c r="M63" s="13">
        <f>'Fil de l''eau'!M103</f>
        <v>0</v>
      </c>
      <c r="N63" s="14">
        <f>'Fil de l''eau'!N103</f>
        <v>0</v>
      </c>
      <c r="O63" s="13">
        <f>'Fil de l''eau'!O103</f>
        <v>0</v>
      </c>
      <c r="P63" s="13">
        <f>'Fil de l''eau'!P103</f>
        <v>0</v>
      </c>
      <c r="Q63" s="13">
        <f>'Fil de l''eau'!Q103</f>
        <v>0</v>
      </c>
      <c r="R63" s="13">
        <f>'Fil de l''eau'!R103</f>
        <v>0</v>
      </c>
      <c r="S63" s="13">
        <f>'Fil de l''eau'!S103</f>
        <v>0</v>
      </c>
      <c r="T63" s="13">
        <f>'Fil de l''eau'!T103</f>
        <v>0</v>
      </c>
      <c r="U63" s="13">
        <f>'Fil de l''eau'!U103</f>
        <v>0</v>
      </c>
      <c r="V63" s="13">
        <f>'Fil de l''eau'!V103</f>
        <v>0</v>
      </c>
      <c r="W63" s="13">
        <f>'Fil de l''eau'!W103</f>
        <v>0</v>
      </c>
      <c r="X63" s="13">
        <f>'Fil de l''eau'!X103</f>
        <v>0</v>
      </c>
      <c r="Y63" s="13">
        <f>'Fil de l''eau'!Y103</f>
        <v>0</v>
      </c>
      <c r="Z63" s="13">
        <f>'Fil de l''eau'!Z103</f>
        <v>0</v>
      </c>
      <c r="AA63" s="13">
        <f>'Fil de l''eau'!AA103</f>
        <v>0</v>
      </c>
      <c r="AB63" s="13">
        <f>'Fil de l''eau'!AB103</f>
        <v>0</v>
      </c>
      <c r="AC63" s="13">
        <f>'Fil de l''eau'!AC103</f>
        <v>0</v>
      </c>
      <c r="AD63" s="13">
        <f>'Fil de l''eau'!AD103</f>
        <v>0</v>
      </c>
      <c r="AE63" s="13">
        <f>'Fil de l''eau'!AE103</f>
        <v>0</v>
      </c>
      <c r="AF63" s="13">
        <f>'Fil de l''eau'!AF103</f>
        <v>0</v>
      </c>
      <c r="AG63" s="13">
        <f>'Fil de l''eau'!AG103</f>
        <v>0</v>
      </c>
      <c r="AH63" s="13">
        <f>'Fil de l''eau'!AH103</f>
        <v>0</v>
      </c>
      <c r="AI63" s="13">
        <f>'Fil de l''eau'!AI103</f>
        <v>0</v>
      </c>
      <c r="AJ63" s="13">
        <f>'Fil de l''eau'!AJ103</f>
        <v>0</v>
      </c>
      <c r="AK63" s="13">
        <f>'Fil de l''eau'!AK103</f>
        <v>0</v>
      </c>
      <c r="AL63" s="13">
        <f>'Fil de l''eau'!AL103</f>
        <v>0</v>
      </c>
      <c r="AM63" s="13">
        <f>'Fil de l''eau'!AM103</f>
        <v>0</v>
      </c>
      <c r="AN63" s="13">
        <f>'Fil de l''eau'!AN103</f>
        <v>0</v>
      </c>
      <c r="AO63" s="13">
        <f>'Fil de l''eau'!AO103</f>
        <v>0</v>
      </c>
      <c r="AP63" s="13">
        <f>'Fil de l''eau'!AP103</f>
        <v>0</v>
      </c>
      <c r="AQ63" s="13">
        <f>'Fil de l''eau'!AQ103</f>
        <v>0</v>
      </c>
      <c r="AR63" s="13">
        <f>'Fil de l''eau'!AR103</f>
        <v>0</v>
      </c>
      <c r="AS63" s="13">
        <f>'Fil de l''eau'!AS103</f>
        <v>0</v>
      </c>
      <c r="AT63" s="13">
        <f>'Fil de l''eau'!AT103</f>
        <v>0</v>
      </c>
      <c r="AU63" s="13">
        <f>'Fil de l''eau'!AU103</f>
        <v>0</v>
      </c>
      <c r="AV63" s="13">
        <f>'Fil de l''eau'!AV103</f>
        <v>0</v>
      </c>
      <c r="AW63" s="13">
        <f>'Fil de l''eau'!AW103</f>
        <v>0</v>
      </c>
      <c r="AX63" s="13">
        <f>'Fil de l''eau'!AX103</f>
        <v>0</v>
      </c>
      <c r="AY63" s="13">
        <f>'Fil de l''eau'!AY103</f>
        <v>0</v>
      </c>
      <c r="AZ63" s="13">
        <f>'Fil de l''eau'!AZ103</f>
        <v>0</v>
      </c>
      <c r="BA63" s="11">
        <f>'Fil de l''eau'!BB103</f>
        <v>0</v>
      </c>
      <c r="BB63" s="15">
        <f>'Fil de l''eau'!BC103</f>
        <v>0</v>
      </c>
      <c r="BC63" s="16">
        <f>'Fil de l''eau'!BD103</f>
        <v>0</v>
      </c>
    </row>
    <row r="64" spans="1:55" ht="30" hidden="1" outlineLevel="1" x14ac:dyDescent="0.25">
      <c r="A64" s="17">
        <f>'Fil de l''eau'!A104</f>
        <v>0</v>
      </c>
      <c r="B64" s="18">
        <f>'Fil de l''eau'!B104</f>
        <v>0</v>
      </c>
      <c r="C64" s="18">
        <f>'Fil de l''eau'!C104</f>
        <v>0</v>
      </c>
      <c r="D64" s="19">
        <f>'Fil de l''eau'!D104</f>
        <v>0</v>
      </c>
      <c r="E64" s="19">
        <f>'Fil de l''eau'!E104</f>
        <v>0</v>
      </c>
      <c r="F64" s="20">
        <f>'Fil de l''eau'!F104</f>
        <v>0</v>
      </c>
      <c r="G64" s="20">
        <f>'Fil de l''eau'!G104</f>
        <v>0</v>
      </c>
      <c r="H64" s="20">
        <f>'Fil de l''eau'!H104</f>
        <v>0</v>
      </c>
      <c r="I64" s="21">
        <f>'Fil de l''eau'!I104</f>
        <v>0</v>
      </c>
      <c r="J64" s="20">
        <f>'Fil de l''eau'!J104</f>
        <v>0</v>
      </c>
      <c r="K64" s="20">
        <f>'Fil de l''eau'!K104</f>
        <v>0</v>
      </c>
      <c r="L64" s="21">
        <f>'Fil de l''eau'!L104</f>
        <v>0</v>
      </c>
      <c r="M64" s="20">
        <f>'Fil de l''eau'!M104</f>
        <v>0</v>
      </c>
      <c r="N64" s="21">
        <f>'Fil de l''eau'!N104</f>
        <v>0</v>
      </c>
      <c r="O64" s="20">
        <f>'Fil de l''eau'!O104</f>
        <v>0</v>
      </c>
      <c r="P64" s="20">
        <f>'Fil de l''eau'!P104</f>
        <v>0</v>
      </c>
      <c r="Q64" s="20">
        <f>'Fil de l''eau'!Q104</f>
        <v>0</v>
      </c>
      <c r="R64" s="20">
        <f>'Fil de l''eau'!R104</f>
        <v>0</v>
      </c>
      <c r="S64" s="20">
        <f>'Fil de l''eau'!S104</f>
        <v>0</v>
      </c>
      <c r="T64" s="20">
        <f>'Fil de l''eau'!T104</f>
        <v>0</v>
      </c>
      <c r="U64" s="20">
        <f>'Fil de l''eau'!U104</f>
        <v>0</v>
      </c>
      <c r="V64" s="20">
        <f>'Fil de l''eau'!V104</f>
        <v>0</v>
      </c>
      <c r="W64" s="20">
        <f>'Fil de l''eau'!W104</f>
        <v>0</v>
      </c>
      <c r="X64" s="20">
        <f>'Fil de l''eau'!X104</f>
        <v>0</v>
      </c>
      <c r="Y64" s="20">
        <f>'Fil de l''eau'!Y104</f>
        <v>0</v>
      </c>
      <c r="Z64" s="20">
        <f>'Fil de l''eau'!Z104</f>
        <v>0</v>
      </c>
      <c r="AA64" s="20">
        <f>'Fil de l''eau'!AA104</f>
        <v>0</v>
      </c>
      <c r="AB64" s="20">
        <f>'Fil de l''eau'!AB104</f>
        <v>0</v>
      </c>
      <c r="AC64" s="20">
        <f>'Fil de l''eau'!AC104</f>
        <v>0</v>
      </c>
      <c r="AD64" s="20">
        <f>'Fil de l''eau'!AD104</f>
        <v>0</v>
      </c>
      <c r="AE64" s="20">
        <f>'Fil de l''eau'!AE104</f>
        <v>0</v>
      </c>
      <c r="AF64" s="20">
        <f>'Fil de l''eau'!AF104</f>
        <v>0</v>
      </c>
      <c r="AG64" s="20">
        <f>'Fil de l''eau'!AG104</f>
        <v>0</v>
      </c>
      <c r="AH64" s="20">
        <f>'Fil de l''eau'!AH104</f>
        <v>0</v>
      </c>
      <c r="AI64" s="20">
        <f>'Fil de l''eau'!AI104</f>
        <v>0</v>
      </c>
      <c r="AJ64" s="20">
        <f>'Fil de l''eau'!AJ104</f>
        <v>0</v>
      </c>
      <c r="AK64" s="20">
        <f>'Fil de l''eau'!AK104</f>
        <v>0</v>
      </c>
      <c r="AL64" s="20">
        <f>'Fil de l''eau'!AL104</f>
        <v>0</v>
      </c>
      <c r="AM64" s="20">
        <f>'Fil de l''eau'!AM104</f>
        <v>0</v>
      </c>
      <c r="AN64" s="20">
        <f>'Fil de l''eau'!AN104</f>
        <v>0</v>
      </c>
      <c r="AO64" s="20">
        <f>'Fil de l''eau'!AO104</f>
        <v>0</v>
      </c>
      <c r="AP64" s="20">
        <f>'Fil de l''eau'!AP104</f>
        <v>0</v>
      </c>
      <c r="AQ64" s="20">
        <f>'Fil de l''eau'!AQ104</f>
        <v>0</v>
      </c>
      <c r="AR64" s="20">
        <f>'Fil de l''eau'!AR104</f>
        <v>0</v>
      </c>
      <c r="AS64" s="20">
        <f>'Fil de l''eau'!AS104</f>
        <v>0</v>
      </c>
      <c r="AT64" s="20">
        <f>'Fil de l''eau'!AT104</f>
        <v>0</v>
      </c>
      <c r="AU64" s="20">
        <f>'Fil de l''eau'!AU104</f>
        <v>0</v>
      </c>
      <c r="AV64" s="20">
        <f>'Fil de l''eau'!AV104</f>
        <v>0</v>
      </c>
      <c r="AW64" s="20">
        <f>'Fil de l''eau'!AW104</f>
        <v>0</v>
      </c>
      <c r="AX64" s="20">
        <f>'Fil de l''eau'!AX104</f>
        <v>0</v>
      </c>
      <c r="AY64" s="20">
        <f>'Fil de l''eau'!AY104</f>
        <v>0</v>
      </c>
      <c r="AZ64" s="20">
        <f>'Fil de l''eau'!AZ104</f>
        <v>0</v>
      </c>
      <c r="BA64" s="18">
        <f>'Fil de l''eau'!BB104</f>
        <v>0</v>
      </c>
      <c r="BB64" s="22">
        <f>'Fil de l''eau'!BC104</f>
        <v>0</v>
      </c>
      <c r="BC64" s="23">
        <f>'Fil de l''eau'!BD104</f>
        <v>0</v>
      </c>
    </row>
    <row r="65" spans="1:55" ht="30" hidden="1" outlineLevel="1" x14ac:dyDescent="0.25">
      <c r="A65" s="10">
        <f>'Fil de l''eau'!A105</f>
        <v>0</v>
      </c>
      <c r="B65" s="11">
        <f>'Fil de l''eau'!B105</f>
        <v>0</v>
      </c>
      <c r="C65" s="11">
        <f>'Fil de l''eau'!C105</f>
        <v>0</v>
      </c>
      <c r="D65" s="12">
        <f>'Fil de l''eau'!D105</f>
        <v>0</v>
      </c>
      <c r="E65" s="12">
        <f>'Fil de l''eau'!E105</f>
        <v>0</v>
      </c>
      <c r="F65" s="13">
        <f>'Fil de l''eau'!F105</f>
        <v>0</v>
      </c>
      <c r="G65" s="13">
        <f>'Fil de l''eau'!G105</f>
        <v>0</v>
      </c>
      <c r="H65" s="13">
        <f>'Fil de l''eau'!H105</f>
        <v>0</v>
      </c>
      <c r="I65" s="14">
        <f>'Fil de l''eau'!I105</f>
        <v>0</v>
      </c>
      <c r="J65" s="13">
        <f>'Fil de l''eau'!J105</f>
        <v>0</v>
      </c>
      <c r="K65" s="13">
        <f>'Fil de l''eau'!K105</f>
        <v>0</v>
      </c>
      <c r="L65" s="14">
        <f>'Fil de l''eau'!L105</f>
        <v>0</v>
      </c>
      <c r="M65" s="13">
        <f>'Fil de l''eau'!M105</f>
        <v>0</v>
      </c>
      <c r="N65" s="14">
        <f>'Fil de l''eau'!N105</f>
        <v>0</v>
      </c>
      <c r="O65" s="13">
        <f>'Fil de l''eau'!O105</f>
        <v>0</v>
      </c>
      <c r="P65" s="13">
        <f>'Fil de l''eau'!P105</f>
        <v>0</v>
      </c>
      <c r="Q65" s="13">
        <f>'Fil de l''eau'!Q105</f>
        <v>0</v>
      </c>
      <c r="R65" s="13">
        <f>'Fil de l''eau'!R105</f>
        <v>0</v>
      </c>
      <c r="S65" s="13">
        <f>'Fil de l''eau'!S105</f>
        <v>0</v>
      </c>
      <c r="T65" s="13">
        <f>'Fil de l''eau'!T105</f>
        <v>0</v>
      </c>
      <c r="U65" s="13">
        <f>'Fil de l''eau'!U105</f>
        <v>0</v>
      </c>
      <c r="V65" s="13">
        <f>'Fil de l''eau'!V105</f>
        <v>0</v>
      </c>
      <c r="W65" s="13">
        <f>'Fil de l''eau'!W105</f>
        <v>0</v>
      </c>
      <c r="X65" s="13">
        <f>'Fil de l''eau'!X105</f>
        <v>0</v>
      </c>
      <c r="Y65" s="13">
        <f>'Fil de l''eau'!Y105</f>
        <v>0</v>
      </c>
      <c r="Z65" s="13">
        <f>'Fil de l''eau'!Z105</f>
        <v>0</v>
      </c>
      <c r="AA65" s="13">
        <f>'Fil de l''eau'!AA105</f>
        <v>0</v>
      </c>
      <c r="AB65" s="13">
        <f>'Fil de l''eau'!AB105</f>
        <v>0</v>
      </c>
      <c r="AC65" s="13">
        <f>'Fil de l''eau'!AC105</f>
        <v>0</v>
      </c>
      <c r="AD65" s="13">
        <f>'Fil de l''eau'!AD105</f>
        <v>0</v>
      </c>
      <c r="AE65" s="13">
        <f>'Fil de l''eau'!AE105</f>
        <v>0</v>
      </c>
      <c r="AF65" s="13">
        <f>'Fil de l''eau'!AF105</f>
        <v>0</v>
      </c>
      <c r="AG65" s="13">
        <f>'Fil de l''eau'!AG105</f>
        <v>0</v>
      </c>
      <c r="AH65" s="13">
        <f>'Fil de l''eau'!AH105</f>
        <v>0</v>
      </c>
      <c r="AI65" s="13">
        <f>'Fil de l''eau'!AI105</f>
        <v>0</v>
      </c>
      <c r="AJ65" s="13">
        <f>'Fil de l''eau'!AJ105</f>
        <v>0</v>
      </c>
      <c r="AK65" s="13">
        <f>'Fil de l''eau'!AK105</f>
        <v>0</v>
      </c>
      <c r="AL65" s="13">
        <f>'Fil de l''eau'!AL105</f>
        <v>0</v>
      </c>
      <c r="AM65" s="13">
        <f>'Fil de l''eau'!AM105</f>
        <v>0</v>
      </c>
      <c r="AN65" s="13">
        <f>'Fil de l''eau'!AN105</f>
        <v>0</v>
      </c>
      <c r="AO65" s="13">
        <f>'Fil de l''eau'!AO105</f>
        <v>0</v>
      </c>
      <c r="AP65" s="13">
        <f>'Fil de l''eau'!AP105</f>
        <v>0</v>
      </c>
      <c r="AQ65" s="13">
        <f>'Fil de l''eau'!AQ105</f>
        <v>0</v>
      </c>
      <c r="AR65" s="13">
        <f>'Fil de l''eau'!AR105</f>
        <v>0</v>
      </c>
      <c r="AS65" s="13">
        <f>'Fil de l''eau'!AS105</f>
        <v>0</v>
      </c>
      <c r="AT65" s="13">
        <f>'Fil de l''eau'!AT105</f>
        <v>0</v>
      </c>
      <c r="AU65" s="13">
        <f>'Fil de l''eau'!AU105</f>
        <v>0</v>
      </c>
      <c r="AV65" s="13">
        <f>'Fil de l''eau'!AV105</f>
        <v>0</v>
      </c>
      <c r="AW65" s="13">
        <f>'Fil de l''eau'!AW105</f>
        <v>0</v>
      </c>
      <c r="AX65" s="13">
        <f>'Fil de l''eau'!AX105</f>
        <v>0</v>
      </c>
      <c r="AY65" s="13">
        <f>'Fil de l''eau'!AY105</f>
        <v>0</v>
      </c>
      <c r="AZ65" s="13">
        <f>'Fil de l''eau'!AZ105</f>
        <v>0</v>
      </c>
      <c r="BA65" s="11">
        <f>'Fil de l''eau'!BB105</f>
        <v>0</v>
      </c>
      <c r="BB65" s="15">
        <f>'Fil de l''eau'!BC105</f>
        <v>0</v>
      </c>
      <c r="BC65" s="16">
        <f>'Fil de l''eau'!BD105</f>
        <v>0</v>
      </c>
    </row>
    <row r="66" spans="1:55" ht="30" hidden="1" outlineLevel="1" x14ac:dyDescent="0.25">
      <c r="A66" s="17">
        <f>'Fil de l''eau'!A106</f>
        <v>0</v>
      </c>
      <c r="B66" s="18">
        <f>'Fil de l''eau'!B106</f>
        <v>0</v>
      </c>
      <c r="C66" s="18">
        <f>'Fil de l''eau'!C106</f>
        <v>0</v>
      </c>
      <c r="D66" s="19">
        <f>'Fil de l''eau'!D106</f>
        <v>0</v>
      </c>
      <c r="E66" s="19">
        <f>'Fil de l''eau'!E106</f>
        <v>0</v>
      </c>
      <c r="F66" s="20">
        <f>'Fil de l''eau'!F106</f>
        <v>0</v>
      </c>
      <c r="G66" s="20">
        <f>'Fil de l''eau'!G106</f>
        <v>0</v>
      </c>
      <c r="H66" s="20">
        <f>'Fil de l''eau'!H106</f>
        <v>0</v>
      </c>
      <c r="I66" s="21">
        <f>'Fil de l''eau'!I106</f>
        <v>0</v>
      </c>
      <c r="J66" s="20">
        <f>'Fil de l''eau'!J106</f>
        <v>0</v>
      </c>
      <c r="K66" s="20">
        <f>'Fil de l''eau'!K106</f>
        <v>0</v>
      </c>
      <c r="L66" s="21">
        <f>'Fil de l''eau'!L106</f>
        <v>0</v>
      </c>
      <c r="M66" s="20">
        <f>'Fil de l''eau'!M106</f>
        <v>0</v>
      </c>
      <c r="N66" s="21">
        <f>'Fil de l''eau'!N106</f>
        <v>0</v>
      </c>
      <c r="O66" s="20">
        <f>'Fil de l''eau'!O106</f>
        <v>0</v>
      </c>
      <c r="P66" s="20">
        <f>'Fil de l''eau'!P106</f>
        <v>0</v>
      </c>
      <c r="Q66" s="20">
        <f>'Fil de l''eau'!Q106</f>
        <v>0</v>
      </c>
      <c r="R66" s="20">
        <f>'Fil de l''eau'!R106</f>
        <v>0</v>
      </c>
      <c r="S66" s="20">
        <f>'Fil de l''eau'!S106</f>
        <v>0</v>
      </c>
      <c r="T66" s="20">
        <f>'Fil de l''eau'!T106</f>
        <v>0</v>
      </c>
      <c r="U66" s="20">
        <f>'Fil de l''eau'!U106</f>
        <v>0</v>
      </c>
      <c r="V66" s="20">
        <f>'Fil de l''eau'!V106</f>
        <v>0</v>
      </c>
      <c r="W66" s="20">
        <f>'Fil de l''eau'!W106</f>
        <v>0</v>
      </c>
      <c r="X66" s="20">
        <f>'Fil de l''eau'!X106</f>
        <v>0</v>
      </c>
      <c r="Y66" s="20">
        <f>'Fil de l''eau'!Y106</f>
        <v>0</v>
      </c>
      <c r="Z66" s="20">
        <f>'Fil de l''eau'!Z106</f>
        <v>0</v>
      </c>
      <c r="AA66" s="20">
        <f>'Fil de l''eau'!AA106</f>
        <v>0</v>
      </c>
      <c r="AB66" s="20">
        <f>'Fil de l''eau'!AB106</f>
        <v>0</v>
      </c>
      <c r="AC66" s="20">
        <f>'Fil de l''eau'!AC106</f>
        <v>0</v>
      </c>
      <c r="AD66" s="20">
        <f>'Fil de l''eau'!AD106</f>
        <v>0</v>
      </c>
      <c r="AE66" s="20">
        <f>'Fil de l''eau'!AE106</f>
        <v>0</v>
      </c>
      <c r="AF66" s="20">
        <f>'Fil de l''eau'!AF106</f>
        <v>0</v>
      </c>
      <c r="AG66" s="20">
        <f>'Fil de l''eau'!AG106</f>
        <v>0</v>
      </c>
      <c r="AH66" s="20">
        <f>'Fil de l''eau'!AH106</f>
        <v>0</v>
      </c>
      <c r="AI66" s="20">
        <f>'Fil de l''eau'!AI106</f>
        <v>0</v>
      </c>
      <c r="AJ66" s="20">
        <f>'Fil de l''eau'!AJ106</f>
        <v>0</v>
      </c>
      <c r="AK66" s="20">
        <f>'Fil de l''eau'!AK106</f>
        <v>0</v>
      </c>
      <c r="AL66" s="20">
        <f>'Fil de l''eau'!AL106</f>
        <v>0</v>
      </c>
      <c r="AM66" s="20">
        <f>'Fil de l''eau'!AM106</f>
        <v>0</v>
      </c>
      <c r="AN66" s="20">
        <f>'Fil de l''eau'!AN106</f>
        <v>0</v>
      </c>
      <c r="AO66" s="20">
        <f>'Fil de l''eau'!AO106</f>
        <v>0</v>
      </c>
      <c r="AP66" s="20">
        <f>'Fil de l''eau'!AP106</f>
        <v>0</v>
      </c>
      <c r="AQ66" s="20">
        <f>'Fil de l''eau'!AQ106</f>
        <v>0</v>
      </c>
      <c r="AR66" s="20">
        <f>'Fil de l''eau'!AR106</f>
        <v>0</v>
      </c>
      <c r="AS66" s="20">
        <f>'Fil de l''eau'!AS106</f>
        <v>0</v>
      </c>
      <c r="AT66" s="20">
        <f>'Fil de l''eau'!AT106</f>
        <v>0</v>
      </c>
      <c r="AU66" s="20">
        <f>'Fil de l''eau'!AU106</f>
        <v>0</v>
      </c>
      <c r="AV66" s="20">
        <f>'Fil de l''eau'!AV106</f>
        <v>0</v>
      </c>
      <c r="AW66" s="20">
        <f>'Fil de l''eau'!AW106</f>
        <v>0</v>
      </c>
      <c r="AX66" s="20">
        <f>'Fil de l''eau'!AX106</f>
        <v>0</v>
      </c>
      <c r="AY66" s="20">
        <f>'Fil de l''eau'!AY106</f>
        <v>0</v>
      </c>
      <c r="AZ66" s="20">
        <f>'Fil de l''eau'!AZ106</f>
        <v>0</v>
      </c>
      <c r="BA66" s="18">
        <f>'Fil de l''eau'!BB106</f>
        <v>0</v>
      </c>
      <c r="BB66" s="22">
        <f>'Fil de l''eau'!BC106</f>
        <v>0</v>
      </c>
      <c r="BC66" s="23">
        <f>'Fil de l''eau'!BD106</f>
        <v>0</v>
      </c>
    </row>
    <row r="67" spans="1:55" ht="30" hidden="1" outlineLevel="1" x14ac:dyDescent="0.25">
      <c r="A67" s="10">
        <f>'Fil de l''eau'!A107</f>
        <v>0</v>
      </c>
      <c r="B67" s="11">
        <f>'Fil de l''eau'!B107</f>
        <v>0</v>
      </c>
      <c r="C67" s="11">
        <f>'Fil de l''eau'!C107</f>
        <v>0</v>
      </c>
      <c r="D67" s="12">
        <f>'Fil de l''eau'!D107</f>
        <v>0</v>
      </c>
      <c r="E67" s="12">
        <f>'Fil de l''eau'!E107</f>
        <v>0</v>
      </c>
      <c r="F67" s="13">
        <f>'Fil de l''eau'!F107</f>
        <v>0</v>
      </c>
      <c r="G67" s="13">
        <f>'Fil de l''eau'!G107</f>
        <v>0</v>
      </c>
      <c r="H67" s="13">
        <f>'Fil de l''eau'!H107</f>
        <v>0</v>
      </c>
      <c r="I67" s="14">
        <f>'Fil de l''eau'!I107</f>
        <v>0</v>
      </c>
      <c r="J67" s="13">
        <f>'Fil de l''eau'!J107</f>
        <v>0</v>
      </c>
      <c r="K67" s="13">
        <f>'Fil de l''eau'!K107</f>
        <v>0</v>
      </c>
      <c r="L67" s="14">
        <f>'Fil de l''eau'!L107</f>
        <v>0</v>
      </c>
      <c r="M67" s="13">
        <f>'Fil de l''eau'!M107</f>
        <v>0</v>
      </c>
      <c r="N67" s="14">
        <f>'Fil de l''eau'!N107</f>
        <v>0</v>
      </c>
      <c r="O67" s="13">
        <f>'Fil de l''eau'!O107</f>
        <v>0</v>
      </c>
      <c r="P67" s="13">
        <f>'Fil de l''eau'!P107</f>
        <v>0</v>
      </c>
      <c r="Q67" s="13">
        <f>'Fil de l''eau'!Q107</f>
        <v>0</v>
      </c>
      <c r="R67" s="13">
        <f>'Fil de l''eau'!R107</f>
        <v>0</v>
      </c>
      <c r="S67" s="13">
        <f>'Fil de l''eau'!S107</f>
        <v>0</v>
      </c>
      <c r="T67" s="13">
        <f>'Fil de l''eau'!T107</f>
        <v>0</v>
      </c>
      <c r="U67" s="13">
        <f>'Fil de l''eau'!U107</f>
        <v>0</v>
      </c>
      <c r="V67" s="13">
        <f>'Fil de l''eau'!V107</f>
        <v>0</v>
      </c>
      <c r="W67" s="13">
        <f>'Fil de l''eau'!W107</f>
        <v>0</v>
      </c>
      <c r="X67" s="13">
        <f>'Fil de l''eau'!X107</f>
        <v>0</v>
      </c>
      <c r="Y67" s="13">
        <f>'Fil de l''eau'!Y107</f>
        <v>0</v>
      </c>
      <c r="Z67" s="13">
        <f>'Fil de l''eau'!Z107</f>
        <v>0</v>
      </c>
      <c r="AA67" s="13">
        <f>'Fil de l''eau'!AA107</f>
        <v>0</v>
      </c>
      <c r="AB67" s="13">
        <f>'Fil de l''eau'!AB107</f>
        <v>0</v>
      </c>
      <c r="AC67" s="13">
        <f>'Fil de l''eau'!AC107</f>
        <v>0</v>
      </c>
      <c r="AD67" s="13">
        <f>'Fil de l''eau'!AD107</f>
        <v>0</v>
      </c>
      <c r="AE67" s="13">
        <f>'Fil de l''eau'!AE107</f>
        <v>0</v>
      </c>
      <c r="AF67" s="13">
        <f>'Fil de l''eau'!AF107</f>
        <v>0</v>
      </c>
      <c r="AG67" s="13">
        <f>'Fil de l''eau'!AG107</f>
        <v>0</v>
      </c>
      <c r="AH67" s="13">
        <f>'Fil de l''eau'!AH107</f>
        <v>0</v>
      </c>
      <c r="AI67" s="13">
        <f>'Fil de l''eau'!AI107</f>
        <v>0</v>
      </c>
      <c r="AJ67" s="13">
        <f>'Fil de l''eau'!AJ107</f>
        <v>0</v>
      </c>
      <c r="AK67" s="13">
        <f>'Fil de l''eau'!AK107</f>
        <v>0</v>
      </c>
      <c r="AL67" s="13">
        <f>'Fil de l''eau'!AL107</f>
        <v>0</v>
      </c>
      <c r="AM67" s="13">
        <f>'Fil de l''eau'!AM107</f>
        <v>0</v>
      </c>
      <c r="AN67" s="13">
        <f>'Fil de l''eau'!AN107</f>
        <v>0</v>
      </c>
      <c r="AO67" s="13">
        <f>'Fil de l''eau'!AO107</f>
        <v>0</v>
      </c>
      <c r="AP67" s="13">
        <f>'Fil de l''eau'!AP107</f>
        <v>0</v>
      </c>
      <c r="AQ67" s="13">
        <f>'Fil de l''eau'!AQ107</f>
        <v>0</v>
      </c>
      <c r="AR67" s="13">
        <f>'Fil de l''eau'!AR107</f>
        <v>0</v>
      </c>
      <c r="AS67" s="13">
        <f>'Fil de l''eau'!AS107</f>
        <v>0</v>
      </c>
      <c r="AT67" s="13">
        <f>'Fil de l''eau'!AT107</f>
        <v>0</v>
      </c>
      <c r="AU67" s="13">
        <f>'Fil de l''eau'!AU107</f>
        <v>0</v>
      </c>
      <c r="AV67" s="13">
        <f>'Fil de l''eau'!AV107</f>
        <v>0</v>
      </c>
      <c r="AW67" s="13">
        <f>'Fil de l''eau'!AW107</f>
        <v>0</v>
      </c>
      <c r="AX67" s="13">
        <f>'Fil de l''eau'!AX107</f>
        <v>0</v>
      </c>
      <c r="AY67" s="13">
        <f>'Fil de l''eau'!AY107</f>
        <v>0</v>
      </c>
      <c r="AZ67" s="13">
        <f>'Fil de l''eau'!AZ107</f>
        <v>0</v>
      </c>
      <c r="BA67" s="11">
        <f>'Fil de l''eau'!BB107</f>
        <v>0</v>
      </c>
      <c r="BB67" s="15">
        <f>'Fil de l''eau'!BC107</f>
        <v>0</v>
      </c>
      <c r="BC67" s="16">
        <f>'Fil de l''eau'!BD107</f>
        <v>0</v>
      </c>
    </row>
    <row r="68" spans="1:55" ht="30" hidden="1" outlineLevel="1" x14ac:dyDescent="0.25">
      <c r="A68" s="17">
        <f>'Fil de l''eau'!A108</f>
        <v>0</v>
      </c>
      <c r="B68" s="18">
        <f>'Fil de l''eau'!B108</f>
        <v>0</v>
      </c>
      <c r="C68" s="18">
        <f>'Fil de l''eau'!C108</f>
        <v>0</v>
      </c>
      <c r="D68" s="19">
        <f>'Fil de l''eau'!D108</f>
        <v>0</v>
      </c>
      <c r="E68" s="19">
        <f>'Fil de l''eau'!E108</f>
        <v>0</v>
      </c>
      <c r="F68" s="20">
        <f>'Fil de l''eau'!F108</f>
        <v>0</v>
      </c>
      <c r="G68" s="20">
        <f>'Fil de l''eau'!G108</f>
        <v>0</v>
      </c>
      <c r="H68" s="20">
        <f>'Fil de l''eau'!H108</f>
        <v>0</v>
      </c>
      <c r="I68" s="21">
        <f>'Fil de l''eau'!I108</f>
        <v>0</v>
      </c>
      <c r="J68" s="20">
        <f>'Fil de l''eau'!J108</f>
        <v>0</v>
      </c>
      <c r="K68" s="20">
        <f>'Fil de l''eau'!K108</f>
        <v>0</v>
      </c>
      <c r="L68" s="21">
        <f>'Fil de l''eau'!L108</f>
        <v>0</v>
      </c>
      <c r="M68" s="20">
        <f>'Fil de l''eau'!M108</f>
        <v>0</v>
      </c>
      <c r="N68" s="21">
        <f>'Fil de l''eau'!N108</f>
        <v>0</v>
      </c>
      <c r="O68" s="20">
        <f>'Fil de l''eau'!O108</f>
        <v>0</v>
      </c>
      <c r="P68" s="20">
        <f>'Fil de l''eau'!P108</f>
        <v>0</v>
      </c>
      <c r="Q68" s="20">
        <f>'Fil de l''eau'!Q108</f>
        <v>0</v>
      </c>
      <c r="R68" s="20">
        <f>'Fil de l''eau'!R108</f>
        <v>0</v>
      </c>
      <c r="S68" s="20">
        <f>'Fil de l''eau'!S108</f>
        <v>0</v>
      </c>
      <c r="T68" s="20">
        <f>'Fil de l''eau'!T108</f>
        <v>0</v>
      </c>
      <c r="U68" s="20">
        <f>'Fil de l''eau'!U108</f>
        <v>0</v>
      </c>
      <c r="V68" s="20">
        <f>'Fil de l''eau'!V108</f>
        <v>0</v>
      </c>
      <c r="W68" s="20">
        <f>'Fil de l''eau'!W108</f>
        <v>0</v>
      </c>
      <c r="X68" s="20">
        <f>'Fil de l''eau'!X108</f>
        <v>0</v>
      </c>
      <c r="Y68" s="20">
        <f>'Fil de l''eau'!Y108</f>
        <v>0</v>
      </c>
      <c r="Z68" s="20">
        <f>'Fil de l''eau'!Z108</f>
        <v>0</v>
      </c>
      <c r="AA68" s="20">
        <f>'Fil de l''eau'!AA108</f>
        <v>0</v>
      </c>
      <c r="AB68" s="20">
        <f>'Fil de l''eau'!AB108</f>
        <v>0</v>
      </c>
      <c r="AC68" s="20">
        <f>'Fil de l''eau'!AC108</f>
        <v>0</v>
      </c>
      <c r="AD68" s="20">
        <f>'Fil de l''eau'!AD108</f>
        <v>0</v>
      </c>
      <c r="AE68" s="20">
        <f>'Fil de l''eau'!AE108</f>
        <v>0</v>
      </c>
      <c r="AF68" s="20">
        <f>'Fil de l''eau'!AF108</f>
        <v>0</v>
      </c>
      <c r="AG68" s="20">
        <f>'Fil de l''eau'!AG108</f>
        <v>0</v>
      </c>
      <c r="AH68" s="20">
        <f>'Fil de l''eau'!AH108</f>
        <v>0</v>
      </c>
      <c r="AI68" s="20">
        <f>'Fil de l''eau'!AI108</f>
        <v>0</v>
      </c>
      <c r="AJ68" s="20">
        <f>'Fil de l''eau'!AJ108</f>
        <v>0</v>
      </c>
      <c r="AK68" s="20">
        <f>'Fil de l''eau'!AK108</f>
        <v>0</v>
      </c>
      <c r="AL68" s="20">
        <f>'Fil de l''eau'!AL108</f>
        <v>0</v>
      </c>
      <c r="AM68" s="20">
        <f>'Fil de l''eau'!AM108</f>
        <v>0</v>
      </c>
      <c r="AN68" s="20">
        <f>'Fil de l''eau'!AN108</f>
        <v>0</v>
      </c>
      <c r="AO68" s="20">
        <f>'Fil de l''eau'!AO108</f>
        <v>0</v>
      </c>
      <c r="AP68" s="20">
        <f>'Fil de l''eau'!AP108</f>
        <v>0</v>
      </c>
      <c r="AQ68" s="20">
        <f>'Fil de l''eau'!AQ108</f>
        <v>0</v>
      </c>
      <c r="AR68" s="20">
        <f>'Fil de l''eau'!AR108</f>
        <v>0</v>
      </c>
      <c r="AS68" s="20">
        <f>'Fil de l''eau'!AS108</f>
        <v>0</v>
      </c>
      <c r="AT68" s="20">
        <f>'Fil de l''eau'!AT108</f>
        <v>0</v>
      </c>
      <c r="AU68" s="20">
        <f>'Fil de l''eau'!AU108</f>
        <v>0</v>
      </c>
      <c r="AV68" s="20">
        <f>'Fil de l''eau'!AV108</f>
        <v>0</v>
      </c>
      <c r="AW68" s="20">
        <f>'Fil de l''eau'!AW108</f>
        <v>0</v>
      </c>
      <c r="AX68" s="20">
        <f>'Fil de l''eau'!AX108</f>
        <v>0</v>
      </c>
      <c r="AY68" s="20">
        <f>'Fil de l''eau'!AY108</f>
        <v>0</v>
      </c>
      <c r="AZ68" s="20">
        <f>'Fil de l''eau'!AZ108</f>
        <v>0</v>
      </c>
      <c r="BA68" s="18">
        <f>'Fil de l''eau'!BB108</f>
        <v>0</v>
      </c>
      <c r="BB68" s="22">
        <f>'Fil de l''eau'!BC108</f>
        <v>0</v>
      </c>
      <c r="BC68" s="23">
        <f>'Fil de l''eau'!BD108</f>
        <v>0</v>
      </c>
    </row>
    <row r="69" spans="1:55" ht="30" hidden="1" outlineLevel="1" x14ac:dyDescent="0.25">
      <c r="A69" s="10">
        <f>'Fil de l''eau'!A109</f>
        <v>0</v>
      </c>
      <c r="B69" s="11">
        <f>'Fil de l''eau'!B109</f>
        <v>0</v>
      </c>
      <c r="C69" s="11">
        <f>'Fil de l''eau'!C109</f>
        <v>0</v>
      </c>
      <c r="D69" s="12">
        <f>'Fil de l''eau'!D109</f>
        <v>0</v>
      </c>
      <c r="E69" s="12">
        <f>'Fil de l''eau'!E109</f>
        <v>0</v>
      </c>
      <c r="F69" s="13">
        <f>'Fil de l''eau'!F109</f>
        <v>0</v>
      </c>
      <c r="G69" s="13">
        <f>'Fil de l''eau'!G109</f>
        <v>0</v>
      </c>
      <c r="H69" s="13">
        <f>'Fil de l''eau'!H109</f>
        <v>0</v>
      </c>
      <c r="I69" s="14">
        <f>'Fil de l''eau'!I109</f>
        <v>0</v>
      </c>
      <c r="J69" s="13">
        <f>'Fil de l''eau'!J109</f>
        <v>0</v>
      </c>
      <c r="K69" s="13">
        <f>'Fil de l''eau'!K109</f>
        <v>0</v>
      </c>
      <c r="L69" s="14">
        <f>'Fil de l''eau'!L109</f>
        <v>0</v>
      </c>
      <c r="M69" s="13">
        <f>'Fil de l''eau'!M109</f>
        <v>0</v>
      </c>
      <c r="N69" s="14">
        <f>'Fil de l''eau'!N109</f>
        <v>0</v>
      </c>
      <c r="O69" s="13">
        <f>'Fil de l''eau'!O109</f>
        <v>0</v>
      </c>
      <c r="P69" s="13">
        <f>'Fil de l''eau'!P109</f>
        <v>0</v>
      </c>
      <c r="Q69" s="13">
        <f>'Fil de l''eau'!Q109</f>
        <v>0</v>
      </c>
      <c r="R69" s="13">
        <f>'Fil de l''eau'!R109</f>
        <v>0</v>
      </c>
      <c r="S69" s="13">
        <f>'Fil de l''eau'!S109</f>
        <v>0</v>
      </c>
      <c r="T69" s="13">
        <f>'Fil de l''eau'!T109</f>
        <v>0</v>
      </c>
      <c r="U69" s="13">
        <f>'Fil de l''eau'!U109</f>
        <v>0</v>
      </c>
      <c r="V69" s="13">
        <f>'Fil de l''eau'!V109</f>
        <v>0</v>
      </c>
      <c r="W69" s="13">
        <f>'Fil de l''eau'!W109</f>
        <v>0</v>
      </c>
      <c r="X69" s="13">
        <f>'Fil de l''eau'!X109</f>
        <v>0</v>
      </c>
      <c r="Y69" s="13">
        <f>'Fil de l''eau'!Y109</f>
        <v>0</v>
      </c>
      <c r="Z69" s="13">
        <f>'Fil de l''eau'!Z109</f>
        <v>0</v>
      </c>
      <c r="AA69" s="13">
        <f>'Fil de l''eau'!AA109</f>
        <v>0</v>
      </c>
      <c r="AB69" s="13">
        <f>'Fil de l''eau'!AB109</f>
        <v>0</v>
      </c>
      <c r="AC69" s="13">
        <f>'Fil de l''eau'!AC109</f>
        <v>0</v>
      </c>
      <c r="AD69" s="13">
        <f>'Fil de l''eau'!AD109</f>
        <v>0</v>
      </c>
      <c r="AE69" s="13">
        <f>'Fil de l''eau'!AE109</f>
        <v>0</v>
      </c>
      <c r="AF69" s="13">
        <f>'Fil de l''eau'!AF109</f>
        <v>0</v>
      </c>
      <c r="AG69" s="13">
        <f>'Fil de l''eau'!AG109</f>
        <v>0</v>
      </c>
      <c r="AH69" s="13">
        <f>'Fil de l''eau'!AH109</f>
        <v>0</v>
      </c>
      <c r="AI69" s="13">
        <f>'Fil de l''eau'!AI109</f>
        <v>0</v>
      </c>
      <c r="AJ69" s="13">
        <f>'Fil de l''eau'!AJ109</f>
        <v>0</v>
      </c>
      <c r="AK69" s="13">
        <f>'Fil de l''eau'!AK109</f>
        <v>0</v>
      </c>
      <c r="AL69" s="13">
        <f>'Fil de l''eau'!AL109</f>
        <v>0</v>
      </c>
      <c r="AM69" s="13">
        <f>'Fil de l''eau'!AM109</f>
        <v>0</v>
      </c>
      <c r="AN69" s="13">
        <f>'Fil de l''eau'!AN109</f>
        <v>0</v>
      </c>
      <c r="AO69" s="13">
        <f>'Fil de l''eau'!AO109</f>
        <v>0</v>
      </c>
      <c r="AP69" s="13">
        <f>'Fil de l''eau'!AP109</f>
        <v>0</v>
      </c>
      <c r="AQ69" s="13">
        <f>'Fil de l''eau'!AQ109</f>
        <v>0</v>
      </c>
      <c r="AR69" s="13">
        <f>'Fil de l''eau'!AR109</f>
        <v>0</v>
      </c>
      <c r="AS69" s="13">
        <f>'Fil de l''eau'!AS109</f>
        <v>0</v>
      </c>
      <c r="AT69" s="13">
        <f>'Fil de l''eau'!AT109</f>
        <v>0</v>
      </c>
      <c r="AU69" s="13">
        <f>'Fil de l''eau'!AU109</f>
        <v>0</v>
      </c>
      <c r="AV69" s="13">
        <f>'Fil de l''eau'!AV109</f>
        <v>0</v>
      </c>
      <c r="AW69" s="13">
        <f>'Fil de l''eau'!AW109</f>
        <v>0</v>
      </c>
      <c r="AX69" s="13">
        <f>'Fil de l''eau'!AX109</f>
        <v>0</v>
      </c>
      <c r="AY69" s="13">
        <f>'Fil de l''eau'!AY109</f>
        <v>0</v>
      </c>
      <c r="AZ69" s="13">
        <f>'Fil de l''eau'!AZ109</f>
        <v>0</v>
      </c>
      <c r="BA69" s="11">
        <f>'Fil de l''eau'!BB109</f>
        <v>0</v>
      </c>
      <c r="BB69" s="15">
        <f>'Fil de l''eau'!BC109</f>
        <v>0</v>
      </c>
      <c r="BC69" s="16">
        <f>'Fil de l''eau'!BD109</f>
        <v>0</v>
      </c>
    </row>
    <row r="70" spans="1:55" ht="30" hidden="1" outlineLevel="1" x14ac:dyDescent="0.25">
      <c r="A70" s="17">
        <f>'Fil de l''eau'!A110</f>
        <v>0</v>
      </c>
      <c r="B70" s="18">
        <f>'Fil de l''eau'!B110</f>
        <v>0</v>
      </c>
      <c r="C70" s="18">
        <f>'Fil de l''eau'!C110</f>
        <v>0</v>
      </c>
      <c r="D70" s="19">
        <f>'Fil de l''eau'!D110</f>
        <v>0</v>
      </c>
      <c r="E70" s="19">
        <f>'Fil de l''eau'!E110</f>
        <v>0</v>
      </c>
      <c r="F70" s="20">
        <f>'Fil de l''eau'!F110</f>
        <v>0</v>
      </c>
      <c r="G70" s="20">
        <f>'Fil de l''eau'!G110</f>
        <v>0</v>
      </c>
      <c r="H70" s="20">
        <f>'Fil de l''eau'!H110</f>
        <v>0</v>
      </c>
      <c r="I70" s="21">
        <f>'Fil de l''eau'!I110</f>
        <v>0</v>
      </c>
      <c r="J70" s="20">
        <f>'Fil de l''eau'!J110</f>
        <v>0</v>
      </c>
      <c r="K70" s="20">
        <f>'Fil de l''eau'!K110</f>
        <v>0</v>
      </c>
      <c r="L70" s="21">
        <f>'Fil de l''eau'!L110</f>
        <v>0</v>
      </c>
      <c r="M70" s="20">
        <f>'Fil de l''eau'!M110</f>
        <v>0</v>
      </c>
      <c r="N70" s="21">
        <f>'Fil de l''eau'!N110</f>
        <v>0</v>
      </c>
      <c r="O70" s="20">
        <f>'Fil de l''eau'!O110</f>
        <v>0</v>
      </c>
      <c r="P70" s="20">
        <f>'Fil de l''eau'!P110</f>
        <v>0</v>
      </c>
      <c r="Q70" s="20">
        <f>'Fil de l''eau'!Q110</f>
        <v>0</v>
      </c>
      <c r="R70" s="20">
        <f>'Fil de l''eau'!R110</f>
        <v>0</v>
      </c>
      <c r="S70" s="20">
        <f>'Fil de l''eau'!S110</f>
        <v>0</v>
      </c>
      <c r="T70" s="20">
        <f>'Fil de l''eau'!T110</f>
        <v>0</v>
      </c>
      <c r="U70" s="20">
        <f>'Fil de l''eau'!U110</f>
        <v>0</v>
      </c>
      <c r="V70" s="20">
        <f>'Fil de l''eau'!V110</f>
        <v>0</v>
      </c>
      <c r="W70" s="20">
        <f>'Fil de l''eau'!W110</f>
        <v>0</v>
      </c>
      <c r="X70" s="20">
        <f>'Fil de l''eau'!X110</f>
        <v>0</v>
      </c>
      <c r="Y70" s="20">
        <f>'Fil de l''eau'!Y110</f>
        <v>0</v>
      </c>
      <c r="Z70" s="20">
        <f>'Fil de l''eau'!Z110</f>
        <v>0</v>
      </c>
      <c r="AA70" s="20">
        <f>'Fil de l''eau'!AA110</f>
        <v>0</v>
      </c>
      <c r="AB70" s="20">
        <f>'Fil de l''eau'!AB110</f>
        <v>0</v>
      </c>
      <c r="AC70" s="20">
        <f>'Fil de l''eau'!AC110</f>
        <v>0</v>
      </c>
      <c r="AD70" s="20">
        <f>'Fil de l''eau'!AD110</f>
        <v>0</v>
      </c>
      <c r="AE70" s="20">
        <f>'Fil de l''eau'!AE110</f>
        <v>0</v>
      </c>
      <c r="AF70" s="20">
        <f>'Fil de l''eau'!AF110</f>
        <v>0</v>
      </c>
      <c r="AG70" s="20">
        <f>'Fil de l''eau'!AG110</f>
        <v>0</v>
      </c>
      <c r="AH70" s="20">
        <f>'Fil de l''eau'!AH110</f>
        <v>0</v>
      </c>
      <c r="AI70" s="20">
        <f>'Fil de l''eau'!AI110</f>
        <v>0</v>
      </c>
      <c r="AJ70" s="20">
        <f>'Fil de l''eau'!AJ110</f>
        <v>0</v>
      </c>
      <c r="AK70" s="20">
        <f>'Fil de l''eau'!AK110</f>
        <v>0</v>
      </c>
      <c r="AL70" s="20">
        <f>'Fil de l''eau'!AL110</f>
        <v>0</v>
      </c>
      <c r="AM70" s="20">
        <f>'Fil de l''eau'!AM110</f>
        <v>0</v>
      </c>
      <c r="AN70" s="20">
        <f>'Fil de l''eau'!AN110</f>
        <v>0</v>
      </c>
      <c r="AO70" s="20">
        <f>'Fil de l''eau'!AO110</f>
        <v>0</v>
      </c>
      <c r="AP70" s="20">
        <f>'Fil de l''eau'!AP110</f>
        <v>0</v>
      </c>
      <c r="AQ70" s="20">
        <f>'Fil de l''eau'!AQ110</f>
        <v>0</v>
      </c>
      <c r="AR70" s="20">
        <f>'Fil de l''eau'!AR110</f>
        <v>0</v>
      </c>
      <c r="AS70" s="20">
        <f>'Fil de l''eau'!AS110</f>
        <v>0</v>
      </c>
      <c r="AT70" s="20">
        <f>'Fil de l''eau'!AT110</f>
        <v>0</v>
      </c>
      <c r="AU70" s="20">
        <f>'Fil de l''eau'!AU110</f>
        <v>0</v>
      </c>
      <c r="AV70" s="20">
        <f>'Fil de l''eau'!AV110</f>
        <v>0</v>
      </c>
      <c r="AW70" s="20">
        <f>'Fil de l''eau'!AW110</f>
        <v>0</v>
      </c>
      <c r="AX70" s="20">
        <f>'Fil de l''eau'!AX110</f>
        <v>0</v>
      </c>
      <c r="AY70" s="20">
        <f>'Fil de l''eau'!AY110</f>
        <v>0</v>
      </c>
      <c r="AZ70" s="20">
        <f>'Fil de l''eau'!AZ110</f>
        <v>0</v>
      </c>
      <c r="BA70" s="18">
        <f>'Fil de l''eau'!BB110</f>
        <v>0</v>
      </c>
      <c r="BB70" s="22">
        <f>'Fil de l''eau'!BC110</f>
        <v>0</v>
      </c>
      <c r="BC70" s="23">
        <f>'Fil de l''eau'!BD110</f>
        <v>0</v>
      </c>
    </row>
    <row r="71" spans="1:55" ht="30" hidden="1" outlineLevel="1" x14ac:dyDescent="0.25">
      <c r="A71" s="10">
        <f>'Fil de l''eau'!A111</f>
        <v>0</v>
      </c>
      <c r="B71" s="11">
        <f>'Fil de l''eau'!B111</f>
        <v>0</v>
      </c>
      <c r="C71" s="11">
        <f>'Fil de l''eau'!C111</f>
        <v>0</v>
      </c>
      <c r="D71" s="12">
        <f>'Fil de l''eau'!D111</f>
        <v>0</v>
      </c>
      <c r="E71" s="12">
        <f>'Fil de l''eau'!E111</f>
        <v>0</v>
      </c>
      <c r="F71" s="13">
        <f>'Fil de l''eau'!F111</f>
        <v>0</v>
      </c>
      <c r="G71" s="13">
        <f>'Fil de l''eau'!G111</f>
        <v>0</v>
      </c>
      <c r="H71" s="13">
        <f>'Fil de l''eau'!H111</f>
        <v>0</v>
      </c>
      <c r="I71" s="14">
        <f>'Fil de l''eau'!I111</f>
        <v>0</v>
      </c>
      <c r="J71" s="13">
        <f>'Fil de l''eau'!J111</f>
        <v>0</v>
      </c>
      <c r="K71" s="13">
        <f>'Fil de l''eau'!K111</f>
        <v>0</v>
      </c>
      <c r="L71" s="14">
        <f>'Fil de l''eau'!L111</f>
        <v>0</v>
      </c>
      <c r="M71" s="13">
        <f>'Fil de l''eau'!M111</f>
        <v>0</v>
      </c>
      <c r="N71" s="14">
        <f>'Fil de l''eau'!N111</f>
        <v>0</v>
      </c>
      <c r="O71" s="13">
        <f>'Fil de l''eau'!O111</f>
        <v>0</v>
      </c>
      <c r="P71" s="13">
        <f>'Fil de l''eau'!P111</f>
        <v>0</v>
      </c>
      <c r="Q71" s="13">
        <f>'Fil de l''eau'!Q111</f>
        <v>0</v>
      </c>
      <c r="R71" s="13">
        <f>'Fil de l''eau'!R111</f>
        <v>0</v>
      </c>
      <c r="S71" s="13">
        <f>'Fil de l''eau'!S111</f>
        <v>0</v>
      </c>
      <c r="T71" s="13">
        <f>'Fil de l''eau'!T111</f>
        <v>0</v>
      </c>
      <c r="U71" s="13">
        <f>'Fil de l''eau'!U111</f>
        <v>0</v>
      </c>
      <c r="V71" s="13">
        <f>'Fil de l''eau'!V111</f>
        <v>0</v>
      </c>
      <c r="W71" s="13">
        <f>'Fil de l''eau'!W111</f>
        <v>0</v>
      </c>
      <c r="X71" s="13">
        <f>'Fil de l''eau'!X111</f>
        <v>0</v>
      </c>
      <c r="Y71" s="13">
        <f>'Fil de l''eau'!Y111</f>
        <v>0</v>
      </c>
      <c r="Z71" s="13">
        <f>'Fil de l''eau'!Z111</f>
        <v>0</v>
      </c>
      <c r="AA71" s="13">
        <f>'Fil de l''eau'!AA111</f>
        <v>0</v>
      </c>
      <c r="AB71" s="13">
        <f>'Fil de l''eau'!AB111</f>
        <v>0</v>
      </c>
      <c r="AC71" s="13">
        <f>'Fil de l''eau'!AC111</f>
        <v>0</v>
      </c>
      <c r="AD71" s="13">
        <f>'Fil de l''eau'!AD111</f>
        <v>0</v>
      </c>
      <c r="AE71" s="13">
        <f>'Fil de l''eau'!AE111</f>
        <v>0</v>
      </c>
      <c r="AF71" s="13">
        <f>'Fil de l''eau'!AF111</f>
        <v>0</v>
      </c>
      <c r="AG71" s="13">
        <f>'Fil de l''eau'!AG111</f>
        <v>0</v>
      </c>
      <c r="AH71" s="13">
        <f>'Fil de l''eau'!AH111</f>
        <v>0</v>
      </c>
      <c r="AI71" s="13">
        <f>'Fil de l''eau'!AI111</f>
        <v>0</v>
      </c>
      <c r="AJ71" s="13">
        <f>'Fil de l''eau'!AJ111</f>
        <v>0</v>
      </c>
      <c r="AK71" s="13">
        <f>'Fil de l''eau'!AK111</f>
        <v>0</v>
      </c>
      <c r="AL71" s="13">
        <f>'Fil de l''eau'!AL111</f>
        <v>0</v>
      </c>
      <c r="AM71" s="13">
        <f>'Fil de l''eau'!AM111</f>
        <v>0</v>
      </c>
      <c r="AN71" s="13">
        <f>'Fil de l''eau'!AN111</f>
        <v>0</v>
      </c>
      <c r="AO71" s="13">
        <f>'Fil de l''eau'!AO111</f>
        <v>0</v>
      </c>
      <c r="AP71" s="13">
        <f>'Fil de l''eau'!AP111</f>
        <v>0</v>
      </c>
      <c r="AQ71" s="13">
        <f>'Fil de l''eau'!AQ111</f>
        <v>0</v>
      </c>
      <c r="AR71" s="13">
        <f>'Fil de l''eau'!AR111</f>
        <v>0</v>
      </c>
      <c r="AS71" s="13">
        <f>'Fil de l''eau'!AS111</f>
        <v>0</v>
      </c>
      <c r="AT71" s="13">
        <f>'Fil de l''eau'!AT111</f>
        <v>0</v>
      </c>
      <c r="AU71" s="13">
        <f>'Fil de l''eau'!AU111</f>
        <v>0</v>
      </c>
      <c r="AV71" s="13">
        <f>'Fil de l''eau'!AV111</f>
        <v>0</v>
      </c>
      <c r="AW71" s="13">
        <f>'Fil de l''eau'!AW111</f>
        <v>0</v>
      </c>
      <c r="AX71" s="13">
        <f>'Fil de l''eau'!AX111</f>
        <v>0</v>
      </c>
      <c r="AY71" s="13">
        <f>'Fil de l''eau'!AY111</f>
        <v>0</v>
      </c>
      <c r="AZ71" s="13">
        <f>'Fil de l''eau'!AZ111</f>
        <v>0</v>
      </c>
      <c r="BA71" s="11">
        <f>'Fil de l''eau'!BB111</f>
        <v>0</v>
      </c>
      <c r="BB71" s="15">
        <f>'Fil de l''eau'!BC111</f>
        <v>0</v>
      </c>
      <c r="BC71" s="16">
        <f>'Fil de l''eau'!BD111</f>
        <v>0</v>
      </c>
    </row>
    <row r="72" spans="1:55" ht="30" hidden="1" outlineLevel="1" x14ac:dyDescent="0.25">
      <c r="A72" s="17">
        <f>'Fil de l''eau'!A112</f>
        <v>0</v>
      </c>
      <c r="B72" s="18">
        <f>'Fil de l''eau'!B112</f>
        <v>0</v>
      </c>
      <c r="C72" s="18">
        <f>'Fil de l''eau'!C112</f>
        <v>0</v>
      </c>
      <c r="D72" s="19">
        <f>'Fil de l''eau'!D112</f>
        <v>0</v>
      </c>
      <c r="E72" s="19">
        <f>'Fil de l''eau'!E112</f>
        <v>0</v>
      </c>
      <c r="F72" s="20">
        <f>'Fil de l''eau'!F112</f>
        <v>0</v>
      </c>
      <c r="G72" s="20">
        <f>'Fil de l''eau'!G112</f>
        <v>0</v>
      </c>
      <c r="H72" s="20">
        <f>'Fil de l''eau'!H112</f>
        <v>0</v>
      </c>
      <c r="I72" s="21">
        <f>'Fil de l''eau'!I112</f>
        <v>0</v>
      </c>
      <c r="J72" s="20">
        <f>'Fil de l''eau'!J112</f>
        <v>0</v>
      </c>
      <c r="K72" s="20">
        <f>'Fil de l''eau'!K112</f>
        <v>0</v>
      </c>
      <c r="L72" s="21">
        <f>'Fil de l''eau'!L112</f>
        <v>0</v>
      </c>
      <c r="M72" s="20">
        <f>'Fil de l''eau'!M112</f>
        <v>0</v>
      </c>
      <c r="N72" s="21">
        <f>'Fil de l''eau'!N112</f>
        <v>0</v>
      </c>
      <c r="O72" s="20">
        <f>'Fil de l''eau'!O112</f>
        <v>0</v>
      </c>
      <c r="P72" s="20">
        <f>'Fil de l''eau'!P112</f>
        <v>0</v>
      </c>
      <c r="Q72" s="20">
        <f>'Fil de l''eau'!Q112</f>
        <v>0</v>
      </c>
      <c r="R72" s="20">
        <f>'Fil de l''eau'!R112</f>
        <v>0</v>
      </c>
      <c r="S72" s="20">
        <f>'Fil de l''eau'!S112</f>
        <v>0</v>
      </c>
      <c r="T72" s="20">
        <f>'Fil de l''eau'!T112</f>
        <v>0</v>
      </c>
      <c r="U72" s="20">
        <f>'Fil de l''eau'!U112</f>
        <v>0</v>
      </c>
      <c r="V72" s="20">
        <f>'Fil de l''eau'!V112</f>
        <v>0</v>
      </c>
      <c r="W72" s="20">
        <f>'Fil de l''eau'!W112</f>
        <v>0</v>
      </c>
      <c r="X72" s="20">
        <f>'Fil de l''eau'!X112</f>
        <v>0</v>
      </c>
      <c r="Y72" s="20">
        <f>'Fil de l''eau'!Y112</f>
        <v>0</v>
      </c>
      <c r="Z72" s="20">
        <f>'Fil de l''eau'!Z112</f>
        <v>0</v>
      </c>
      <c r="AA72" s="20">
        <f>'Fil de l''eau'!AA112</f>
        <v>0</v>
      </c>
      <c r="AB72" s="20">
        <f>'Fil de l''eau'!AB112</f>
        <v>0</v>
      </c>
      <c r="AC72" s="20">
        <f>'Fil de l''eau'!AC112</f>
        <v>0</v>
      </c>
      <c r="AD72" s="20">
        <f>'Fil de l''eau'!AD112</f>
        <v>0</v>
      </c>
      <c r="AE72" s="20">
        <f>'Fil de l''eau'!AE112</f>
        <v>0</v>
      </c>
      <c r="AF72" s="20">
        <f>'Fil de l''eau'!AF112</f>
        <v>0</v>
      </c>
      <c r="AG72" s="20">
        <f>'Fil de l''eau'!AG112</f>
        <v>0</v>
      </c>
      <c r="AH72" s="20">
        <f>'Fil de l''eau'!AH112</f>
        <v>0</v>
      </c>
      <c r="AI72" s="20">
        <f>'Fil de l''eau'!AI112</f>
        <v>0</v>
      </c>
      <c r="AJ72" s="20">
        <f>'Fil de l''eau'!AJ112</f>
        <v>0</v>
      </c>
      <c r="AK72" s="20">
        <f>'Fil de l''eau'!AK112</f>
        <v>0</v>
      </c>
      <c r="AL72" s="20">
        <f>'Fil de l''eau'!AL112</f>
        <v>0</v>
      </c>
      <c r="AM72" s="20">
        <f>'Fil de l''eau'!AM112</f>
        <v>0</v>
      </c>
      <c r="AN72" s="20">
        <f>'Fil de l''eau'!AN112</f>
        <v>0</v>
      </c>
      <c r="AO72" s="20">
        <f>'Fil de l''eau'!AO112</f>
        <v>0</v>
      </c>
      <c r="AP72" s="20">
        <f>'Fil de l''eau'!AP112</f>
        <v>0</v>
      </c>
      <c r="AQ72" s="20">
        <f>'Fil de l''eau'!AQ112</f>
        <v>0</v>
      </c>
      <c r="AR72" s="20">
        <f>'Fil de l''eau'!AR112</f>
        <v>0</v>
      </c>
      <c r="AS72" s="20">
        <f>'Fil de l''eau'!AS112</f>
        <v>0</v>
      </c>
      <c r="AT72" s="20">
        <f>'Fil de l''eau'!AT112</f>
        <v>0</v>
      </c>
      <c r="AU72" s="20">
        <f>'Fil de l''eau'!AU112</f>
        <v>0</v>
      </c>
      <c r="AV72" s="20">
        <f>'Fil de l''eau'!AV112</f>
        <v>0</v>
      </c>
      <c r="AW72" s="20">
        <f>'Fil de l''eau'!AW112</f>
        <v>0</v>
      </c>
      <c r="AX72" s="20">
        <f>'Fil de l''eau'!AX112</f>
        <v>0</v>
      </c>
      <c r="AY72" s="20">
        <f>'Fil de l''eau'!AY112</f>
        <v>0</v>
      </c>
      <c r="AZ72" s="20">
        <f>'Fil de l''eau'!AZ112</f>
        <v>0</v>
      </c>
      <c r="BA72" s="18">
        <f>'Fil de l''eau'!BB112</f>
        <v>0</v>
      </c>
      <c r="BB72" s="22">
        <f>'Fil de l''eau'!BC112</f>
        <v>0</v>
      </c>
      <c r="BC72" s="23">
        <f>'Fil de l''eau'!BD112</f>
        <v>0</v>
      </c>
    </row>
    <row r="73" spans="1:55" ht="30" hidden="1" outlineLevel="1" x14ac:dyDescent="0.25">
      <c r="A73" s="10">
        <f>'Fil de l''eau'!A113</f>
        <v>0</v>
      </c>
      <c r="B73" s="11">
        <f>'Fil de l''eau'!B113</f>
        <v>0</v>
      </c>
      <c r="C73" s="11">
        <f>'Fil de l''eau'!C113</f>
        <v>0</v>
      </c>
      <c r="D73" s="12">
        <f>'Fil de l''eau'!D113</f>
        <v>0</v>
      </c>
      <c r="E73" s="12">
        <f>'Fil de l''eau'!E113</f>
        <v>0</v>
      </c>
      <c r="F73" s="13">
        <f>'Fil de l''eau'!F113</f>
        <v>0</v>
      </c>
      <c r="G73" s="13">
        <f>'Fil de l''eau'!G113</f>
        <v>0</v>
      </c>
      <c r="H73" s="13">
        <f>'Fil de l''eau'!H113</f>
        <v>0</v>
      </c>
      <c r="I73" s="14">
        <f>'Fil de l''eau'!I113</f>
        <v>0</v>
      </c>
      <c r="J73" s="13">
        <f>'Fil de l''eau'!J113</f>
        <v>0</v>
      </c>
      <c r="K73" s="13">
        <f>'Fil de l''eau'!K113</f>
        <v>0</v>
      </c>
      <c r="L73" s="14">
        <f>'Fil de l''eau'!L113</f>
        <v>0</v>
      </c>
      <c r="M73" s="13">
        <f>'Fil de l''eau'!M113</f>
        <v>0</v>
      </c>
      <c r="N73" s="14">
        <f>'Fil de l''eau'!N113</f>
        <v>0</v>
      </c>
      <c r="O73" s="13">
        <f>'Fil de l''eau'!O113</f>
        <v>0</v>
      </c>
      <c r="P73" s="13">
        <f>'Fil de l''eau'!P113</f>
        <v>0</v>
      </c>
      <c r="Q73" s="13">
        <f>'Fil de l''eau'!Q113</f>
        <v>0</v>
      </c>
      <c r="R73" s="13">
        <f>'Fil de l''eau'!R113</f>
        <v>0</v>
      </c>
      <c r="S73" s="13">
        <f>'Fil de l''eau'!S113</f>
        <v>0</v>
      </c>
      <c r="T73" s="13">
        <f>'Fil de l''eau'!T113</f>
        <v>0</v>
      </c>
      <c r="U73" s="13">
        <f>'Fil de l''eau'!U113</f>
        <v>0</v>
      </c>
      <c r="V73" s="13">
        <f>'Fil de l''eau'!V113</f>
        <v>0</v>
      </c>
      <c r="W73" s="13">
        <f>'Fil de l''eau'!W113</f>
        <v>0</v>
      </c>
      <c r="X73" s="13">
        <f>'Fil de l''eau'!X113</f>
        <v>0</v>
      </c>
      <c r="Y73" s="13">
        <f>'Fil de l''eau'!Y113</f>
        <v>0</v>
      </c>
      <c r="Z73" s="13">
        <f>'Fil de l''eau'!Z113</f>
        <v>0</v>
      </c>
      <c r="AA73" s="13">
        <f>'Fil de l''eau'!AA113</f>
        <v>0</v>
      </c>
      <c r="AB73" s="13">
        <f>'Fil de l''eau'!AB113</f>
        <v>0</v>
      </c>
      <c r="AC73" s="13">
        <f>'Fil de l''eau'!AC113</f>
        <v>0</v>
      </c>
      <c r="AD73" s="13">
        <f>'Fil de l''eau'!AD113</f>
        <v>0</v>
      </c>
      <c r="AE73" s="13">
        <f>'Fil de l''eau'!AE113</f>
        <v>0</v>
      </c>
      <c r="AF73" s="13">
        <f>'Fil de l''eau'!AF113</f>
        <v>0</v>
      </c>
      <c r="AG73" s="13">
        <f>'Fil de l''eau'!AG113</f>
        <v>0</v>
      </c>
      <c r="AH73" s="13">
        <f>'Fil de l''eau'!AH113</f>
        <v>0</v>
      </c>
      <c r="AI73" s="13">
        <f>'Fil de l''eau'!AI113</f>
        <v>0</v>
      </c>
      <c r="AJ73" s="13">
        <f>'Fil de l''eau'!AJ113</f>
        <v>0</v>
      </c>
      <c r="AK73" s="13">
        <f>'Fil de l''eau'!AK113</f>
        <v>0</v>
      </c>
      <c r="AL73" s="13">
        <f>'Fil de l''eau'!AL113</f>
        <v>0</v>
      </c>
      <c r="AM73" s="13">
        <f>'Fil de l''eau'!AM113</f>
        <v>0</v>
      </c>
      <c r="AN73" s="13">
        <f>'Fil de l''eau'!AN113</f>
        <v>0</v>
      </c>
      <c r="AO73" s="13">
        <f>'Fil de l''eau'!AO113</f>
        <v>0</v>
      </c>
      <c r="AP73" s="13">
        <f>'Fil de l''eau'!AP113</f>
        <v>0</v>
      </c>
      <c r="AQ73" s="13">
        <f>'Fil de l''eau'!AQ113</f>
        <v>0</v>
      </c>
      <c r="AR73" s="13">
        <f>'Fil de l''eau'!AR113</f>
        <v>0</v>
      </c>
      <c r="AS73" s="13">
        <f>'Fil de l''eau'!AS113</f>
        <v>0</v>
      </c>
      <c r="AT73" s="13">
        <f>'Fil de l''eau'!AT113</f>
        <v>0</v>
      </c>
      <c r="AU73" s="13">
        <f>'Fil de l''eau'!AU113</f>
        <v>0</v>
      </c>
      <c r="AV73" s="13">
        <f>'Fil de l''eau'!AV113</f>
        <v>0</v>
      </c>
      <c r="AW73" s="13">
        <f>'Fil de l''eau'!AW113</f>
        <v>0</v>
      </c>
      <c r="AX73" s="13">
        <f>'Fil de l''eau'!AX113</f>
        <v>0</v>
      </c>
      <c r="AY73" s="13">
        <f>'Fil de l''eau'!AY113</f>
        <v>0</v>
      </c>
      <c r="AZ73" s="13">
        <f>'Fil de l''eau'!AZ113</f>
        <v>0</v>
      </c>
      <c r="BA73" s="11">
        <f>'Fil de l''eau'!BB113</f>
        <v>0</v>
      </c>
      <c r="BB73" s="15">
        <f>'Fil de l''eau'!BC113</f>
        <v>0</v>
      </c>
      <c r="BC73" s="16">
        <f>'Fil de l''eau'!BD113</f>
        <v>0</v>
      </c>
    </row>
    <row r="74" spans="1:55" ht="45" hidden="1" outlineLevel="1" x14ac:dyDescent="0.25">
      <c r="A74" s="17">
        <f>'Fil de l''eau'!A114</f>
        <v>0</v>
      </c>
      <c r="B74" s="18">
        <f>'Fil de l''eau'!B114</f>
        <v>0</v>
      </c>
      <c r="C74" s="18">
        <f>'Fil de l''eau'!C114</f>
        <v>0</v>
      </c>
      <c r="D74" s="19">
        <f>'Fil de l''eau'!D114</f>
        <v>0</v>
      </c>
      <c r="E74" s="19">
        <f>'Fil de l''eau'!E114</f>
        <v>0</v>
      </c>
      <c r="F74" s="20">
        <f>'Fil de l''eau'!F114</f>
        <v>0</v>
      </c>
      <c r="G74" s="20">
        <f>'Fil de l''eau'!G114</f>
        <v>0</v>
      </c>
      <c r="H74" s="20">
        <f>'Fil de l''eau'!H114</f>
        <v>0</v>
      </c>
      <c r="I74" s="21">
        <f>'Fil de l''eau'!I114</f>
        <v>0</v>
      </c>
      <c r="J74" s="20">
        <f>'Fil de l''eau'!J114</f>
        <v>0</v>
      </c>
      <c r="K74" s="20">
        <f>'Fil de l''eau'!K114</f>
        <v>0</v>
      </c>
      <c r="L74" s="21">
        <f>'Fil de l''eau'!L114</f>
        <v>0</v>
      </c>
      <c r="M74" s="20">
        <f>'Fil de l''eau'!M114</f>
        <v>0</v>
      </c>
      <c r="N74" s="21">
        <f>'Fil de l''eau'!N114</f>
        <v>0</v>
      </c>
      <c r="O74" s="20">
        <f>'Fil de l''eau'!O114</f>
        <v>0</v>
      </c>
      <c r="P74" s="20">
        <f>'Fil de l''eau'!P114</f>
        <v>0</v>
      </c>
      <c r="Q74" s="20">
        <f>'Fil de l''eau'!Q114</f>
        <v>0</v>
      </c>
      <c r="R74" s="20">
        <f>'Fil de l''eau'!R114</f>
        <v>0</v>
      </c>
      <c r="S74" s="20">
        <f>'Fil de l''eau'!S114</f>
        <v>0</v>
      </c>
      <c r="T74" s="20">
        <f>'Fil de l''eau'!T114</f>
        <v>0</v>
      </c>
      <c r="U74" s="20">
        <f>'Fil de l''eau'!U114</f>
        <v>0</v>
      </c>
      <c r="V74" s="20">
        <f>'Fil de l''eau'!V114</f>
        <v>0</v>
      </c>
      <c r="W74" s="20">
        <f>'Fil de l''eau'!W114</f>
        <v>0</v>
      </c>
      <c r="X74" s="20">
        <f>'Fil de l''eau'!X114</f>
        <v>0</v>
      </c>
      <c r="Y74" s="20">
        <f>'Fil de l''eau'!Y114</f>
        <v>0</v>
      </c>
      <c r="Z74" s="20">
        <f>'Fil de l''eau'!Z114</f>
        <v>0</v>
      </c>
      <c r="AA74" s="20">
        <f>'Fil de l''eau'!AA114</f>
        <v>0</v>
      </c>
      <c r="AB74" s="20">
        <f>'Fil de l''eau'!AB114</f>
        <v>0</v>
      </c>
      <c r="AC74" s="20">
        <f>'Fil de l''eau'!AC114</f>
        <v>0</v>
      </c>
      <c r="AD74" s="20">
        <f>'Fil de l''eau'!AD114</f>
        <v>0</v>
      </c>
      <c r="AE74" s="20">
        <f>'Fil de l''eau'!AE114</f>
        <v>0</v>
      </c>
      <c r="AF74" s="20">
        <f>'Fil de l''eau'!AF114</f>
        <v>0</v>
      </c>
      <c r="AG74" s="20">
        <f>'Fil de l''eau'!AG114</f>
        <v>0</v>
      </c>
      <c r="AH74" s="20">
        <f>'Fil de l''eau'!AH114</f>
        <v>0</v>
      </c>
      <c r="AI74" s="20">
        <f>'Fil de l''eau'!AI114</f>
        <v>0</v>
      </c>
      <c r="AJ74" s="20">
        <f>'Fil de l''eau'!AJ114</f>
        <v>0</v>
      </c>
      <c r="AK74" s="20">
        <f>'Fil de l''eau'!AK114</f>
        <v>0</v>
      </c>
      <c r="AL74" s="20">
        <f>'Fil de l''eau'!AL114</f>
        <v>0</v>
      </c>
      <c r="AM74" s="20">
        <f>'Fil de l''eau'!AM114</f>
        <v>0</v>
      </c>
      <c r="AN74" s="20">
        <f>'Fil de l''eau'!AN114</f>
        <v>0</v>
      </c>
      <c r="AO74" s="20">
        <f>'Fil de l''eau'!AO114</f>
        <v>0</v>
      </c>
      <c r="AP74" s="20">
        <f>'Fil de l''eau'!AP114</f>
        <v>0</v>
      </c>
      <c r="AQ74" s="20">
        <f>'Fil de l''eau'!AQ114</f>
        <v>0</v>
      </c>
      <c r="AR74" s="20">
        <f>'Fil de l''eau'!AR114</f>
        <v>0</v>
      </c>
      <c r="AS74" s="20">
        <f>'Fil de l''eau'!AS114</f>
        <v>0</v>
      </c>
      <c r="AT74" s="20">
        <f>'Fil de l''eau'!AT114</f>
        <v>0</v>
      </c>
      <c r="AU74" s="20">
        <f>'Fil de l''eau'!AU114</f>
        <v>0</v>
      </c>
      <c r="AV74" s="20">
        <f>'Fil de l''eau'!AV114</f>
        <v>0</v>
      </c>
      <c r="AW74" s="20">
        <f>'Fil de l''eau'!AW114</f>
        <v>0</v>
      </c>
      <c r="AX74" s="20">
        <f>'Fil de l''eau'!AX114</f>
        <v>0</v>
      </c>
      <c r="AY74" s="20">
        <f>'Fil de l''eau'!AY114</f>
        <v>0</v>
      </c>
      <c r="AZ74" s="20">
        <f>'Fil de l''eau'!AZ114</f>
        <v>0</v>
      </c>
      <c r="BA74" s="18">
        <f>'Fil de l''eau'!BB114</f>
        <v>0</v>
      </c>
      <c r="BB74" s="22">
        <f>'Fil de l''eau'!BC114</f>
        <v>0</v>
      </c>
      <c r="BC74" s="23">
        <f>'Fil de l''eau'!BD114</f>
        <v>0</v>
      </c>
    </row>
    <row r="75" spans="1:55" ht="30" hidden="1" outlineLevel="1" x14ac:dyDescent="0.25">
      <c r="A75" s="10">
        <f>'Fil de l''eau'!A115</f>
        <v>0</v>
      </c>
      <c r="B75" s="11">
        <f>'Fil de l''eau'!B115</f>
        <v>0</v>
      </c>
      <c r="C75" s="11">
        <f>'Fil de l''eau'!C115</f>
        <v>0</v>
      </c>
      <c r="D75" s="12">
        <f>'Fil de l''eau'!D115</f>
        <v>0</v>
      </c>
      <c r="E75" s="12">
        <f>'Fil de l''eau'!E115</f>
        <v>0</v>
      </c>
      <c r="F75" s="13">
        <f>'Fil de l''eau'!F115</f>
        <v>0</v>
      </c>
      <c r="G75" s="13">
        <f>'Fil de l''eau'!G115</f>
        <v>0</v>
      </c>
      <c r="H75" s="13">
        <f>'Fil de l''eau'!H115</f>
        <v>0</v>
      </c>
      <c r="I75" s="14">
        <f>'Fil de l''eau'!I115</f>
        <v>0</v>
      </c>
      <c r="J75" s="13">
        <f>'Fil de l''eau'!J115</f>
        <v>0</v>
      </c>
      <c r="K75" s="13">
        <f>'Fil de l''eau'!K115</f>
        <v>0</v>
      </c>
      <c r="L75" s="14">
        <f>'Fil de l''eau'!L115</f>
        <v>0</v>
      </c>
      <c r="M75" s="13">
        <f>'Fil de l''eau'!M115</f>
        <v>0</v>
      </c>
      <c r="N75" s="14">
        <f>'Fil de l''eau'!N115</f>
        <v>0</v>
      </c>
      <c r="O75" s="13">
        <f>'Fil de l''eau'!O115</f>
        <v>0</v>
      </c>
      <c r="P75" s="13">
        <f>'Fil de l''eau'!P115</f>
        <v>0</v>
      </c>
      <c r="Q75" s="13">
        <f>'Fil de l''eau'!Q115</f>
        <v>0</v>
      </c>
      <c r="R75" s="13">
        <f>'Fil de l''eau'!R115</f>
        <v>0</v>
      </c>
      <c r="S75" s="13">
        <f>'Fil de l''eau'!S115</f>
        <v>0</v>
      </c>
      <c r="T75" s="13">
        <f>'Fil de l''eau'!T115</f>
        <v>0</v>
      </c>
      <c r="U75" s="13">
        <f>'Fil de l''eau'!U115</f>
        <v>0</v>
      </c>
      <c r="V75" s="13">
        <f>'Fil de l''eau'!V115</f>
        <v>0</v>
      </c>
      <c r="W75" s="13">
        <f>'Fil de l''eau'!W115</f>
        <v>0</v>
      </c>
      <c r="X75" s="13">
        <f>'Fil de l''eau'!X115</f>
        <v>0</v>
      </c>
      <c r="Y75" s="13">
        <f>'Fil de l''eau'!Y115</f>
        <v>0</v>
      </c>
      <c r="Z75" s="13">
        <f>'Fil de l''eau'!Z115</f>
        <v>0</v>
      </c>
      <c r="AA75" s="13">
        <f>'Fil de l''eau'!AA115</f>
        <v>0</v>
      </c>
      <c r="AB75" s="13">
        <f>'Fil de l''eau'!AB115</f>
        <v>0</v>
      </c>
      <c r="AC75" s="13">
        <f>'Fil de l''eau'!AC115</f>
        <v>0</v>
      </c>
      <c r="AD75" s="13">
        <f>'Fil de l''eau'!AD115</f>
        <v>0</v>
      </c>
      <c r="AE75" s="13">
        <f>'Fil de l''eau'!AE115</f>
        <v>0</v>
      </c>
      <c r="AF75" s="13">
        <f>'Fil de l''eau'!AF115</f>
        <v>0</v>
      </c>
      <c r="AG75" s="13">
        <f>'Fil de l''eau'!AG115</f>
        <v>0</v>
      </c>
      <c r="AH75" s="13">
        <f>'Fil de l''eau'!AH115</f>
        <v>0</v>
      </c>
      <c r="AI75" s="13">
        <f>'Fil de l''eau'!AI115</f>
        <v>0</v>
      </c>
      <c r="AJ75" s="13">
        <f>'Fil de l''eau'!AJ115</f>
        <v>0</v>
      </c>
      <c r="AK75" s="13">
        <f>'Fil de l''eau'!AK115</f>
        <v>0</v>
      </c>
      <c r="AL75" s="13">
        <f>'Fil de l''eau'!AL115</f>
        <v>0</v>
      </c>
      <c r="AM75" s="13">
        <f>'Fil de l''eau'!AM115</f>
        <v>0</v>
      </c>
      <c r="AN75" s="13">
        <f>'Fil de l''eau'!AN115</f>
        <v>0</v>
      </c>
      <c r="AO75" s="13">
        <f>'Fil de l''eau'!AO115</f>
        <v>0</v>
      </c>
      <c r="AP75" s="13">
        <f>'Fil de l''eau'!AP115</f>
        <v>0</v>
      </c>
      <c r="AQ75" s="13">
        <f>'Fil de l''eau'!AQ115</f>
        <v>0</v>
      </c>
      <c r="AR75" s="13">
        <f>'Fil de l''eau'!AR115</f>
        <v>0</v>
      </c>
      <c r="AS75" s="13">
        <f>'Fil de l''eau'!AS115</f>
        <v>0</v>
      </c>
      <c r="AT75" s="13">
        <f>'Fil de l''eau'!AT115</f>
        <v>0</v>
      </c>
      <c r="AU75" s="13">
        <f>'Fil de l''eau'!AU115</f>
        <v>0</v>
      </c>
      <c r="AV75" s="13">
        <f>'Fil de l''eau'!AV115</f>
        <v>0</v>
      </c>
      <c r="AW75" s="13">
        <f>'Fil de l''eau'!AW115</f>
        <v>0</v>
      </c>
      <c r="AX75" s="13">
        <f>'Fil de l''eau'!AX115</f>
        <v>0</v>
      </c>
      <c r="AY75" s="13">
        <f>'Fil de l''eau'!AY115</f>
        <v>0</v>
      </c>
      <c r="AZ75" s="13">
        <f>'Fil de l''eau'!AZ115</f>
        <v>0</v>
      </c>
      <c r="BA75" s="11">
        <f>'Fil de l''eau'!BB115</f>
        <v>0</v>
      </c>
      <c r="BB75" s="15">
        <f>'Fil de l''eau'!BC115</f>
        <v>0</v>
      </c>
      <c r="BC75" s="16">
        <f>'Fil de l''eau'!BD115</f>
        <v>0</v>
      </c>
    </row>
    <row r="76" spans="1:55" ht="30" hidden="1" outlineLevel="1" x14ac:dyDescent="0.25">
      <c r="A76" s="17">
        <f>'Fil de l''eau'!A116</f>
        <v>0</v>
      </c>
      <c r="B76" s="18">
        <f>'Fil de l''eau'!B116</f>
        <v>0</v>
      </c>
      <c r="C76" s="18">
        <f>'Fil de l''eau'!C116</f>
        <v>0</v>
      </c>
      <c r="D76" s="19">
        <f>'Fil de l''eau'!D116</f>
        <v>0</v>
      </c>
      <c r="E76" s="19">
        <f>'Fil de l''eau'!E116</f>
        <v>0</v>
      </c>
      <c r="F76" s="20">
        <f>'Fil de l''eau'!F116</f>
        <v>0</v>
      </c>
      <c r="G76" s="20">
        <f>'Fil de l''eau'!G116</f>
        <v>0</v>
      </c>
      <c r="H76" s="20">
        <f>'Fil de l''eau'!H116</f>
        <v>0</v>
      </c>
      <c r="I76" s="21">
        <f>'Fil de l''eau'!I116</f>
        <v>0</v>
      </c>
      <c r="J76" s="20">
        <f>'Fil de l''eau'!J116</f>
        <v>0</v>
      </c>
      <c r="K76" s="20">
        <f>'Fil de l''eau'!K116</f>
        <v>0</v>
      </c>
      <c r="L76" s="21">
        <f>'Fil de l''eau'!L116</f>
        <v>0</v>
      </c>
      <c r="M76" s="20">
        <f>'Fil de l''eau'!M116</f>
        <v>0</v>
      </c>
      <c r="N76" s="21">
        <f>'Fil de l''eau'!N116</f>
        <v>0</v>
      </c>
      <c r="O76" s="20">
        <f>'Fil de l''eau'!O116</f>
        <v>0</v>
      </c>
      <c r="P76" s="20">
        <f>'Fil de l''eau'!P116</f>
        <v>0</v>
      </c>
      <c r="Q76" s="20">
        <f>'Fil de l''eau'!Q116</f>
        <v>0</v>
      </c>
      <c r="R76" s="20">
        <f>'Fil de l''eau'!R116</f>
        <v>0</v>
      </c>
      <c r="S76" s="20">
        <f>'Fil de l''eau'!S116</f>
        <v>0</v>
      </c>
      <c r="T76" s="20">
        <f>'Fil de l''eau'!T116</f>
        <v>0</v>
      </c>
      <c r="U76" s="20">
        <f>'Fil de l''eau'!U116</f>
        <v>0</v>
      </c>
      <c r="V76" s="20">
        <f>'Fil de l''eau'!V116</f>
        <v>0</v>
      </c>
      <c r="W76" s="20">
        <f>'Fil de l''eau'!W116</f>
        <v>0</v>
      </c>
      <c r="X76" s="20">
        <f>'Fil de l''eau'!X116</f>
        <v>0</v>
      </c>
      <c r="Y76" s="20">
        <f>'Fil de l''eau'!Y116</f>
        <v>0</v>
      </c>
      <c r="Z76" s="20">
        <f>'Fil de l''eau'!Z116</f>
        <v>0</v>
      </c>
      <c r="AA76" s="20">
        <f>'Fil de l''eau'!AA116</f>
        <v>0</v>
      </c>
      <c r="AB76" s="20">
        <f>'Fil de l''eau'!AB116</f>
        <v>0</v>
      </c>
      <c r="AC76" s="20">
        <f>'Fil de l''eau'!AC116</f>
        <v>0</v>
      </c>
      <c r="AD76" s="20">
        <f>'Fil de l''eau'!AD116</f>
        <v>0</v>
      </c>
      <c r="AE76" s="20">
        <f>'Fil de l''eau'!AE116</f>
        <v>0</v>
      </c>
      <c r="AF76" s="20">
        <f>'Fil de l''eau'!AF116</f>
        <v>0</v>
      </c>
      <c r="AG76" s="20">
        <f>'Fil de l''eau'!AG116</f>
        <v>0</v>
      </c>
      <c r="AH76" s="20">
        <f>'Fil de l''eau'!AH116</f>
        <v>0</v>
      </c>
      <c r="AI76" s="20">
        <f>'Fil de l''eau'!AI116</f>
        <v>0</v>
      </c>
      <c r="AJ76" s="20">
        <f>'Fil de l''eau'!AJ116</f>
        <v>0</v>
      </c>
      <c r="AK76" s="20">
        <f>'Fil de l''eau'!AK116</f>
        <v>0</v>
      </c>
      <c r="AL76" s="20">
        <f>'Fil de l''eau'!AL116</f>
        <v>0</v>
      </c>
      <c r="AM76" s="20">
        <f>'Fil de l''eau'!AM116</f>
        <v>0</v>
      </c>
      <c r="AN76" s="20">
        <f>'Fil de l''eau'!AN116</f>
        <v>0</v>
      </c>
      <c r="AO76" s="20">
        <f>'Fil de l''eau'!AO116</f>
        <v>0</v>
      </c>
      <c r="AP76" s="20">
        <f>'Fil de l''eau'!AP116</f>
        <v>0</v>
      </c>
      <c r="AQ76" s="20">
        <f>'Fil de l''eau'!AQ116</f>
        <v>0</v>
      </c>
      <c r="AR76" s="20">
        <f>'Fil de l''eau'!AR116</f>
        <v>0</v>
      </c>
      <c r="AS76" s="20">
        <f>'Fil de l''eau'!AS116</f>
        <v>0</v>
      </c>
      <c r="AT76" s="20">
        <f>'Fil de l''eau'!AT116</f>
        <v>0</v>
      </c>
      <c r="AU76" s="20">
        <f>'Fil de l''eau'!AU116</f>
        <v>0</v>
      </c>
      <c r="AV76" s="20">
        <f>'Fil de l''eau'!AV116</f>
        <v>0</v>
      </c>
      <c r="AW76" s="20">
        <f>'Fil de l''eau'!AW116</f>
        <v>0</v>
      </c>
      <c r="AX76" s="20">
        <f>'Fil de l''eau'!AX116</f>
        <v>0</v>
      </c>
      <c r="AY76" s="20">
        <f>'Fil de l''eau'!AY116</f>
        <v>0</v>
      </c>
      <c r="AZ76" s="20">
        <f>'Fil de l''eau'!AZ116</f>
        <v>0</v>
      </c>
      <c r="BA76" s="18">
        <f>'Fil de l''eau'!BB116</f>
        <v>0</v>
      </c>
      <c r="BB76" s="22">
        <f>'Fil de l''eau'!BC116</f>
        <v>0</v>
      </c>
      <c r="BC76" s="23">
        <f>'Fil de l''eau'!BD116</f>
        <v>0</v>
      </c>
    </row>
    <row r="77" spans="1:55" ht="30" hidden="1" outlineLevel="1" x14ac:dyDescent="0.25">
      <c r="A77" s="10">
        <f>'Fil de l''eau'!A117</f>
        <v>0</v>
      </c>
      <c r="B77" s="11">
        <f>'Fil de l''eau'!B117</f>
        <v>0</v>
      </c>
      <c r="C77" s="11">
        <f>'Fil de l''eau'!C117</f>
        <v>0</v>
      </c>
      <c r="D77" s="12">
        <f>'Fil de l''eau'!D117</f>
        <v>0</v>
      </c>
      <c r="E77" s="12">
        <f>'Fil de l''eau'!E117</f>
        <v>0</v>
      </c>
      <c r="F77" s="13">
        <f>'Fil de l''eau'!F117</f>
        <v>0</v>
      </c>
      <c r="G77" s="13">
        <f>'Fil de l''eau'!G117</f>
        <v>0</v>
      </c>
      <c r="H77" s="13">
        <f>'Fil de l''eau'!H117</f>
        <v>0</v>
      </c>
      <c r="I77" s="14">
        <f>'Fil de l''eau'!I117</f>
        <v>0</v>
      </c>
      <c r="J77" s="13">
        <f>'Fil de l''eau'!J117</f>
        <v>0</v>
      </c>
      <c r="K77" s="13">
        <f>'Fil de l''eau'!K117</f>
        <v>0</v>
      </c>
      <c r="L77" s="14">
        <f>'Fil de l''eau'!L117</f>
        <v>0</v>
      </c>
      <c r="M77" s="13">
        <f>'Fil de l''eau'!M117</f>
        <v>0</v>
      </c>
      <c r="N77" s="14">
        <f>'Fil de l''eau'!N117</f>
        <v>0</v>
      </c>
      <c r="O77" s="13">
        <f>'Fil de l''eau'!O117</f>
        <v>0</v>
      </c>
      <c r="P77" s="13">
        <f>'Fil de l''eau'!P117</f>
        <v>0</v>
      </c>
      <c r="Q77" s="13">
        <f>'Fil de l''eau'!Q117</f>
        <v>0</v>
      </c>
      <c r="R77" s="13">
        <f>'Fil de l''eau'!R117</f>
        <v>0</v>
      </c>
      <c r="S77" s="13">
        <f>'Fil de l''eau'!S117</f>
        <v>0</v>
      </c>
      <c r="T77" s="13">
        <f>'Fil de l''eau'!T117</f>
        <v>0</v>
      </c>
      <c r="U77" s="13">
        <f>'Fil de l''eau'!U117</f>
        <v>0</v>
      </c>
      <c r="V77" s="13">
        <f>'Fil de l''eau'!V117</f>
        <v>0</v>
      </c>
      <c r="W77" s="13">
        <f>'Fil de l''eau'!W117</f>
        <v>0</v>
      </c>
      <c r="X77" s="13">
        <f>'Fil de l''eau'!X117</f>
        <v>0</v>
      </c>
      <c r="Y77" s="13">
        <f>'Fil de l''eau'!Y117</f>
        <v>0</v>
      </c>
      <c r="Z77" s="13">
        <f>'Fil de l''eau'!Z117</f>
        <v>0</v>
      </c>
      <c r="AA77" s="13">
        <f>'Fil de l''eau'!AA117</f>
        <v>0</v>
      </c>
      <c r="AB77" s="13">
        <f>'Fil de l''eau'!AB117</f>
        <v>0</v>
      </c>
      <c r="AC77" s="13">
        <f>'Fil de l''eau'!AC117</f>
        <v>0</v>
      </c>
      <c r="AD77" s="13">
        <f>'Fil de l''eau'!AD117</f>
        <v>0</v>
      </c>
      <c r="AE77" s="13">
        <f>'Fil de l''eau'!AE117</f>
        <v>0</v>
      </c>
      <c r="AF77" s="13">
        <f>'Fil de l''eau'!AF117</f>
        <v>0</v>
      </c>
      <c r="AG77" s="13">
        <f>'Fil de l''eau'!AG117</f>
        <v>0</v>
      </c>
      <c r="AH77" s="13">
        <f>'Fil de l''eau'!AH117</f>
        <v>0</v>
      </c>
      <c r="AI77" s="13">
        <f>'Fil de l''eau'!AI117</f>
        <v>0</v>
      </c>
      <c r="AJ77" s="13">
        <f>'Fil de l''eau'!AJ117</f>
        <v>0</v>
      </c>
      <c r="AK77" s="13">
        <f>'Fil de l''eau'!AK117</f>
        <v>0</v>
      </c>
      <c r="AL77" s="13">
        <f>'Fil de l''eau'!AL117</f>
        <v>0</v>
      </c>
      <c r="AM77" s="13">
        <f>'Fil de l''eau'!AM117</f>
        <v>0</v>
      </c>
      <c r="AN77" s="13">
        <f>'Fil de l''eau'!AN117</f>
        <v>0</v>
      </c>
      <c r="AO77" s="13">
        <f>'Fil de l''eau'!AO117</f>
        <v>0</v>
      </c>
      <c r="AP77" s="13">
        <f>'Fil de l''eau'!AP117</f>
        <v>0</v>
      </c>
      <c r="AQ77" s="13">
        <f>'Fil de l''eau'!AQ117</f>
        <v>0</v>
      </c>
      <c r="AR77" s="13">
        <f>'Fil de l''eau'!AR117</f>
        <v>0</v>
      </c>
      <c r="AS77" s="13">
        <f>'Fil de l''eau'!AS117</f>
        <v>0</v>
      </c>
      <c r="AT77" s="13">
        <f>'Fil de l''eau'!AT117</f>
        <v>0</v>
      </c>
      <c r="AU77" s="13">
        <f>'Fil de l''eau'!AU117</f>
        <v>0</v>
      </c>
      <c r="AV77" s="13">
        <f>'Fil de l''eau'!AV117</f>
        <v>0</v>
      </c>
      <c r="AW77" s="13">
        <f>'Fil de l''eau'!AW117</f>
        <v>0</v>
      </c>
      <c r="AX77" s="13">
        <f>'Fil de l''eau'!AX117</f>
        <v>0</v>
      </c>
      <c r="AY77" s="13">
        <f>'Fil de l''eau'!AY117</f>
        <v>0</v>
      </c>
      <c r="AZ77" s="13">
        <f>'Fil de l''eau'!AZ117</f>
        <v>0</v>
      </c>
      <c r="BA77" s="11">
        <f>'Fil de l''eau'!BB117</f>
        <v>0</v>
      </c>
      <c r="BB77" s="15">
        <f>'Fil de l''eau'!BC117</f>
        <v>0</v>
      </c>
      <c r="BC77" s="16">
        <f>'Fil de l''eau'!BD117</f>
        <v>0</v>
      </c>
    </row>
    <row r="78" spans="1:55" ht="30" hidden="1" outlineLevel="1" x14ac:dyDescent="0.25">
      <c r="A78" s="17">
        <f>'Fil de l''eau'!A118</f>
        <v>0</v>
      </c>
      <c r="B78" s="18">
        <f>'Fil de l''eau'!B118</f>
        <v>0</v>
      </c>
      <c r="C78" s="18">
        <f>'Fil de l''eau'!C118</f>
        <v>0</v>
      </c>
      <c r="D78" s="19">
        <f>'Fil de l''eau'!D118</f>
        <v>0</v>
      </c>
      <c r="E78" s="19">
        <f>'Fil de l''eau'!E118</f>
        <v>0</v>
      </c>
      <c r="F78" s="20">
        <f>'Fil de l''eau'!F118</f>
        <v>0</v>
      </c>
      <c r="G78" s="20">
        <f>'Fil de l''eau'!G118</f>
        <v>0</v>
      </c>
      <c r="H78" s="20">
        <f>'Fil de l''eau'!H118</f>
        <v>0</v>
      </c>
      <c r="I78" s="21">
        <f>'Fil de l''eau'!I118</f>
        <v>0</v>
      </c>
      <c r="J78" s="20">
        <f>'Fil de l''eau'!J118</f>
        <v>0</v>
      </c>
      <c r="K78" s="20">
        <f>'Fil de l''eau'!K118</f>
        <v>0</v>
      </c>
      <c r="L78" s="21">
        <f>'Fil de l''eau'!L118</f>
        <v>0</v>
      </c>
      <c r="M78" s="20">
        <f>'Fil de l''eau'!M118</f>
        <v>0</v>
      </c>
      <c r="N78" s="21">
        <f>'Fil de l''eau'!N118</f>
        <v>0</v>
      </c>
      <c r="O78" s="20">
        <f>'Fil de l''eau'!O118</f>
        <v>0</v>
      </c>
      <c r="P78" s="20">
        <f>'Fil de l''eau'!P118</f>
        <v>0</v>
      </c>
      <c r="Q78" s="20">
        <f>'Fil de l''eau'!Q118</f>
        <v>0</v>
      </c>
      <c r="R78" s="20">
        <f>'Fil de l''eau'!R118</f>
        <v>0</v>
      </c>
      <c r="S78" s="20">
        <f>'Fil de l''eau'!S118</f>
        <v>0</v>
      </c>
      <c r="T78" s="20">
        <f>'Fil de l''eau'!T118</f>
        <v>0</v>
      </c>
      <c r="U78" s="20">
        <f>'Fil de l''eau'!U118</f>
        <v>0</v>
      </c>
      <c r="V78" s="20">
        <f>'Fil de l''eau'!V118</f>
        <v>0</v>
      </c>
      <c r="W78" s="20">
        <f>'Fil de l''eau'!W118</f>
        <v>0</v>
      </c>
      <c r="X78" s="20">
        <f>'Fil de l''eau'!X118</f>
        <v>0</v>
      </c>
      <c r="Y78" s="20">
        <f>'Fil de l''eau'!Y118</f>
        <v>0</v>
      </c>
      <c r="Z78" s="20">
        <f>'Fil de l''eau'!Z118</f>
        <v>0</v>
      </c>
      <c r="AA78" s="20">
        <f>'Fil de l''eau'!AA118</f>
        <v>0</v>
      </c>
      <c r="AB78" s="20">
        <f>'Fil de l''eau'!AB118</f>
        <v>0</v>
      </c>
      <c r="AC78" s="20">
        <f>'Fil de l''eau'!AC118</f>
        <v>0</v>
      </c>
      <c r="AD78" s="20">
        <f>'Fil de l''eau'!AD118</f>
        <v>0</v>
      </c>
      <c r="AE78" s="20">
        <f>'Fil de l''eau'!AE118</f>
        <v>0</v>
      </c>
      <c r="AF78" s="20">
        <f>'Fil de l''eau'!AF118</f>
        <v>0</v>
      </c>
      <c r="AG78" s="20">
        <f>'Fil de l''eau'!AG118</f>
        <v>0</v>
      </c>
      <c r="AH78" s="20">
        <f>'Fil de l''eau'!AH118</f>
        <v>0</v>
      </c>
      <c r="AI78" s="20">
        <f>'Fil de l''eau'!AI118</f>
        <v>0</v>
      </c>
      <c r="AJ78" s="20">
        <f>'Fil de l''eau'!AJ118</f>
        <v>0</v>
      </c>
      <c r="AK78" s="20">
        <f>'Fil de l''eau'!AK118</f>
        <v>0</v>
      </c>
      <c r="AL78" s="20">
        <f>'Fil de l''eau'!AL118</f>
        <v>0</v>
      </c>
      <c r="AM78" s="20">
        <f>'Fil de l''eau'!AM118</f>
        <v>0</v>
      </c>
      <c r="AN78" s="20">
        <f>'Fil de l''eau'!AN118</f>
        <v>0</v>
      </c>
      <c r="AO78" s="20">
        <f>'Fil de l''eau'!AO118</f>
        <v>0</v>
      </c>
      <c r="AP78" s="20">
        <f>'Fil de l''eau'!AP118</f>
        <v>0</v>
      </c>
      <c r="AQ78" s="20">
        <f>'Fil de l''eau'!AQ118</f>
        <v>0</v>
      </c>
      <c r="AR78" s="20">
        <f>'Fil de l''eau'!AR118</f>
        <v>0</v>
      </c>
      <c r="AS78" s="20">
        <f>'Fil de l''eau'!AS118</f>
        <v>0</v>
      </c>
      <c r="AT78" s="20">
        <f>'Fil de l''eau'!AT118</f>
        <v>0</v>
      </c>
      <c r="AU78" s="20">
        <f>'Fil de l''eau'!AU118</f>
        <v>0</v>
      </c>
      <c r="AV78" s="20">
        <f>'Fil de l''eau'!AV118</f>
        <v>0</v>
      </c>
      <c r="AW78" s="20">
        <f>'Fil de l''eau'!AW118</f>
        <v>0</v>
      </c>
      <c r="AX78" s="20">
        <f>'Fil de l''eau'!AX118</f>
        <v>0</v>
      </c>
      <c r="AY78" s="20">
        <f>'Fil de l''eau'!AY118</f>
        <v>0</v>
      </c>
      <c r="AZ78" s="20">
        <f>'Fil de l''eau'!AZ118</f>
        <v>0</v>
      </c>
      <c r="BA78" s="18">
        <f>'Fil de l''eau'!BB118</f>
        <v>0</v>
      </c>
      <c r="BB78" s="22">
        <f>'Fil de l''eau'!BC118</f>
        <v>0</v>
      </c>
      <c r="BC78" s="23">
        <f>'Fil de l''eau'!BD118</f>
        <v>0</v>
      </c>
    </row>
    <row r="79" spans="1:55" ht="30" hidden="1" outlineLevel="1" x14ac:dyDescent="0.25">
      <c r="A79" s="10">
        <f>'Fil de l''eau'!A119</f>
        <v>0</v>
      </c>
      <c r="B79" s="11">
        <f>'Fil de l''eau'!B119</f>
        <v>0</v>
      </c>
      <c r="C79" s="11">
        <f>'Fil de l''eau'!C119</f>
        <v>0</v>
      </c>
      <c r="D79" s="12">
        <f>'Fil de l''eau'!D119</f>
        <v>0</v>
      </c>
      <c r="E79" s="12">
        <f>'Fil de l''eau'!E119</f>
        <v>0</v>
      </c>
      <c r="F79" s="13">
        <f>'Fil de l''eau'!F119</f>
        <v>0</v>
      </c>
      <c r="G79" s="13">
        <f>'Fil de l''eau'!G119</f>
        <v>0</v>
      </c>
      <c r="H79" s="13">
        <f>'Fil de l''eau'!H119</f>
        <v>0</v>
      </c>
      <c r="I79" s="14">
        <f>'Fil de l''eau'!I119</f>
        <v>0</v>
      </c>
      <c r="J79" s="13">
        <f>'Fil de l''eau'!J119</f>
        <v>0</v>
      </c>
      <c r="K79" s="13">
        <f>'Fil de l''eau'!K119</f>
        <v>0</v>
      </c>
      <c r="L79" s="14">
        <f>'Fil de l''eau'!L119</f>
        <v>0</v>
      </c>
      <c r="M79" s="13">
        <f>'Fil de l''eau'!M119</f>
        <v>0</v>
      </c>
      <c r="N79" s="14">
        <f>'Fil de l''eau'!N119</f>
        <v>0</v>
      </c>
      <c r="O79" s="13">
        <f>'Fil de l''eau'!O119</f>
        <v>0</v>
      </c>
      <c r="P79" s="13">
        <f>'Fil de l''eau'!P119</f>
        <v>0</v>
      </c>
      <c r="Q79" s="13">
        <f>'Fil de l''eau'!Q119</f>
        <v>0</v>
      </c>
      <c r="R79" s="13">
        <f>'Fil de l''eau'!R119</f>
        <v>0</v>
      </c>
      <c r="S79" s="13">
        <f>'Fil de l''eau'!S119</f>
        <v>0</v>
      </c>
      <c r="T79" s="13">
        <f>'Fil de l''eau'!T119</f>
        <v>0</v>
      </c>
      <c r="U79" s="13">
        <f>'Fil de l''eau'!U119</f>
        <v>0</v>
      </c>
      <c r="V79" s="13">
        <f>'Fil de l''eau'!V119</f>
        <v>0</v>
      </c>
      <c r="W79" s="13">
        <f>'Fil de l''eau'!W119</f>
        <v>0</v>
      </c>
      <c r="X79" s="13">
        <f>'Fil de l''eau'!X119</f>
        <v>0</v>
      </c>
      <c r="Y79" s="13">
        <f>'Fil de l''eau'!Y119</f>
        <v>0</v>
      </c>
      <c r="Z79" s="13">
        <f>'Fil de l''eau'!Z119</f>
        <v>0</v>
      </c>
      <c r="AA79" s="13">
        <f>'Fil de l''eau'!AA119</f>
        <v>0</v>
      </c>
      <c r="AB79" s="13">
        <f>'Fil de l''eau'!AB119</f>
        <v>0</v>
      </c>
      <c r="AC79" s="13">
        <f>'Fil de l''eau'!AC119</f>
        <v>0</v>
      </c>
      <c r="AD79" s="13">
        <f>'Fil de l''eau'!AD119</f>
        <v>0</v>
      </c>
      <c r="AE79" s="13">
        <f>'Fil de l''eau'!AE119</f>
        <v>0</v>
      </c>
      <c r="AF79" s="13">
        <f>'Fil de l''eau'!AF119</f>
        <v>0</v>
      </c>
      <c r="AG79" s="13">
        <f>'Fil de l''eau'!AG119</f>
        <v>0</v>
      </c>
      <c r="AH79" s="13">
        <f>'Fil de l''eau'!AH119</f>
        <v>0</v>
      </c>
      <c r="AI79" s="13">
        <f>'Fil de l''eau'!AI119</f>
        <v>0</v>
      </c>
      <c r="AJ79" s="13">
        <f>'Fil de l''eau'!AJ119</f>
        <v>0</v>
      </c>
      <c r="AK79" s="13">
        <f>'Fil de l''eau'!AK119</f>
        <v>0</v>
      </c>
      <c r="AL79" s="13">
        <f>'Fil de l''eau'!AL119</f>
        <v>0</v>
      </c>
      <c r="AM79" s="13">
        <f>'Fil de l''eau'!AM119</f>
        <v>0</v>
      </c>
      <c r="AN79" s="13">
        <f>'Fil de l''eau'!AN119</f>
        <v>0</v>
      </c>
      <c r="AO79" s="13">
        <f>'Fil de l''eau'!AO119</f>
        <v>0</v>
      </c>
      <c r="AP79" s="13">
        <f>'Fil de l''eau'!AP119</f>
        <v>0</v>
      </c>
      <c r="AQ79" s="13">
        <f>'Fil de l''eau'!AQ119</f>
        <v>0</v>
      </c>
      <c r="AR79" s="13">
        <f>'Fil de l''eau'!AR119</f>
        <v>0</v>
      </c>
      <c r="AS79" s="13">
        <f>'Fil de l''eau'!AS119</f>
        <v>0</v>
      </c>
      <c r="AT79" s="13">
        <f>'Fil de l''eau'!AT119</f>
        <v>0</v>
      </c>
      <c r="AU79" s="13">
        <f>'Fil de l''eau'!AU119</f>
        <v>0</v>
      </c>
      <c r="AV79" s="13">
        <f>'Fil de l''eau'!AV119</f>
        <v>0</v>
      </c>
      <c r="AW79" s="13">
        <f>'Fil de l''eau'!AW119</f>
        <v>0</v>
      </c>
      <c r="AX79" s="13">
        <f>'Fil de l''eau'!AX119</f>
        <v>0</v>
      </c>
      <c r="AY79" s="13">
        <f>'Fil de l''eau'!AY119</f>
        <v>0</v>
      </c>
      <c r="AZ79" s="13">
        <f>'Fil de l''eau'!AZ119</f>
        <v>0</v>
      </c>
      <c r="BA79" s="11">
        <f>'Fil de l''eau'!BB119</f>
        <v>0</v>
      </c>
      <c r="BB79" s="15">
        <f>'Fil de l''eau'!BC119</f>
        <v>0</v>
      </c>
      <c r="BC79" s="16">
        <f>'Fil de l''eau'!BD119</f>
        <v>0</v>
      </c>
    </row>
    <row r="80" spans="1:55" collapsed="1" x14ac:dyDescent="0.25">
      <c r="A80" s="17">
        <f>'Fil de l''eau'!A120</f>
        <v>0</v>
      </c>
      <c r="B80" s="18">
        <f>'Fil de l''eau'!B120</f>
        <v>0</v>
      </c>
      <c r="C80" s="18">
        <f>'Fil de l''eau'!C120</f>
        <v>0</v>
      </c>
      <c r="D80" s="19">
        <f>'Fil de l''eau'!D120</f>
        <v>0</v>
      </c>
      <c r="E80" s="19">
        <f>'Fil de l''eau'!E120</f>
        <v>0</v>
      </c>
      <c r="F80" s="20">
        <f>'Fil de l''eau'!F120</f>
        <v>0</v>
      </c>
      <c r="G80" s="20">
        <f>'Fil de l''eau'!G120</f>
        <v>0</v>
      </c>
      <c r="H80" s="20">
        <f>'Fil de l''eau'!H120</f>
        <v>0</v>
      </c>
      <c r="I80" s="21">
        <f>'Fil de l''eau'!I120</f>
        <v>0</v>
      </c>
      <c r="J80" s="20">
        <f>'Fil de l''eau'!J120</f>
        <v>0</v>
      </c>
      <c r="K80" s="20">
        <f>'Fil de l''eau'!K120</f>
        <v>0</v>
      </c>
      <c r="L80" s="21">
        <f>'Fil de l''eau'!L120</f>
        <v>0</v>
      </c>
      <c r="M80" s="20">
        <f>'Fil de l''eau'!M120</f>
        <v>0</v>
      </c>
      <c r="N80" s="21">
        <f>'Fil de l''eau'!N120</f>
        <v>0</v>
      </c>
      <c r="O80" s="20">
        <f>'Fil de l''eau'!O120</f>
        <v>0</v>
      </c>
      <c r="P80" s="20">
        <f>'Fil de l''eau'!P120</f>
        <v>0</v>
      </c>
      <c r="Q80" s="20">
        <f>'Fil de l''eau'!Q120</f>
        <v>0</v>
      </c>
      <c r="R80" s="20">
        <f>'Fil de l''eau'!R120</f>
        <v>0</v>
      </c>
      <c r="S80" s="20">
        <f>'Fil de l''eau'!S120</f>
        <v>0</v>
      </c>
      <c r="T80" s="20">
        <f>'Fil de l''eau'!T120</f>
        <v>0</v>
      </c>
      <c r="U80" s="20">
        <f>'Fil de l''eau'!U120</f>
        <v>0</v>
      </c>
      <c r="V80" s="20">
        <f>'Fil de l''eau'!V120</f>
        <v>0</v>
      </c>
      <c r="W80" s="20">
        <f>'Fil de l''eau'!W120</f>
        <v>0</v>
      </c>
      <c r="X80" s="20">
        <f>'Fil de l''eau'!X120</f>
        <v>0</v>
      </c>
      <c r="Y80" s="20">
        <f>'Fil de l''eau'!Y120</f>
        <v>0</v>
      </c>
      <c r="Z80" s="20">
        <f>'Fil de l''eau'!Z120</f>
        <v>0</v>
      </c>
      <c r="AA80" s="20">
        <f>'Fil de l''eau'!AA120</f>
        <v>0</v>
      </c>
      <c r="AB80" s="20">
        <f>'Fil de l''eau'!AB120</f>
        <v>0</v>
      </c>
      <c r="AC80" s="20">
        <f>'Fil de l''eau'!AC120</f>
        <v>0</v>
      </c>
      <c r="AD80" s="20">
        <f>'Fil de l''eau'!AD120</f>
        <v>0</v>
      </c>
      <c r="AE80" s="20">
        <f>'Fil de l''eau'!AE120</f>
        <v>0</v>
      </c>
      <c r="AF80" s="20">
        <f>'Fil de l''eau'!AF120</f>
        <v>0</v>
      </c>
      <c r="AG80" s="20">
        <f>'Fil de l''eau'!AG120</f>
        <v>0</v>
      </c>
      <c r="AH80" s="20">
        <f>'Fil de l''eau'!AH120</f>
        <v>0</v>
      </c>
      <c r="AI80" s="20">
        <f>'Fil de l''eau'!AI120</f>
        <v>0</v>
      </c>
      <c r="AJ80" s="20">
        <f>'Fil de l''eau'!AJ120</f>
        <v>0</v>
      </c>
      <c r="AK80" s="20">
        <f>'Fil de l''eau'!AK120</f>
        <v>0</v>
      </c>
      <c r="AL80" s="20">
        <f>'Fil de l''eau'!AL120</f>
        <v>0</v>
      </c>
      <c r="AM80" s="20">
        <f>'Fil de l''eau'!AM120</f>
        <v>0</v>
      </c>
      <c r="AN80" s="20">
        <f>'Fil de l''eau'!AN120</f>
        <v>0</v>
      </c>
      <c r="AO80" s="20">
        <f>'Fil de l''eau'!AO120</f>
        <v>0</v>
      </c>
      <c r="AP80" s="20">
        <f>'Fil de l''eau'!AP120</f>
        <v>0</v>
      </c>
      <c r="AQ80" s="20">
        <f>'Fil de l''eau'!AQ120</f>
        <v>0</v>
      </c>
      <c r="AR80" s="20">
        <f>'Fil de l''eau'!AR120</f>
        <v>0</v>
      </c>
      <c r="AS80" s="20">
        <f>'Fil de l''eau'!AS120</f>
        <v>0</v>
      </c>
      <c r="AT80" s="20">
        <f>'Fil de l''eau'!AT120</f>
        <v>0</v>
      </c>
      <c r="AU80" s="20">
        <f>'Fil de l''eau'!AU120</f>
        <v>0</v>
      </c>
      <c r="AV80" s="20">
        <f>'Fil de l''eau'!AV120</f>
        <v>0</v>
      </c>
      <c r="AW80" s="20">
        <f>'Fil de l''eau'!AW120</f>
        <v>0</v>
      </c>
      <c r="AX80" s="20">
        <f>'Fil de l''eau'!AX120</f>
        <v>0</v>
      </c>
      <c r="AY80" s="20">
        <f>'Fil de l''eau'!AY120</f>
        <v>0</v>
      </c>
      <c r="AZ80" s="20">
        <f>'Fil de l''eau'!AZ120</f>
        <v>0</v>
      </c>
      <c r="BA80" s="18">
        <f>'Fil de l''eau'!BB120</f>
        <v>0</v>
      </c>
      <c r="BB80" s="22">
        <f>'Fil de l''eau'!BC120</f>
        <v>0</v>
      </c>
      <c r="BC80" s="23">
        <f>'Fil de l''eau'!BD120</f>
        <v>0</v>
      </c>
    </row>
    <row r="81" spans="1:55" ht="30" collapsed="1" x14ac:dyDescent="0.25">
      <c r="A81" s="10" t="s">
        <v>190</v>
      </c>
      <c r="B81" s="11" t="s">
        <v>191</v>
      </c>
      <c r="C81" s="11" t="s">
        <v>288</v>
      </c>
      <c r="D81" s="12" t="s">
        <v>289</v>
      </c>
      <c r="E81" s="12" t="s">
        <v>222</v>
      </c>
      <c r="F81" s="13">
        <f>SUM(F82:F94)</f>
        <v>0</v>
      </c>
      <c r="G81" s="13">
        <f>SUM(G82:G94)</f>
        <v>0</v>
      </c>
      <c r="H81" s="13">
        <f>SUM(H82:H94)</f>
        <v>0</v>
      </c>
      <c r="I81" s="14" t="e">
        <f>H81/F81</f>
        <v>#DIV/0!</v>
      </c>
      <c r="J81" s="13">
        <f>SUM(J82:J94)</f>
        <v>0</v>
      </c>
      <c r="K81" s="13">
        <f>SUM(K82:K94)</f>
        <v>0</v>
      </c>
      <c r="L81" s="14" t="e">
        <f>K81/F81</f>
        <v>#DIV/0!</v>
      </c>
      <c r="M81" s="13">
        <f>SUM(M82:M94)</f>
        <v>0</v>
      </c>
      <c r="N81" s="14" t="e">
        <f>M81/F81</f>
        <v>#DIV/0!</v>
      </c>
      <c r="O81" s="13">
        <f t="shared" ref="O81:AZ81" si="241">SUM(O82:O94)</f>
        <v>0</v>
      </c>
      <c r="P81" s="13">
        <f t="shared" si="241"/>
        <v>0</v>
      </c>
      <c r="Q81" s="13">
        <f t="shared" si="241"/>
        <v>0</v>
      </c>
      <c r="R81" s="13">
        <f t="shared" si="241"/>
        <v>0</v>
      </c>
      <c r="S81" s="13">
        <f t="shared" si="241"/>
        <v>0</v>
      </c>
      <c r="T81" s="13">
        <f t="shared" si="241"/>
        <v>0</v>
      </c>
      <c r="U81" s="13">
        <f t="shared" si="241"/>
        <v>0</v>
      </c>
      <c r="V81" s="13">
        <f t="shared" si="241"/>
        <v>0</v>
      </c>
      <c r="W81" s="13">
        <f t="shared" si="241"/>
        <v>0</v>
      </c>
      <c r="X81" s="13">
        <f t="shared" si="241"/>
        <v>0</v>
      </c>
      <c r="Y81" s="13">
        <f t="shared" si="241"/>
        <v>0</v>
      </c>
      <c r="Z81" s="13">
        <f t="shared" si="241"/>
        <v>0</v>
      </c>
      <c r="AA81" s="13">
        <f t="shared" si="241"/>
        <v>0</v>
      </c>
      <c r="AB81" s="13">
        <f t="shared" si="241"/>
        <v>0</v>
      </c>
      <c r="AC81" s="13">
        <f t="shared" si="241"/>
        <v>0</v>
      </c>
      <c r="AD81" s="13">
        <f t="shared" si="241"/>
        <v>0</v>
      </c>
      <c r="AE81" s="13">
        <f t="shared" si="241"/>
        <v>0</v>
      </c>
      <c r="AF81" s="13">
        <f t="shared" si="241"/>
        <v>0</v>
      </c>
      <c r="AG81" s="13">
        <f t="shared" si="241"/>
        <v>0</v>
      </c>
      <c r="AH81" s="13">
        <f t="shared" si="241"/>
        <v>0</v>
      </c>
      <c r="AI81" s="13">
        <f t="shared" si="241"/>
        <v>0</v>
      </c>
      <c r="AJ81" s="13">
        <f t="shared" si="241"/>
        <v>0</v>
      </c>
      <c r="AK81" s="13">
        <f t="shared" si="241"/>
        <v>0</v>
      </c>
      <c r="AL81" s="13">
        <f t="shared" si="241"/>
        <v>0</v>
      </c>
      <c r="AM81" s="13">
        <f t="shared" si="241"/>
        <v>0</v>
      </c>
      <c r="AN81" s="13">
        <f t="shared" si="241"/>
        <v>0</v>
      </c>
      <c r="AO81" s="13">
        <f t="shared" si="241"/>
        <v>0</v>
      </c>
      <c r="AP81" s="13">
        <f t="shared" si="241"/>
        <v>0</v>
      </c>
      <c r="AQ81" s="13">
        <f t="shared" si="241"/>
        <v>0</v>
      </c>
      <c r="AR81" s="13">
        <f t="shared" si="241"/>
        <v>0</v>
      </c>
      <c r="AS81" s="13">
        <f t="shared" si="241"/>
        <v>0</v>
      </c>
      <c r="AT81" s="13">
        <f t="shared" si="241"/>
        <v>0</v>
      </c>
      <c r="AU81" s="13">
        <f t="shared" si="241"/>
        <v>0</v>
      </c>
      <c r="AV81" s="13">
        <f t="shared" si="241"/>
        <v>0</v>
      </c>
      <c r="AW81" s="13">
        <f t="shared" si="241"/>
        <v>0</v>
      </c>
      <c r="AX81" s="13">
        <f t="shared" si="241"/>
        <v>0</v>
      </c>
      <c r="AY81" s="13">
        <f t="shared" si="241"/>
        <v>0</v>
      </c>
      <c r="AZ81" s="13">
        <f t="shared" si="241"/>
        <v>0</v>
      </c>
      <c r="BA81" s="11"/>
      <c r="BB81" s="15" t="s">
        <v>291</v>
      </c>
      <c r="BC81" s="16" t="s">
        <v>292</v>
      </c>
    </row>
    <row r="82" spans="1:55" ht="30" hidden="1" outlineLevel="1" x14ac:dyDescent="0.25">
      <c r="A82" s="17">
        <f>'Fil de l''eau'!A121</f>
        <v>0</v>
      </c>
      <c r="B82" s="18">
        <f>'Fil de l''eau'!B121</f>
        <v>0</v>
      </c>
      <c r="C82" s="18">
        <f>'Fil de l''eau'!C121</f>
        <v>0</v>
      </c>
      <c r="D82" s="19">
        <f>'Fil de l''eau'!D121</f>
        <v>0</v>
      </c>
      <c r="E82" s="19">
        <f>'Fil de l''eau'!E121</f>
        <v>0</v>
      </c>
      <c r="F82" s="20">
        <f>'Fil de l''eau'!F121</f>
        <v>0</v>
      </c>
      <c r="G82" s="20">
        <f>'Fil de l''eau'!G121</f>
        <v>0</v>
      </c>
      <c r="H82" s="20">
        <f>'Fil de l''eau'!H121</f>
        <v>0</v>
      </c>
      <c r="I82" s="21">
        <f>'Fil de l''eau'!I121</f>
        <v>0</v>
      </c>
      <c r="J82" s="20">
        <f>'Fil de l''eau'!J121</f>
        <v>0</v>
      </c>
      <c r="K82" s="20">
        <f>'Fil de l''eau'!K121</f>
        <v>0</v>
      </c>
      <c r="L82" s="21">
        <f>'Fil de l''eau'!L121</f>
        <v>0</v>
      </c>
      <c r="M82" s="20">
        <f>'Fil de l''eau'!M121</f>
        <v>0</v>
      </c>
      <c r="N82" s="21">
        <f>'Fil de l''eau'!N121</f>
        <v>0</v>
      </c>
      <c r="O82" s="20">
        <f>'Fil de l''eau'!O121</f>
        <v>0</v>
      </c>
      <c r="P82" s="20">
        <f>'Fil de l''eau'!P121</f>
        <v>0</v>
      </c>
      <c r="Q82" s="20">
        <f>'Fil de l''eau'!Q121</f>
        <v>0</v>
      </c>
      <c r="R82" s="20">
        <f>'Fil de l''eau'!R121</f>
        <v>0</v>
      </c>
      <c r="S82" s="20">
        <f>'Fil de l''eau'!S121</f>
        <v>0</v>
      </c>
      <c r="T82" s="20">
        <f>'Fil de l''eau'!T121</f>
        <v>0</v>
      </c>
      <c r="U82" s="20">
        <f>'Fil de l''eau'!U121</f>
        <v>0</v>
      </c>
      <c r="V82" s="20">
        <f>'Fil de l''eau'!V121</f>
        <v>0</v>
      </c>
      <c r="W82" s="20">
        <f>'Fil de l''eau'!W121</f>
        <v>0</v>
      </c>
      <c r="X82" s="20">
        <f>'Fil de l''eau'!X121</f>
        <v>0</v>
      </c>
      <c r="Y82" s="20">
        <f>'Fil de l''eau'!Y121</f>
        <v>0</v>
      </c>
      <c r="Z82" s="20">
        <f>'Fil de l''eau'!Z121</f>
        <v>0</v>
      </c>
      <c r="AA82" s="20">
        <f>'Fil de l''eau'!AA121</f>
        <v>0</v>
      </c>
      <c r="AB82" s="20">
        <f>'Fil de l''eau'!AB121</f>
        <v>0</v>
      </c>
      <c r="AC82" s="20">
        <f>'Fil de l''eau'!AC121</f>
        <v>0</v>
      </c>
      <c r="AD82" s="20">
        <f>'Fil de l''eau'!AD121</f>
        <v>0</v>
      </c>
      <c r="AE82" s="20">
        <f>'Fil de l''eau'!AE121</f>
        <v>0</v>
      </c>
      <c r="AF82" s="20">
        <f>'Fil de l''eau'!AF121</f>
        <v>0</v>
      </c>
      <c r="AG82" s="20">
        <f>'Fil de l''eau'!AG121</f>
        <v>0</v>
      </c>
      <c r="AH82" s="20">
        <f>'Fil de l''eau'!AH121</f>
        <v>0</v>
      </c>
      <c r="AI82" s="20">
        <f>'Fil de l''eau'!AI121</f>
        <v>0</v>
      </c>
      <c r="AJ82" s="20">
        <f>'Fil de l''eau'!AJ121</f>
        <v>0</v>
      </c>
      <c r="AK82" s="20">
        <f>'Fil de l''eau'!AK121</f>
        <v>0</v>
      </c>
      <c r="AL82" s="20">
        <f>'Fil de l''eau'!AL121</f>
        <v>0</v>
      </c>
      <c r="AM82" s="20">
        <f>'Fil de l''eau'!AM121</f>
        <v>0</v>
      </c>
      <c r="AN82" s="20">
        <f>'Fil de l''eau'!AN121</f>
        <v>0</v>
      </c>
      <c r="AO82" s="20">
        <f>'Fil de l''eau'!AO121</f>
        <v>0</v>
      </c>
      <c r="AP82" s="20">
        <f>'Fil de l''eau'!AP121</f>
        <v>0</v>
      </c>
      <c r="AQ82" s="20">
        <f>'Fil de l''eau'!AQ121</f>
        <v>0</v>
      </c>
      <c r="AR82" s="20">
        <f>'Fil de l''eau'!AR121</f>
        <v>0</v>
      </c>
      <c r="AS82" s="20">
        <f>'Fil de l''eau'!AS121</f>
        <v>0</v>
      </c>
      <c r="AT82" s="20">
        <f>'Fil de l''eau'!AT121</f>
        <v>0</v>
      </c>
      <c r="AU82" s="20">
        <f>'Fil de l''eau'!AU121</f>
        <v>0</v>
      </c>
      <c r="AV82" s="20">
        <f>'Fil de l''eau'!AV121</f>
        <v>0</v>
      </c>
      <c r="AW82" s="20">
        <f>'Fil de l''eau'!AW121</f>
        <v>0</v>
      </c>
      <c r="AX82" s="20">
        <f>'Fil de l''eau'!AX121</f>
        <v>0</v>
      </c>
      <c r="AY82" s="20">
        <f>'Fil de l''eau'!AY121</f>
        <v>0</v>
      </c>
      <c r="AZ82" s="20">
        <f>'Fil de l''eau'!AZ121</f>
        <v>0</v>
      </c>
      <c r="BA82" s="18">
        <f>'Fil de l''eau'!BB121</f>
        <v>0</v>
      </c>
      <c r="BB82" s="22">
        <f>'Fil de l''eau'!BC121</f>
        <v>0</v>
      </c>
      <c r="BC82" s="23">
        <f>'Fil de l''eau'!BD121</f>
        <v>0</v>
      </c>
    </row>
    <row r="83" spans="1:55" ht="45" hidden="1" outlineLevel="1" x14ac:dyDescent="0.25">
      <c r="A83" s="10">
        <f>'Fil de l''eau'!A122</f>
        <v>0</v>
      </c>
      <c r="B83" s="11">
        <f>'Fil de l''eau'!B122</f>
        <v>0</v>
      </c>
      <c r="C83" s="11">
        <f>'Fil de l''eau'!C122</f>
        <v>0</v>
      </c>
      <c r="D83" s="12">
        <f>'Fil de l''eau'!D122</f>
        <v>0</v>
      </c>
      <c r="E83" s="12">
        <f>'Fil de l''eau'!E122</f>
        <v>0</v>
      </c>
      <c r="F83" s="13">
        <f>'Fil de l''eau'!F122</f>
        <v>0</v>
      </c>
      <c r="G83" s="13">
        <f>'Fil de l''eau'!G122</f>
        <v>0</v>
      </c>
      <c r="H83" s="13">
        <f>'Fil de l''eau'!H122</f>
        <v>0</v>
      </c>
      <c r="I83" s="14">
        <f>'Fil de l''eau'!I122</f>
        <v>0</v>
      </c>
      <c r="J83" s="13">
        <f>'Fil de l''eau'!J122</f>
        <v>0</v>
      </c>
      <c r="K83" s="13">
        <f>'Fil de l''eau'!K122</f>
        <v>0</v>
      </c>
      <c r="L83" s="14">
        <f>'Fil de l''eau'!L122</f>
        <v>0</v>
      </c>
      <c r="M83" s="13">
        <f>'Fil de l''eau'!M122</f>
        <v>0</v>
      </c>
      <c r="N83" s="14">
        <f>'Fil de l''eau'!N122</f>
        <v>0</v>
      </c>
      <c r="O83" s="13">
        <f>'Fil de l''eau'!O122</f>
        <v>0</v>
      </c>
      <c r="P83" s="13">
        <f>'Fil de l''eau'!P122</f>
        <v>0</v>
      </c>
      <c r="Q83" s="13">
        <f>'Fil de l''eau'!Q122</f>
        <v>0</v>
      </c>
      <c r="R83" s="13">
        <f>'Fil de l''eau'!R122</f>
        <v>0</v>
      </c>
      <c r="S83" s="13">
        <f>'Fil de l''eau'!S122</f>
        <v>0</v>
      </c>
      <c r="T83" s="13">
        <f>'Fil de l''eau'!T122</f>
        <v>0</v>
      </c>
      <c r="U83" s="13">
        <f>'Fil de l''eau'!U122</f>
        <v>0</v>
      </c>
      <c r="V83" s="13">
        <f>'Fil de l''eau'!V122</f>
        <v>0</v>
      </c>
      <c r="W83" s="13">
        <f>'Fil de l''eau'!W122</f>
        <v>0</v>
      </c>
      <c r="X83" s="13">
        <f>'Fil de l''eau'!X122</f>
        <v>0</v>
      </c>
      <c r="Y83" s="13">
        <f>'Fil de l''eau'!Y122</f>
        <v>0</v>
      </c>
      <c r="Z83" s="13">
        <f>'Fil de l''eau'!Z122</f>
        <v>0</v>
      </c>
      <c r="AA83" s="13">
        <f>'Fil de l''eau'!AA122</f>
        <v>0</v>
      </c>
      <c r="AB83" s="13">
        <f>'Fil de l''eau'!AB122</f>
        <v>0</v>
      </c>
      <c r="AC83" s="13">
        <f>'Fil de l''eau'!AC122</f>
        <v>0</v>
      </c>
      <c r="AD83" s="13">
        <f>'Fil de l''eau'!AD122</f>
        <v>0</v>
      </c>
      <c r="AE83" s="13">
        <f>'Fil de l''eau'!AE122</f>
        <v>0</v>
      </c>
      <c r="AF83" s="13">
        <f>'Fil de l''eau'!AF122</f>
        <v>0</v>
      </c>
      <c r="AG83" s="13">
        <f>'Fil de l''eau'!AG122</f>
        <v>0</v>
      </c>
      <c r="AH83" s="13">
        <f>'Fil de l''eau'!AH122</f>
        <v>0</v>
      </c>
      <c r="AI83" s="13">
        <f>'Fil de l''eau'!AI122</f>
        <v>0</v>
      </c>
      <c r="AJ83" s="13">
        <f>'Fil de l''eau'!AJ122</f>
        <v>0</v>
      </c>
      <c r="AK83" s="13">
        <f>'Fil de l''eau'!AK122</f>
        <v>0</v>
      </c>
      <c r="AL83" s="13">
        <f>'Fil de l''eau'!AL122</f>
        <v>0</v>
      </c>
      <c r="AM83" s="13">
        <f>'Fil de l''eau'!AM122</f>
        <v>0</v>
      </c>
      <c r="AN83" s="13">
        <f>'Fil de l''eau'!AN122</f>
        <v>0</v>
      </c>
      <c r="AO83" s="13">
        <f>'Fil de l''eau'!AO122</f>
        <v>0</v>
      </c>
      <c r="AP83" s="13">
        <f>'Fil de l''eau'!AP122</f>
        <v>0</v>
      </c>
      <c r="AQ83" s="13">
        <f>'Fil de l''eau'!AQ122</f>
        <v>0</v>
      </c>
      <c r="AR83" s="13">
        <f>'Fil de l''eau'!AR122</f>
        <v>0</v>
      </c>
      <c r="AS83" s="13">
        <f>'Fil de l''eau'!AS122</f>
        <v>0</v>
      </c>
      <c r="AT83" s="13">
        <f>'Fil de l''eau'!AT122</f>
        <v>0</v>
      </c>
      <c r="AU83" s="13">
        <f>'Fil de l''eau'!AU122</f>
        <v>0</v>
      </c>
      <c r="AV83" s="13">
        <f>'Fil de l''eau'!AV122</f>
        <v>0</v>
      </c>
      <c r="AW83" s="13">
        <f>'Fil de l''eau'!AW122</f>
        <v>0</v>
      </c>
      <c r="AX83" s="13">
        <f>'Fil de l''eau'!AX122</f>
        <v>0</v>
      </c>
      <c r="AY83" s="13">
        <f>'Fil de l''eau'!AY122</f>
        <v>0</v>
      </c>
      <c r="AZ83" s="13">
        <f>'Fil de l''eau'!AZ122</f>
        <v>0</v>
      </c>
      <c r="BA83" s="11">
        <f>'Fil de l''eau'!BB122</f>
        <v>0</v>
      </c>
      <c r="BB83" s="15">
        <f>'Fil de l''eau'!BC122</f>
        <v>0</v>
      </c>
      <c r="BC83" s="16">
        <f>'Fil de l''eau'!BD122</f>
        <v>0</v>
      </c>
    </row>
    <row r="84" spans="1:55" ht="30" hidden="1" outlineLevel="1" x14ac:dyDescent="0.25">
      <c r="A84" s="17">
        <f>'Fil de l''eau'!A123</f>
        <v>0</v>
      </c>
      <c r="B84" s="18">
        <f>'Fil de l''eau'!B123</f>
        <v>0</v>
      </c>
      <c r="C84" s="18">
        <f>'Fil de l''eau'!C123</f>
        <v>0</v>
      </c>
      <c r="D84" s="19">
        <f>'Fil de l''eau'!D123</f>
        <v>0</v>
      </c>
      <c r="E84" s="19">
        <f>'Fil de l''eau'!E123</f>
        <v>0</v>
      </c>
      <c r="F84" s="20">
        <f>'Fil de l''eau'!F123</f>
        <v>0</v>
      </c>
      <c r="G84" s="20">
        <f>'Fil de l''eau'!G123</f>
        <v>0</v>
      </c>
      <c r="H84" s="20">
        <f>'Fil de l''eau'!H123</f>
        <v>0</v>
      </c>
      <c r="I84" s="21">
        <f>'Fil de l''eau'!I123</f>
        <v>0</v>
      </c>
      <c r="J84" s="20">
        <f>'Fil de l''eau'!J123</f>
        <v>0</v>
      </c>
      <c r="K84" s="20">
        <f>'Fil de l''eau'!K123</f>
        <v>0</v>
      </c>
      <c r="L84" s="21">
        <f>'Fil de l''eau'!L123</f>
        <v>0</v>
      </c>
      <c r="M84" s="20">
        <f>'Fil de l''eau'!M123</f>
        <v>0</v>
      </c>
      <c r="N84" s="21">
        <f>'Fil de l''eau'!N123</f>
        <v>0</v>
      </c>
      <c r="O84" s="20">
        <f>'Fil de l''eau'!O123</f>
        <v>0</v>
      </c>
      <c r="P84" s="20">
        <f>'Fil de l''eau'!P123</f>
        <v>0</v>
      </c>
      <c r="Q84" s="20">
        <f>'Fil de l''eau'!Q123</f>
        <v>0</v>
      </c>
      <c r="R84" s="20">
        <f>'Fil de l''eau'!R123</f>
        <v>0</v>
      </c>
      <c r="S84" s="20">
        <f>'Fil de l''eau'!S123</f>
        <v>0</v>
      </c>
      <c r="T84" s="20">
        <f>'Fil de l''eau'!T123</f>
        <v>0</v>
      </c>
      <c r="U84" s="20">
        <f>'Fil de l''eau'!U123</f>
        <v>0</v>
      </c>
      <c r="V84" s="20">
        <f>'Fil de l''eau'!V123</f>
        <v>0</v>
      </c>
      <c r="W84" s="20">
        <f>'Fil de l''eau'!W123</f>
        <v>0</v>
      </c>
      <c r="X84" s="20">
        <f>'Fil de l''eau'!X123</f>
        <v>0</v>
      </c>
      <c r="Y84" s="20">
        <f>'Fil de l''eau'!Y123</f>
        <v>0</v>
      </c>
      <c r="Z84" s="20">
        <f>'Fil de l''eau'!Z123</f>
        <v>0</v>
      </c>
      <c r="AA84" s="20">
        <f>'Fil de l''eau'!AA123</f>
        <v>0</v>
      </c>
      <c r="AB84" s="20">
        <f>'Fil de l''eau'!AB123</f>
        <v>0</v>
      </c>
      <c r="AC84" s="20">
        <f>'Fil de l''eau'!AC123</f>
        <v>0</v>
      </c>
      <c r="AD84" s="20">
        <f>'Fil de l''eau'!AD123</f>
        <v>0</v>
      </c>
      <c r="AE84" s="20">
        <f>'Fil de l''eau'!AE123</f>
        <v>0</v>
      </c>
      <c r="AF84" s="20">
        <f>'Fil de l''eau'!AF123</f>
        <v>0</v>
      </c>
      <c r="AG84" s="20">
        <f>'Fil de l''eau'!AG123</f>
        <v>0</v>
      </c>
      <c r="AH84" s="20">
        <f>'Fil de l''eau'!AH123</f>
        <v>0</v>
      </c>
      <c r="AI84" s="20">
        <f>'Fil de l''eau'!AI123</f>
        <v>0</v>
      </c>
      <c r="AJ84" s="20">
        <f>'Fil de l''eau'!AJ123</f>
        <v>0</v>
      </c>
      <c r="AK84" s="20">
        <f>'Fil de l''eau'!AK123</f>
        <v>0</v>
      </c>
      <c r="AL84" s="20">
        <f>'Fil de l''eau'!AL123</f>
        <v>0</v>
      </c>
      <c r="AM84" s="20">
        <f>'Fil de l''eau'!AM123</f>
        <v>0</v>
      </c>
      <c r="AN84" s="20">
        <f>'Fil de l''eau'!AN123</f>
        <v>0</v>
      </c>
      <c r="AO84" s="20">
        <f>'Fil de l''eau'!AO123</f>
        <v>0</v>
      </c>
      <c r="AP84" s="20">
        <f>'Fil de l''eau'!AP123</f>
        <v>0</v>
      </c>
      <c r="AQ84" s="20">
        <f>'Fil de l''eau'!AQ123</f>
        <v>0</v>
      </c>
      <c r="AR84" s="20">
        <f>'Fil de l''eau'!AR123</f>
        <v>0</v>
      </c>
      <c r="AS84" s="20">
        <f>'Fil de l''eau'!AS123</f>
        <v>0</v>
      </c>
      <c r="AT84" s="20">
        <f>'Fil de l''eau'!AT123</f>
        <v>0</v>
      </c>
      <c r="AU84" s="20">
        <f>'Fil de l''eau'!AU123</f>
        <v>0</v>
      </c>
      <c r="AV84" s="20">
        <f>'Fil de l''eau'!AV123</f>
        <v>0</v>
      </c>
      <c r="AW84" s="20">
        <f>'Fil de l''eau'!AW123</f>
        <v>0</v>
      </c>
      <c r="AX84" s="20">
        <f>'Fil de l''eau'!AX123</f>
        <v>0</v>
      </c>
      <c r="AY84" s="20">
        <f>'Fil de l''eau'!AY123</f>
        <v>0</v>
      </c>
      <c r="AZ84" s="20">
        <f>'Fil de l''eau'!AZ123</f>
        <v>0</v>
      </c>
      <c r="BA84" s="18">
        <f>'Fil de l''eau'!BB123</f>
        <v>0</v>
      </c>
      <c r="BB84" s="22">
        <f>'Fil de l''eau'!BC123</f>
        <v>0</v>
      </c>
      <c r="BC84" s="23">
        <f>'Fil de l''eau'!BD123</f>
        <v>0</v>
      </c>
    </row>
    <row r="85" spans="1:55" ht="30" hidden="1" outlineLevel="1" x14ac:dyDescent="0.25">
      <c r="A85" s="10">
        <f>'Fil de l''eau'!A124</f>
        <v>0</v>
      </c>
      <c r="B85" s="11">
        <f>'Fil de l''eau'!B124</f>
        <v>0</v>
      </c>
      <c r="C85" s="11">
        <f>'Fil de l''eau'!C124</f>
        <v>0</v>
      </c>
      <c r="D85" s="12">
        <f>'Fil de l''eau'!D124</f>
        <v>0</v>
      </c>
      <c r="E85" s="12">
        <f>'Fil de l''eau'!E124</f>
        <v>0</v>
      </c>
      <c r="F85" s="13">
        <f>'Fil de l''eau'!F124</f>
        <v>0</v>
      </c>
      <c r="G85" s="13">
        <f>'Fil de l''eau'!G124</f>
        <v>0</v>
      </c>
      <c r="H85" s="13">
        <f>'Fil de l''eau'!H124</f>
        <v>0</v>
      </c>
      <c r="I85" s="14">
        <f>'Fil de l''eau'!I124</f>
        <v>0</v>
      </c>
      <c r="J85" s="13">
        <f>'Fil de l''eau'!J124</f>
        <v>0</v>
      </c>
      <c r="K85" s="13">
        <f>'Fil de l''eau'!K124</f>
        <v>0</v>
      </c>
      <c r="L85" s="14">
        <f>'Fil de l''eau'!L124</f>
        <v>0</v>
      </c>
      <c r="M85" s="13">
        <f>'Fil de l''eau'!M124</f>
        <v>0</v>
      </c>
      <c r="N85" s="14">
        <f>'Fil de l''eau'!N124</f>
        <v>0</v>
      </c>
      <c r="O85" s="13">
        <f>'Fil de l''eau'!O124</f>
        <v>0</v>
      </c>
      <c r="P85" s="13">
        <f>'Fil de l''eau'!P124</f>
        <v>0</v>
      </c>
      <c r="Q85" s="13">
        <f>'Fil de l''eau'!Q124</f>
        <v>0</v>
      </c>
      <c r="R85" s="13">
        <f>'Fil de l''eau'!R124</f>
        <v>0</v>
      </c>
      <c r="S85" s="13">
        <f>'Fil de l''eau'!S124</f>
        <v>0</v>
      </c>
      <c r="T85" s="13">
        <f>'Fil de l''eau'!T124</f>
        <v>0</v>
      </c>
      <c r="U85" s="13">
        <f>'Fil de l''eau'!U124</f>
        <v>0</v>
      </c>
      <c r="V85" s="13">
        <f>'Fil de l''eau'!V124</f>
        <v>0</v>
      </c>
      <c r="W85" s="13">
        <f>'Fil de l''eau'!W124</f>
        <v>0</v>
      </c>
      <c r="X85" s="13">
        <f>'Fil de l''eau'!X124</f>
        <v>0</v>
      </c>
      <c r="Y85" s="13">
        <f>'Fil de l''eau'!Y124</f>
        <v>0</v>
      </c>
      <c r="Z85" s="13">
        <f>'Fil de l''eau'!Z124</f>
        <v>0</v>
      </c>
      <c r="AA85" s="13">
        <f>'Fil de l''eau'!AA124</f>
        <v>0</v>
      </c>
      <c r="AB85" s="13">
        <f>'Fil de l''eau'!AB124</f>
        <v>0</v>
      </c>
      <c r="AC85" s="13">
        <f>'Fil de l''eau'!AC124</f>
        <v>0</v>
      </c>
      <c r="AD85" s="13">
        <f>'Fil de l''eau'!AD124</f>
        <v>0</v>
      </c>
      <c r="AE85" s="13">
        <f>'Fil de l''eau'!AE124</f>
        <v>0</v>
      </c>
      <c r="AF85" s="13">
        <f>'Fil de l''eau'!AF124</f>
        <v>0</v>
      </c>
      <c r="AG85" s="13">
        <f>'Fil de l''eau'!AG124</f>
        <v>0</v>
      </c>
      <c r="AH85" s="13">
        <f>'Fil de l''eau'!AH124</f>
        <v>0</v>
      </c>
      <c r="AI85" s="13">
        <f>'Fil de l''eau'!AI124</f>
        <v>0</v>
      </c>
      <c r="AJ85" s="13">
        <f>'Fil de l''eau'!AJ124</f>
        <v>0</v>
      </c>
      <c r="AK85" s="13">
        <f>'Fil de l''eau'!AK124</f>
        <v>0</v>
      </c>
      <c r="AL85" s="13">
        <f>'Fil de l''eau'!AL124</f>
        <v>0</v>
      </c>
      <c r="AM85" s="13">
        <f>'Fil de l''eau'!AM124</f>
        <v>0</v>
      </c>
      <c r="AN85" s="13">
        <f>'Fil de l''eau'!AN124</f>
        <v>0</v>
      </c>
      <c r="AO85" s="13">
        <f>'Fil de l''eau'!AO124</f>
        <v>0</v>
      </c>
      <c r="AP85" s="13">
        <f>'Fil de l''eau'!AP124</f>
        <v>0</v>
      </c>
      <c r="AQ85" s="13">
        <f>'Fil de l''eau'!AQ124</f>
        <v>0</v>
      </c>
      <c r="AR85" s="13">
        <f>'Fil de l''eau'!AR124</f>
        <v>0</v>
      </c>
      <c r="AS85" s="13">
        <f>'Fil de l''eau'!AS124</f>
        <v>0</v>
      </c>
      <c r="AT85" s="13">
        <f>'Fil de l''eau'!AT124</f>
        <v>0</v>
      </c>
      <c r="AU85" s="13">
        <f>'Fil de l''eau'!AU124</f>
        <v>0</v>
      </c>
      <c r="AV85" s="13">
        <f>'Fil de l''eau'!AV124</f>
        <v>0</v>
      </c>
      <c r="AW85" s="13">
        <f>'Fil de l''eau'!AW124</f>
        <v>0</v>
      </c>
      <c r="AX85" s="13">
        <f>'Fil de l''eau'!AX124</f>
        <v>0</v>
      </c>
      <c r="AY85" s="13">
        <f>'Fil de l''eau'!AY124</f>
        <v>0</v>
      </c>
      <c r="AZ85" s="13">
        <f>'Fil de l''eau'!AZ124</f>
        <v>0</v>
      </c>
      <c r="BA85" s="11">
        <f>'Fil de l''eau'!BB124</f>
        <v>0</v>
      </c>
      <c r="BB85" s="15">
        <f>'Fil de l''eau'!BC124</f>
        <v>0</v>
      </c>
      <c r="BC85" s="16">
        <f>'Fil de l''eau'!BD124</f>
        <v>0</v>
      </c>
    </row>
    <row r="86" spans="1:55" ht="30" hidden="1" outlineLevel="1" x14ac:dyDescent="0.25">
      <c r="A86" s="17">
        <f>'Fil de l''eau'!A125</f>
        <v>0</v>
      </c>
      <c r="B86" s="18">
        <f>'Fil de l''eau'!B125</f>
        <v>0</v>
      </c>
      <c r="C86" s="18">
        <f>'Fil de l''eau'!C125</f>
        <v>0</v>
      </c>
      <c r="D86" s="19">
        <f>'Fil de l''eau'!D125</f>
        <v>0</v>
      </c>
      <c r="E86" s="19">
        <f>'Fil de l''eau'!E125</f>
        <v>0</v>
      </c>
      <c r="F86" s="20">
        <f>'Fil de l''eau'!F125</f>
        <v>0</v>
      </c>
      <c r="G86" s="20">
        <f>'Fil de l''eau'!G125</f>
        <v>0</v>
      </c>
      <c r="H86" s="20">
        <f>'Fil de l''eau'!H125</f>
        <v>0</v>
      </c>
      <c r="I86" s="21">
        <f>'Fil de l''eau'!I125</f>
        <v>0</v>
      </c>
      <c r="J86" s="20">
        <f>'Fil de l''eau'!J125</f>
        <v>0</v>
      </c>
      <c r="K86" s="20">
        <f>'Fil de l''eau'!K125</f>
        <v>0</v>
      </c>
      <c r="L86" s="21">
        <f>'Fil de l''eau'!L125</f>
        <v>0</v>
      </c>
      <c r="M86" s="20">
        <f>'Fil de l''eau'!M125</f>
        <v>0</v>
      </c>
      <c r="N86" s="21">
        <f>'Fil de l''eau'!N125</f>
        <v>0</v>
      </c>
      <c r="O86" s="20">
        <f>'Fil de l''eau'!O125</f>
        <v>0</v>
      </c>
      <c r="P86" s="20">
        <f>'Fil de l''eau'!P125</f>
        <v>0</v>
      </c>
      <c r="Q86" s="20">
        <f>'Fil de l''eau'!Q125</f>
        <v>0</v>
      </c>
      <c r="R86" s="20">
        <f>'Fil de l''eau'!R125</f>
        <v>0</v>
      </c>
      <c r="S86" s="20">
        <f>'Fil de l''eau'!S125</f>
        <v>0</v>
      </c>
      <c r="T86" s="20">
        <f>'Fil de l''eau'!T125</f>
        <v>0</v>
      </c>
      <c r="U86" s="20">
        <f>'Fil de l''eau'!U125</f>
        <v>0</v>
      </c>
      <c r="V86" s="20">
        <f>'Fil de l''eau'!V125</f>
        <v>0</v>
      </c>
      <c r="W86" s="20">
        <f>'Fil de l''eau'!W125</f>
        <v>0</v>
      </c>
      <c r="X86" s="20">
        <f>'Fil de l''eau'!X125</f>
        <v>0</v>
      </c>
      <c r="Y86" s="20">
        <f>'Fil de l''eau'!Y125</f>
        <v>0</v>
      </c>
      <c r="Z86" s="20">
        <f>'Fil de l''eau'!Z125</f>
        <v>0</v>
      </c>
      <c r="AA86" s="20">
        <f>'Fil de l''eau'!AA125</f>
        <v>0</v>
      </c>
      <c r="AB86" s="20">
        <f>'Fil de l''eau'!AB125</f>
        <v>0</v>
      </c>
      <c r="AC86" s="20">
        <f>'Fil de l''eau'!AC125</f>
        <v>0</v>
      </c>
      <c r="AD86" s="20">
        <f>'Fil de l''eau'!AD125</f>
        <v>0</v>
      </c>
      <c r="AE86" s="20">
        <f>'Fil de l''eau'!AE125</f>
        <v>0</v>
      </c>
      <c r="AF86" s="20">
        <f>'Fil de l''eau'!AF125</f>
        <v>0</v>
      </c>
      <c r="AG86" s="20">
        <f>'Fil de l''eau'!AG125</f>
        <v>0</v>
      </c>
      <c r="AH86" s="20">
        <f>'Fil de l''eau'!AH125</f>
        <v>0</v>
      </c>
      <c r="AI86" s="20">
        <f>'Fil de l''eau'!AI125</f>
        <v>0</v>
      </c>
      <c r="AJ86" s="20">
        <f>'Fil de l''eau'!AJ125</f>
        <v>0</v>
      </c>
      <c r="AK86" s="20">
        <f>'Fil de l''eau'!AK125</f>
        <v>0</v>
      </c>
      <c r="AL86" s="20">
        <f>'Fil de l''eau'!AL125</f>
        <v>0</v>
      </c>
      <c r="AM86" s="20">
        <f>'Fil de l''eau'!AM125</f>
        <v>0</v>
      </c>
      <c r="AN86" s="20">
        <f>'Fil de l''eau'!AN125</f>
        <v>0</v>
      </c>
      <c r="AO86" s="20">
        <f>'Fil de l''eau'!AO125</f>
        <v>0</v>
      </c>
      <c r="AP86" s="20">
        <f>'Fil de l''eau'!AP125</f>
        <v>0</v>
      </c>
      <c r="AQ86" s="20">
        <f>'Fil de l''eau'!AQ125</f>
        <v>0</v>
      </c>
      <c r="AR86" s="20">
        <f>'Fil de l''eau'!AR125</f>
        <v>0</v>
      </c>
      <c r="AS86" s="20">
        <f>'Fil de l''eau'!AS125</f>
        <v>0</v>
      </c>
      <c r="AT86" s="20">
        <f>'Fil de l''eau'!AT125</f>
        <v>0</v>
      </c>
      <c r="AU86" s="20">
        <f>'Fil de l''eau'!AU125</f>
        <v>0</v>
      </c>
      <c r="AV86" s="20">
        <f>'Fil de l''eau'!AV125</f>
        <v>0</v>
      </c>
      <c r="AW86" s="20">
        <f>'Fil de l''eau'!AW125</f>
        <v>0</v>
      </c>
      <c r="AX86" s="20">
        <f>'Fil de l''eau'!AX125</f>
        <v>0</v>
      </c>
      <c r="AY86" s="20">
        <f>'Fil de l''eau'!AY125</f>
        <v>0</v>
      </c>
      <c r="AZ86" s="20">
        <f>'Fil de l''eau'!AZ125</f>
        <v>0</v>
      </c>
      <c r="BA86" s="18">
        <f>'Fil de l''eau'!BB125</f>
        <v>0</v>
      </c>
      <c r="BB86" s="22">
        <f>'Fil de l''eau'!BC125</f>
        <v>0</v>
      </c>
      <c r="BC86" s="23">
        <f>'Fil de l''eau'!BD125</f>
        <v>0</v>
      </c>
    </row>
    <row r="87" spans="1:55" ht="30" hidden="1" outlineLevel="1" x14ac:dyDescent="0.25">
      <c r="A87" s="10">
        <f>'Fil de l''eau'!A126</f>
        <v>0</v>
      </c>
      <c r="B87" s="11">
        <f>'Fil de l''eau'!B126</f>
        <v>0</v>
      </c>
      <c r="C87" s="11">
        <f>'Fil de l''eau'!C126</f>
        <v>0</v>
      </c>
      <c r="D87" s="12">
        <f>'Fil de l''eau'!D126</f>
        <v>0</v>
      </c>
      <c r="E87" s="12">
        <f>'Fil de l''eau'!E126</f>
        <v>0</v>
      </c>
      <c r="F87" s="13">
        <f>'Fil de l''eau'!F126</f>
        <v>0</v>
      </c>
      <c r="G87" s="13">
        <f>'Fil de l''eau'!G126</f>
        <v>0</v>
      </c>
      <c r="H87" s="13">
        <f>'Fil de l''eau'!H126</f>
        <v>0</v>
      </c>
      <c r="I87" s="14">
        <f>'Fil de l''eau'!I126</f>
        <v>0</v>
      </c>
      <c r="J87" s="13">
        <f>'Fil de l''eau'!J126</f>
        <v>0</v>
      </c>
      <c r="K87" s="13">
        <f>'Fil de l''eau'!K126</f>
        <v>0</v>
      </c>
      <c r="L87" s="14">
        <f>'Fil de l''eau'!L126</f>
        <v>0</v>
      </c>
      <c r="M87" s="13">
        <f>'Fil de l''eau'!M126</f>
        <v>0</v>
      </c>
      <c r="N87" s="14">
        <f>'Fil de l''eau'!N126</f>
        <v>0</v>
      </c>
      <c r="O87" s="13">
        <f>'Fil de l''eau'!O126</f>
        <v>0</v>
      </c>
      <c r="P87" s="13">
        <f>'Fil de l''eau'!P126</f>
        <v>0</v>
      </c>
      <c r="Q87" s="13">
        <f>'Fil de l''eau'!Q126</f>
        <v>0</v>
      </c>
      <c r="R87" s="13">
        <f>'Fil de l''eau'!R126</f>
        <v>0</v>
      </c>
      <c r="S87" s="13">
        <f>'Fil de l''eau'!S126</f>
        <v>0</v>
      </c>
      <c r="T87" s="13">
        <f>'Fil de l''eau'!T126</f>
        <v>0</v>
      </c>
      <c r="U87" s="13">
        <f>'Fil de l''eau'!U126</f>
        <v>0</v>
      </c>
      <c r="V87" s="13">
        <f>'Fil de l''eau'!V126</f>
        <v>0</v>
      </c>
      <c r="W87" s="13">
        <f>'Fil de l''eau'!W126</f>
        <v>0</v>
      </c>
      <c r="X87" s="13">
        <f>'Fil de l''eau'!X126</f>
        <v>0</v>
      </c>
      <c r="Y87" s="13">
        <f>'Fil de l''eau'!Y126</f>
        <v>0</v>
      </c>
      <c r="Z87" s="13">
        <f>'Fil de l''eau'!Z126</f>
        <v>0</v>
      </c>
      <c r="AA87" s="13">
        <f>'Fil de l''eau'!AA126</f>
        <v>0</v>
      </c>
      <c r="AB87" s="13">
        <f>'Fil de l''eau'!AB126</f>
        <v>0</v>
      </c>
      <c r="AC87" s="13">
        <f>'Fil de l''eau'!AC126</f>
        <v>0</v>
      </c>
      <c r="AD87" s="13">
        <f>'Fil de l''eau'!AD126</f>
        <v>0</v>
      </c>
      <c r="AE87" s="13">
        <f>'Fil de l''eau'!AE126</f>
        <v>0</v>
      </c>
      <c r="AF87" s="13">
        <f>'Fil de l''eau'!AF126</f>
        <v>0</v>
      </c>
      <c r="AG87" s="13">
        <f>'Fil de l''eau'!AG126</f>
        <v>0</v>
      </c>
      <c r="AH87" s="13">
        <f>'Fil de l''eau'!AH126</f>
        <v>0</v>
      </c>
      <c r="AI87" s="13">
        <f>'Fil de l''eau'!AI126</f>
        <v>0</v>
      </c>
      <c r="AJ87" s="13">
        <f>'Fil de l''eau'!AJ126</f>
        <v>0</v>
      </c>
      <c r="AK87" s="13">
        <f>'Fil de l''eau'!AK126</f>
        <v>0</v>
      </c>
      <c r="AL87" s="13">
        <f>'Fil de l''eau'!AL126</f>
        <v>0</v>
      </c>
      <c r="AM87" s="13">
        <f>'Fil de l''eau'!AM126</f>
        <v>0</v>
      </c>
      <c r="AN87" s="13">
        <f>'Fil de l''eau'!AN126</f>
        <v>0</v>
      </c>
      <c r="AO87" s="13">
        <f>'Fil de l''eau'!AO126</f>
        <v>0</v>
      </c>
      <c r="AP87" s="13">
        <f>'Fil de l''eau'!AP126</f>
        <v>0</v>
      </c>
      <c r="AQ87" s="13">
        <f>'Fil de l''eau'!AQ126</f>
        <v>0</v>
      </c>
      <c r="AR87" s="13">
        <f>'Fil de l''eau'!AR126</f>
        <v>0</v>
      </c>
      <c r="AS87" s="13">
        <f>'Fil de l''eau'!AS126</f>
        <v>0</v>
      </c>
      <c r="AT87" s="13">
        <f>'Fil de l''eau'!AT126</f>
        <v>0</v>
      </c>
      <c r="AU87" s="13">
        <f>'Fil de l''eau'!AU126</f>
        <v>0</v>
      </c>
      <c r="AV87" s="13">
        <f>'Fil de l''eau'!AV126</f>
        <v>0</v>
      </c>
      <c r="AW87" s="13">
        <f>'Fil de l''eau'!AW126</f>
        <v>0</v>
      </c>
      <c r="AX87" s="13">
        <f>'Fil de l''eau'!AX126</f>
        <v>0</v>
      </c>
      <c r="AY87" s="13">
        <f>'Fil de l''eau'!AY126</f>
        <v>0</v>
      </c>
      <c r="AZ87" s="13">
        <f>'Fil de l''eau'!AZ126</f>
        <v>0</v>
      </c>
      <c r="BA87" s="11">
        <f>'Fil de l''eau'!BB126</f>
        <v>0</v>
      </c>
      <c r="BB87" s="15">
        <f>'Fil de l''eau'!BC126</f>
        <v>0</v>
      </c>
      <c r="BC87" s="16">
        <f>'Fil de l''eau'!BD126</f>
        <v>0</v>
      </c>
    </row>
    <row r="88" spans="1:55" ht="30" hidden="1" outlineLevel="1" x14ac:dyDescent="0.25">
      <c r="A88" s="17">
        <f>'Fil de l''eau'!A127</f>
        <v>0</v>
      </c>
      <c r="B88" s="18">
        <f>'Fil de l''eau'!B127</f>
        <v>0</v>
      </c>
      <c r="C88" s="18">
        <f>'Fil de l''eau'!C127</f>
        <v>0</v>
      </c>
      <c r="D88" s="19">
        <f>'Fil de l''eau'!D127</f>
        <v>0</v>
      </c>
      <c r="E88" s="19">
        <f>'Fil de l''eau'!E127</f>
        <v>0</v>
      </c>
      <c r="F88" s="20">
        <f>'Fil de l''eau'!F127</f>
        <v>0</v>
      </c>
      <c r="G88" s="20">
        <f>'Fil de l''eau'!G127</f>
        <v>0</v>
      </c>
      <c r="H88" s="20">
        <f>'Fil de l''eau'!H127</f>
        <v>0</v>
      </c>
      <c r="I88" s="21">
        <f>'Fil de l''eau'!I127</f>
        <v>0</v>
      </c>
      <c r="J88" s="20">
        <f>'Fil de l''eau'!J127</f>
        <v>0</v>
      </c>
      <c r="K88" s="20">
        <f>'Fil de l''eau'!K127</f>
        <v>0</v>
      </c>
      <c r="L88" s="21">
        <f>'Fil de l''eau'!L127</f>
        <v>0</v>
      </c>
      <c r="M88" s="20">
        <f>'Fil de l''eau'!M127</f>
        <v>0</v>
      </c>
      <c r="N88" s="21">
        <f>'Fil de l''eau'!N127</f>
        <v>0</v>
      </c>
      <c r="O88" s="20">
        <f>'Fil de l''eau'!O127</f>
        <v>0</v>
      </c>
      <c r="P88" s="20">
        <f>'Fil de l''eau'!P127</f>
        <v>0</v>
      </c>
      <c r="Q88" s="20">
        <f>'Fil de l''eau'!Q127</f>
        <v>0</v>
      </c>
      <c r="R88" s="20">
        <f>'Fil de l''eau'!R127</f>
        <v>0</v>
      </c>
      <c r="S88" s="20">
        <f>'Fil de l''eau'!S127</f>
        <v>0</v>
      </c>
      <c r="T88" s="20">
        <f>'Fil de l''eau'!T127</f>
        <v>0</v>
      </c>
      <c r="U88" s="20">
        <f>'Fil de l''eau'!U127</f>
        <v>0</v>
      </c>
      <c r="V88" s="20">
        <f>'Fil de l''eau'!V127</f>
        <v>0</v>
      </c>
      <c r="W88" s="20">
        <f>'Fil de l''eau'!W127</f>
        <v>0</v>
      </c>
      <c r="X88" s="20">
        <f>'Fil de l''eau'!X127</f>
        <v>0</v>
      </c>
      <c r="Y88" s="20">
        <f>'Fil de l''eau'!Y127</f>
        <v>0</v>
      </c>
      <c r="Z88" s="20">
        <f>'Fil de l''eau'!Z127</f>
        <v>0</v>
      </c>
      <c r="AA88" s="20">
        <f>'Fil de l''eau'!AA127</f>
        <v>0</v>
      </c>
      <c r="AB88" s="20">
        <f>'Fil de l''eau'!AB127</f>
        <v>0</v>
      </c>
      <c r="AC88" s="20">
        <f>'Fil de l''eau'!AC127</f>
        <v>0</v>
      </c>
      <c r="AD88" s="20">
        <f>'Fil de l''eau'!AD127</f>
        <v>0</v>
      </c>
      <c r="AE88" s="20">
        <f>'Fil de l''eau'!AE127</f>
        <v>0</v>
      </c>
      <c r="AF88" s="20">
        <f>'Fil de l''eau'!AF127</f>
        <v>0</v>
      </c>
      <c r="AG88" s="20">
        <f>'Fil de l''eau'!AG127</f>
        <v>0</v>
      </c>
      <c r="AH88" s="20">
        <f>'Fil de l''eau'!AH127</f>
        <v>0</v>
      </c>
      <c r="AI88" s="20">
        <f>'Fil de l''eau'!AI127</f>
        <v>0</v>
      </c>
      <c r="AJ88" s="20">
        <f>'Fil de l''eau'!AJ127</f>
        <v>0</v>
      </c>
      <c r="AK88" s="20">
        <f>'Fil de l''eau'!AK127</f>
        <v>0</v>
      </c>
      <c r="AL88" s="20">
        <f>'Fil de l''eau'!AL127</f>
        <v>0</v>
      </c>
      <c r="AM88" s="20">
        <f>'Fil de l''eau'!AM127</f>
        <v>0</v>
      </c>
      <c r="AN88" s="20">
        <f>'Fil de l''eau'!AN127</f>
        <v>0</v>
      </c>
      <c r="AO88" s="20">
        <f>'Fil de l''eau'!AO127</f>
        <v>0</v>
      </c>
      <c r="AP88" s="20">
        <f>'Fil de l''eau'!AP127</f>
        <v>0</v>
      </c>
      <c r="AQ88" s="20">
        <f>'Fil de l''eau'!AQ127</f>
        <v>0</v>
      </c>
      <c r="AR88" s="20">
        <f>'Fil de l''eau'!AR127</f>
        <v>0</v>
      </c>
      <c r="AS88" s="20">
        <f>'Fil de l''eau'!AS127</f>
        <v>0</v>
      </c>
      <c r="AT88" s="20">
        <f>'Fil de l''eau'!AT127</f>
        <v>0</v>
      </c>
      <c r="AU88" s="20">
        <f>'Fil de l''eau'!AU127</f>
        <v>0</v>
      </c>
      <c r="AV88" s="20">
        <f>'Fil de l''eau'!AV127</f>
        <v>0</v>
      </c>
      <c r="AW88" s="20">
        <f>'Fil de l''eau'!AW127</f>
        <v>0</v>
      </c>
      <c r="AX88" s="20">
        <f>'Fil de l''eau'!AX127</f>
        <v>0</v>
      </c>
      <c r="AY88" s="20">
        <f>'Fil de l''eau'!AY127</f>
        <v>0</v>
      </c>
      <c r="AZ88" s="20">
        <f>'Fil de l''eau'!AZ127</f>
        <v>0</v>
      </c>
      <c r="BA88" s="18">
        <f>'Fil de l''eau'!BB127</f>
        <v>0</v>
      </c>
      <c r="BB88" s="22">
        <f>'Fil de l''eau'!BC127</f>
        <v>0</v>
      </c>
      <c r="BC88" s="23">
        <f>'Fil de l''eau'!BD127</f>
        <v>0</v>
      </c>
    </row>
    <row r="89" spans="1:55" ht="30" hidden="1" outlineLevel="1" x14ac:dyDescent="0.25">
      <c r="A89" s="10">
        <f>'Fil de l''eau'!A128</f>
        <v>0</v>
      </c>
      <c r="B89" s="11">
        <f>'Fil de l''eau'!B128</f>
        <v>0</v>
      </c>
      <c r="C89" s="11">
        <f>'Fil de l''eau'!C128</f>
        <v>0</v>
      </c>
      <c r="D89" s="12">
        <f>'Fil de l''eau'!D128</f>
        <v>0</v>
      </c>
      <c r="E89" s="12">
        <f>'Fil de l''eau'!E128</f>
        <v>0</v>
      </c>
      <c r="F89" s="13">
        <f>'Fil de l''eau'!F128</f>
        <v>0</v>
      </c>
      <c r="G89" s="13">
        <f>'Fil de l''eau'!G128</f>
        <v>0</v>
      </c>
      <c r="H89" s="13">
        <f>'Fil de l''eau'!H128</f>
        <v>0</v>
      </c>
      <c r="I89" s="14">
        <f>'Fil de l''eau'!I128</f>
        <v>0</v>
      </c>
      <c r="J89" s="13">
        <f>'Fil de l''eau'!J128</f>
        <v>0</v>
      </c>
      <c r="K89" s="13">
        <f>'Fil de l''eau'!K128</f>
        <v>0</v>
      </c>
      <c r="L89" s="14">
        <f>'Fil de l''eau'!L128</f>
        <v>0</v>
      </c>
      <c r="M89" s="13">
        <f>'Fil de l''eau'!M128</f>
        <v>0</v>
      </c>
      <c r="N89" s="14">
        <f>'Fil de l''eau'!N128</f>
        <v>0</v>
      </c>
      <c r="O89" s="13">
        <f>'Fil de l''eau'!O128</f>
        <v>0</v>
      </c>
      <c r="P89" s="13">
        <f>'Fil de l''eau'!P128</f>
        <v>0</v>
      </c>
      <c r="Q89" s="13">
        <f>'Fil de l''eau'!Q128</f>
        <v>0</v>
      </c>
      <c r="R89" s="13">
        <f>'Fil de l''eau'!R128</f>
        <v>0</v>
      </c>
      <c r="S89" s="13">
        <f>'Fil de l''eau'!S128</f>
        <v>0</v>
      </c>
      <c r="T89" s="13">
        <f>'Fil de l''eau'!T128</f>
        <v>0</v>
      </c>
      <c r="U89" s="13">
        <f>'Fil de l''eau'!U128</f>
        <v>0</v>
      </c>
      <c r="V89" s="13">
        <f>'Fil de l''eau'!V128</f>
        <v>0</v>
      </c>
      <c r="W89" s="13">
        <f>'Fil de l''eau'!W128</f>
        <v>0</v>
      </c>
      <c r="X89" s="13">
        <f>'Fil de l''eau'!X128</f>
        <v>0</v>
      </c>
      <c r="Y89" s="13">
        <f>'Fil de l''eau'!Y128</f>
        <v>0</v>
      </c>
      <c r="Z89" s="13">
        <f>'Fil de l''eau'!Z128</f>
        <v>0</v>
      </c>
      <c r="AA89" s="13">
        <f>'Fil de l''eau'!AA128</f>
        <v>0</v>
      </c>
      <c r="AB89" s="13">
        <f>'Fil de l''eau'!AB128</f>
        <v>0</v>
      </c>
      <c r="AC89" s="13">
        <f>'Fil de l''eau'!AC128</f>
        <v>0</v>
      </c>
      <c r="AD89" s="13">
        <f>'Fil de l''eau'!AD128</f>
        <v>0</v>
      </c>
      <c r="AE89" s="13">
        <f>'Fil de l''eau'!AE128</f>
        <v>0</v>
      </c>
      <c r="AF89" s="13">
        <f>'Fil de l''eau'!AF128</f>
        <v>0</v>
      </c>
      <c r="AG89" s="13">
        <f>'Fil de l''eau'!AG128</f>
        <v>0</v>
      </c>
      <c r="AH89" s="13">
        <f>'Fil de l''eau'!AH128</f>
        <v>0</v>
      </c>
      <c r="AI89" s="13">
        <f>'Fil de l''eau'!AI128</f>
        <v>0</v>
      </c>
      <c r="AJ89" s="13">
        <f>'Fil de l''eau'!AJ128</f>
        <v>0</v>
      </c>
      <c r="AK89" s="13">
        <f>'Fil de l''eau'!AK128</f>
        <v>0</v>
      </c>
      <c r="AL89" s="13">
        <f>'Fil de l''eau'!AL128</f>
        <v>0</v>
      </c>
      <c r="AM89" s="13">
        <f>'Fil de l''eau'!AM128</f>
        <v>0</v>
      </c>
      <c r="AN89" s="13">
        <f>'Fil de l''eau'!AN128</f>
        <v>0</v>
      </c>
      <c r="AO89" s="13">
        <f>'Fil de l''eau'!AO128</f>
        <v>0</v>
      </c>
      <c r="AP89" s="13">
        <f>'Fil de l''eau'!AP128</f>
        <v>0</v>
      </c>
      <c r="AQ89" s="13">
        <f>'Fil de l''eau'!AQ128</f>
        <v>0</v>
      </c>
      <c r="AR89" s="13">
        <f>'Fil de l''eau'!AR128</f>
        <v>0</v>
      </c>
      <c r="AS89" s="13">
        <f>'Fil de l''eau'!AS128</f>
        <v>0</v>
      </c>
      <c r="AT89" s="13">
        <f>'Fil de l''eau'!AT128</f>
        <v>0</v>
      </c>
      <c r="AU89" s="13">
        <f>'Fil de l''eau'!AU128</f>
        <v>0</v>
      </c>
      <c r="AV89" s="13">
        <f>'Fil de l''eau'!AV128</f>
        <v>0</v>
      </c>
      <c r="AW89" s="13">
        <f>'Fil de l''eau'!AW128</f>
        <v>0</v>
      </c>
      <c r="AX89" s="13">
        <f>'Fil de l''eau'!AX128</f>
        <v>0</v>
      </c>
      <c r="AY89" s="13">
        <f>'Fil de l''eau'!AY128</f>
        <v>0</v>
      </c>
      <c r="AZ89" s="13">
        <f>'Fil de l''eau'!AZ128</f>
        <v>0</v>
      </c>
      <c r="BA89" s="11">
        <f>'Fil de l''eau'!BB128</f>
        <v>0</v>
      </c>
      <c r="BB89" s="15">
        <f>'Fil de l''eau'!BC128</f>
        <v>0</v>
      </c>
      <c r="BC89" s="16">
        <f>'Fil de l''eau'!BD128</f>
        <v>0</v>
      </c>
    </row>
    <row r="90" spans="1:55" ht="30" hidden="1" outlineLevel="1" x14ac:dyDescent="0.25">
      <c r="A90" s="17">
        <f>'Fil de l''eau'!A129</f>
        <v>0</v>
      </c>
      <c r="B90" s="18">
        <f>'Fil de l''eau'!B129</f>
        <v>0</v>
      </c>
      <c r="C90" s="18">
        <f>'Fil de l''eau'!C129</f>
        <v>0</v>
      </c>
      <c r="D90" s="19">
        <f>'Fil de l''eau'!D129</f>
        <v>0</v>
      </c>
      <c r="E90" s="19">
        <f>'Fil de l''eau'!E129</f>
        <v>0</v>
      </c>
      <c r="F90" s="20">
        <f>'Fil de l''eau'!F129</f>
        <v>0</v>
      </c>
      <c r="G90" s="20">
        <f>'Fil de l''eau'!G129</f>
        <v>0</v>
      </c>
      <c r="H90" s="20">
        <f>'Fil de l''eau'!H129</f>
        <v>0</v>
      </c>
      <c r="I90" s="21">
        <f>'Fil de l''eau'!I129</f>
        <v>0</v>
      </c>
      <c r="J90" s="20">
        <f>'Fil de l''eau'!J129</f>
        <v>0</v>
      </c>
      <c r="K90" s="20">
        <f>'Fil de l''eau'!K129</f>
        <v>0</v>
      </c>
      <c r="L90" s="21">
        <f>'Fil de l''eau'!L129</f>
        <v>0</v>
      </c>
      <c r="M90" s="20">
        <f>'Fil de l''eau'!M129</f>
        <v>0</v>
      </c>
      <c r="N90" s="21">
        <f>'Fil de l''eau'!N129</f>
        <v>0</v>
      </c>
      <c r="O90" s="20">
        <f>'Fil de l''eau'!O129</f>
        <v>0</v>
      </c>
      <c r="P90" s="20">
        <f>'Fil de l''eau'!P129</f>
        <v>0</v>
      </c>
      <c r="Q90" s="20">
        <f>'Fil de l''eau'!Q129</f>
        <v>0</v>
      </c>
      <c r="R90" s="20">
        <f>'Fil de l''eau'!R129</f>
        <v>0</v>
      </c>
      <c r="S90" s="20">
        <f>'Fil de l''eau'!S129</f>
        <v>0</v>
      </c>
      <c r="T90" s="20">
        <f>'Fil de l''eau'!T129</f>
        <v>0</v>
      </c>
      <c r="U90" s="20">
        <f>'Fil de l''eau'!U129</f>
        <v>0</v>
      </c>
      <c r="V90" s="20">
        <f>'Fil de l''eau'!V129</f>
        <v>0</v>
      </c>
      <c r="W90" s="20">
        <f>'Fil de l''eau'!W129</f>
        <v>0</v>
      </c>
      <c r="X90" s="20">
        <f>'Fil de l''eau'!X129</f>
        <v>0</v>
      </c>
      <c r="Y90" s="20">
        <f>'Fil de l''eau'!Y129</f>
        <v>0</v>
      </c>
      <c r="Z90" s="20">
        <f>'Fil de l''eau'!Z129</f>
        <v>0</v>
      </c>
      <c r="AA90" s="20">
        <f>'Fil de l''eau'!AA129</f>
        <v>0</v>
      </c>
      <c r="AB90" s="20">
        <f>'Fil de l''eau'!AB129</f>
        <v>0</v>
      </c>
      <c r="AC90" s="20">
        <f>'Fil de l''eau'!AC129</f>
        <v>0</v>
      </c>
      <c r="AD90" s="20">
        <f>'Fil de l''eau'!AD129</f>
        <v>0</v>
      </c>
      <c r="AE90" s="20">
        <f>'Fil de l''eau'!AE129</f>
        <v>0</v>
      </c>
      <c r="AF90" s="20">
        <f>'Fil de l''eau'!AF129</f>
        <v>0</v>
      </c>
      <c r="AG90" s="20">
        <f>'Fil de l''eau'!AG129</f>
        <v>0</v>
      </c>
      <c r="AH90" s="20">
        <f>'Fil de l''eau'!AH129</f>
        <v>0</v>
      </c>
      <c r="AI90" s="20">
        <f>'Fil de l''eau'!AI129</f>
        <v>0</v>
      </c>
      <c r="AJ90" s="20">
        <f>'Fil de l''eau'!AJ129</f>
        <v>0</v>
      </c>
      <c r="AK90" s="20">
        <f>'Fil de l''eau'!AK129</f>
        <v>0</v>
      </c>
      <c r="AL90" s="20">
        <f>'Fil de l''eau'!AL129</f>
        <v>0</v>
      </c>
      <c r="AM90" s="20">
        <f>'Fil de l''eau'!AM129</f>
        <v>0</v>
      </c>
      <c r="AN90" s="20">
        <f>'Fil de l''eau'!AN129</f>
        <v>0</v>
      </c>
      <c r="AO90" s="20">
        <f>'Fil de l''eau'!AO129</f>
        <v>0</v>
      </c>
      <c r="AP90" s="20">
        <f>'Fil de l''eau'!AP129</f>
        <v>0</v>
      </c>
      <c r="AQ90" s="20">
        <f>'Fil de l''eau'!AQ129</f>
        <v>0</v>
      </c>
      <c r="AR90" s="20">
        <f>'Fil de l''eau'!AR129</f>
        <v>0</v>
      </c>
      <c r="AS90" s="20">
        <f>'Fil de l''eau'!AS129</f>
        <v>0</v>
      </c>
      <c r="AT90" s="20">
        <f>'Fil de l''eau'!AT129</f>
        <v>0</v>
      </c>
      <c r="AU90" s="20">
        <f>'Fil de l''eau'!AU129</f>
        <v>0</v>
      </c>
      <c r="AV90" s="20">
        <f>'Fil de l''eau'!AV129</f>
        <v>0</v>
      </c>
      <c r="AW90" s="20">
        <f>'Fil de l''eau'!AW129</f>
        <v>0</v>
      </c>
      <c r="AX90" s="20">
        <f>'Fil de l''eau'!AX129</f>
        <v>0</v>
      </c>
      <c r="AY90" s="20">
        <f>'Fil de l''eau'!AY129</f>
        <v>0</v>
      </c>
      <c r="AZ90" s="20">
        <f>'Fil de l''eau'!AZ129</f>
        <v>0</v>
      </c>
      <c r="BA90" s="18">
        <f>'Fil de l''eau'!BB129</f>
        <v>0</v>
      </c>
      <c r="BB90" s="22">
        <f>'Fil de l''eau'!BC129</f>
        <v>0</v>
      </c>
      <c r="BC90" s="23">
        <f>'Fil de l''eau'!BD129</f>
        <v>0</v>
      </c>
    </row>
    <row r="91" spans="1:55" ht="45" hidden="1" outlineLevel="1" x14ac:dyDescent="0.25">
      <c r="A91" s="10">
        <f>'Fil de l''eau'!A130</f>
        <v>0</v>
      </c>
      <c r="B91" s="11">
        <f>'Fil de l''eau'!B130</f>
        <v>0</v>
      </c>
      <c r="C91" s="11">
        <f>'Fil de l''eau'!C130</f>
        <v>0</v>
      </c>
      <c r="D91" s="12">
        <f>'Fil de l''eau'!D130</f>
        <v>0</v>
      </c>
      <c r="E91" s="12">
        <f>'Fil de l''eau'!E130</f>
        <v>0</v>
      </c>
      <c r="F91" s="13">
        <f>'Fil de l''eau'!F130</f>
        <v>0</v>
      </c>
      <c r="G91" s="13">
        <f>'Fil de l''eau'!G130</f>
        <v>0</v>
      </c>
      <c r="H91" s="13">
        <f>'Fil de l''eau'!H130</f>
        <v>0</v>
      </c>
      <c r="I91" s="14">
        <f>'Fil de l''eau'!I130</f>
        <v>0</v>
      </c>
      <c r="J91" s="13">
        <f>'Fil de l''eau'!J130</f>
        <v>0</v>
      </c>
      <c r="K91" s="13">
        <f>'Fil de l''eau'!K130</f>
        <v>0</v>
      </c>
      <c r="L91" s="14">
        <f>'Fil de l''eau'!L130</f>
        <v>0</v>
      </c>
      <c r="M91" s="13">
        <f>'Fil de l''eau'!M130</f>
        <v>0</v>
      </c>
      <c r="N91" s="14">
        <f>'Fil de l''eau'!N130</f>
        <v>0</v>
      </c>
      <c r="O91" s="13">
        <f>'Fil de l''eau'!O130</f>
        <v>0</v>
      </c>
      <c r="P91" s="13">
        <f>'Fil de l''eau'!P130</f>
        <v>0</v>
      </c>
      <c r="Q91" s="13">
        <f>'Fil de l''eau'!Q130</f>
        <v>0</v>
      </c>
      <c r="R91" s="13">
        <f>'Fil de l''eau'!R130</f>
        <v>0</v>
      </c>
      <c r="S91" s="13">
        <f>'Fil de l''eau'!S130</f>
        <v>0</v>
      </c>
      <c r="T91" s="13">
        <f>'Fil de l''eau'!T130</f>
        <v>0</v>
      </c>
      <c r="U91" s="13">
        <f>'Fil de l''eau'!U130</f>
        <v>0</v>
      </c>
      <c r="V91" s="13">
        <f>'Fil de l''eau'!V130</f>
        <v>0</v>
      </c>
      <c r="W91" s="13">
        <f>'Fil de l''eau'!W130</f>
        <v>0</v>
      </c>
      <c r="X91" s="13">
        <f>'Fil de l''eau'!X130</f>
        <v>0</v>
      </c>
      <c r="Y91" s="13">
        <f>'Fil de l''eau'!Y130</f>
        <v>0</v>
      </c>
      <c r="Z91" s="13">
        <f>'Fil de l''eau'!Z130</f>
        <v>0</v>
      </c>
      <c r="AA91" s="13">
        <f>'Fil de l''eau'!AA130</f>
        <v>0</v>
      </c>
      <c r="AB91" s="13">
        <f>'Fil de l''eau'!AB130</f>
        <v>0</v>
      </c>
      <c r="AC91" s="13">
        <f>'Fil de l''eau'!AC130</f>
        <v>0</v>
      </c>
      <c r="AD91" s="13">
        <f>'Fil de l''eau'!AD130</f>
        <v>0</v>
      </c>
      <c r="AE91" s="13">
        <f>'Fil de l''eau'!AE130</f>
        <v>0</v>
      </c>
      <c r="AF91" s="13">
        <f>'Fil de l''eau'!AF130</f>
        <v>0</v>
      </c>
      <c r="AG91" s="13">
        <f>'Fil de l''eau'!AG130</f>
        <v>0</v>
      </c>
      <c r="AH91" s="13">
        <f>'Fil de l''eau'!AH130</f>
        <v>0</v>
      </c>
      <c r="AI91" s="13">
        <f>'Fil de l''eau'!AI130</f>
        <v>0</v>
      </c>
      <c r="AJ91" s="13">
        <f>'Fil de l''eau'!AJ130</f>
        <v>0</v>
      </c>
      <c r="AK91" s="13">
        <f>'Fil de l''eau'!AK130</f>
        <v>0</v>
      </c>
      <c r="AL91" s="13">
        <f>'Fil de l''eau'!AL130</f>
        <v>0</v>
      </c>
      <c r="AM91" s="13">
        <f>'Fil de l''eau'!AM130</f>
        <v>0</v>
      </c>
      <c r="AN91" s="13">
        <f>'Fil de l''eau'!AN130</f>
        <v>0</v>
      </c>
      <c r="AO91" s="13">
        <f>'Fil de l''eau'!AO130</f>
        <v>0</v>
      </c>
      <c r="AP91" s="13">
        <f>'Fil de l''eau'!AP130</f>
        <v>0</v>
      </c>
      <c r="AQ91" s="13">
        <f>'Fil de l''eau'!AQ130</f>
        <v>0</v>
      </c>
      <c r="AR91" s="13">
        <f>'Fil de l''eau'!AR130</f>
        <v>0</v>
      </c>
      <c r="AS91" s="13">
        <f>'Fil de l''eau'!AS130</f>
        <v>0</v>
      </c>
      <c r="AT91" s="13">
        <f>'Fil de l''eau'!AT130</f>
        <v>0</v>
      </c>
      <c r="AU91" s="13">
        <f>'Fil de l''eau'!AU130</f>
        <v>0</v>
      </c>
      <c r="AV91" s="13">
        <f>'Fil de l''eau'!AV130</f>
        <v>0</v>
      </c>
      <c r="AW91" s="13">
        <f>'Fil de l''eau'!AW130</f>
        <v>0</v>
      </c>
      <c r="AX91" s="13">
        <f>'Fil de l''eau'!AX130</f>
        <v>0</v>
      </c>
      <c r="AY91" s="13">
        <f>'Fil de l''eau'!AY130</f>
        <v>0</v>
      </c>
      <c r="AZ91" s="13">
        <f>'Fil de l''eau'!AZ130</f>
        <v>0</v>
      </c>
      <c r="BA91" s="11">
        <f>'Fil de l''eau'!BB130</f>
        <v>0</v>
      </c>
      <c r="BB91" s="15">
        <f>'Fil de l''eau'!BC130</f>
        <v>0</v>
      </c>
      <c r="BC91" s="16">
        <f>'Fil de l''eau'!BD130</f>
        <v>0</v>
      </c>
    </row>
    <row r="92" spans="1:55" ht="30" hidden="1" outlineLevel="1" x14ac:dyDescent="0.25">
      <c r="A92" s="17">
        <f>'Fil de l''eau'!A131</f>
        <v>0</v>
      </c>
      <c r="B92" s="18">
        <f>'Fil de l''eau'!B131</f>
        <v>0</v>
      </c>
      <c r="C92" s="18">
        <f>'Fil de l''eau'!C131</f>
        <v>0</v>
      </c>
      <c r="D92" s="19">
        <f>'Fil de l''eau'!D131</f>
        <v>0</v>
      </c>
      <c r="E92" s="19">
        <f>'Fil de l''eau'!E131</f>
        <v>0</v>
      </c>
      <c r="F92" s="20">
        <f>'Fil de l''eau'!F131</f>
        <v>0</v>
      </c>
      <c r="G92" s="20">
        <f>'Fil de l''eau'!G131</f>
        <v>0</v>
      </c>
      <c r="H92" s="20">
        <f>'Fil de l''eau'!H131</f>
        <v>0</v>
      </c>
      <c r="I92" s="21">
        <f>'Fil de l''eau'!I131</f>
        <v>0</v>
      </c>
      <c r="J92" s="20">
        <f>'Fil de l''eau'!J131</f>
        <v>0</v>
      </c>
      <c r="K92" s="20">
        <f>'Fil de l''eau'!K131</f>
        <v>0</v>
      </c>
      <c r="L92" s="21">
        <f>'Fil de l''eau'!L131</f>
        <v>0</v>
      </c>
      <c r="M92" s="20">
        <f>'Fil de l''eau'!M131</f>
        <v>0</v>
      </c>
      <c r="N92" s="21">
        <f>'Fil de l''eau'!N131</f>
        <v>0</v>
      </c>
      <c r="O92" s="20">
        <f>'Fil de l''eau'!O131</f>
        <v>0</v>
      </c>
      <c r="P92" s="20">
        <f>'Fil de l''eau'!P131</f>
        <v>0</v>
      </c>
      <c r="Q92" s="20">
        <f>'Fil de l''eau'!Q131</f>
        <v>0</v>
      </c>
      <c r="R92" s="20">
        <f>'Fil de l''eau'!R131</f>
        <v>0</v>
      </c>
      <c r="S92" s="20">
        <f>'Fil de l''eau'!S131</f>
        <v>0</v>
      </c>
      <c r="T92" s="20">
        <f>'Fil de l''eau'!T131</f>
        <v>0</v>
      </c>
      <c r="U92" s="20">
        <f>'Fil de l''eau'!U131</f>
        <v>0</v>
      </c>
      <c r="V92" s="20">
        <f>'Fil de l''eau'!V131</f>
        <v>0</v>
      </c>
      <c r="W92" s="20">
        <f>'Fil de l''eau'!W131</f>
        <v>0</v>
      </c>
      <c r="X92" s="20">
        <f>'Fil de l''eau'!X131</f>
        <v>0</v>
      </c>
      <c r="Y92" s="20">
        <f>'Fil de l''eau'!Y131</f>
        <v>0</v>
      </c>
      <c r="Z92" s="20">
        <f>'Fil de l''eau'!Z131</f>
        <v>0</v>
      </c>
      <c r="AA92" s="20">
        <f>'Fil de l''eau'!AA131</f>
        <v>0</v>
      </c>
      <c r="AB92" s="20">
        <f>'Fil de l''eau'!AB131</f>
        <v>0</v>
      </c>
      <c r="AC92" s="20">
        <f>'Fil de l''eau'!AC131</f>
        <v>0</v>
      </c>
      <c r="AD92" s="20">
        <f>'Fil de l''eau'!AD131</f>
        <v>0</v>
      </c>
      <c r="AE92" s="20">
        <f>'Fil de l''eau'!AE131</f>
        <v>0</v>
      </c>
      <c r="AF92" s="20">
        <f>'Fil de l''eau'!AF131</f>
        <v>0</v>
      </c>
      <c r="AG92" s="20">
        <f>'Fil de l''eau'!AG131</f>
        <v>0</v>
      </c>
      <c r="AH92" s="20">
        <f>'Fil de l''eau'!AH131</f>
        <v>0</v>
      </c>
      <c r="AI92" s="20">
        <f>'Fil de l''eau'!AI131</f>
        <v>0</v>
      </c>
      <c r="AJ92" s="20">
        <f>'Fil de l''eau'!AJ131</f>
        <v>0</v>
      </c>
      <c r="AK92" s="20">
        <f>'Fil de l''eau'!AK131</f>
        <v>0</v>
      </c>
      <c r="AL92" s="20">
        <f>'Fil de l''eau'!AL131</f>
        <v>0</v>
      </c>
      <c r="AM92" s="20">
        <f>'Fil de l''eau'!AM131</f>
        <v>0</v>
      </c>
      <c r="AN92" s="20">
        <f>'Fil de l''eau'!AN131</f>
        <v>0</v>
      </c>
      <c r="AO92" s="20">
        <f>'Fil de l''eau'!AO131</f>
        <v>0</v>
      </c>
      <c r="AP92" s="20">
        <f>'Fil de l''eau'!AP131</f>
        <v>0</v>
      </c>
      <c r="AQ92" s="20">
        <f>'Fil de l''eau'!AQ131</f>
        <v>0</v>
      </c>
      <c r="AR92" s="20">
        <f>'Fil de l''eau'!AR131</f>
        <v>0</v>
      </c>
      <c r="AS92" s="20">
        <f>'Fil de l''eau'!AS131</f>
        <v>0</v>
      </c>
      <c r="AT92" s="20">
        <f>'Fil de l''eau'!AT131</f>
        <v>0</v>
      </c>
      <c r="AU92" s="20">
        <f>'Fil de l''eau'!AU131</f>
        <v>0</v>
      </c>
      <c r="AV92" s="20">
        <f>'Fil de l''eau'!AV131</f>
        <v>0</v>
      </c>
      <c r="AW92" s="20">
        <f>'Fil de l''eau'!AW131</f>
        <v>0</v>
      </c>
      <c r="AX92" s="20">
        <f>'Fil de l''eau'!AX131</f>
        <v>0</v>
      </c>
      <c r="AY92" s="20">
        <f>'Fil de l''eau'!AY131</f>
        <v>0</v>
      </c>
      <c r="AZ92" s="20">
        <f>'Fil de l''eau'!AZ131</f>
        <v>0</v>
      </c>
      <c r="BA92" s="18">
        <f>'Fil de l''eau'!BB131</f>
        <v>0</v>
      </c>
      <c r="BB92" s="22">
        <f>'Fil de l''eau'!BC131</f>
        <v>0</v>
      </c>
      <c r="BC92" s="23">
        <f>'Fil de l''eau'!BD131</f>
        <v>0</v>
      </c>
    </row>
    <row r="93" spans="1:55" ht="30" hidden="1" outlineLevel="1" x14ac:dyDescent="0.25">
      <c r="A93" s="10">
        <f>'Fil de l''eau'!A132</f>
        <v>0</v>
      </c>
      <c r="B93" s="11">
        <f>'Fil de l''eau'!B132</f>
        <v>0</v>
      </c>
      <c r="C93" s="11">
        <f>'Fil de l''eau'!C132</f>
        <v>0</v>
      </c>
      <c r="D93" s="12">
        <f>'Fil de l''eau'!D132</f>
        <v>0</v>
      </c>
      <c r="E93" s="12">
        <f>'Fil de l''eau'!E132</f>
        <v>0</v>
      </c>
      <c r="F93" s="13">
        <f>'Fil de l''eau'!F132</f>
        <v>0</v>
      </c>
      <c r="G93" s="13">
        <f>'Fil de l''eau'!G132</f>
        <v>0</v>
      </c>
      <c r="H93" s="13">
        <f>'Fil de l''eau'!H132</f>
        <v>0</v>
      </c>
      <c r="I93" s="14">
        <f>'Fil de l''eau'!I132</f>
        <v>0</v>
      </c>
      <c r="J93" s="13">
        <f>'Fil de l''eau'!J132</f>
        <v>0</v>
      </c>
      <c r="K93" s="13">
        <f>'Fil de l''eau'!K132</f>
        <v>0</v>
      </c>
      <c r="L93" s="14">
        <f>'Fil de l''eau'!L132</f>
        <v>0</v>
      </c>
      <c r="M93" s="13">
        <f>'Fil de l''eau'!M132</f>
        <v>0</v>
      </c>
      <c r="N93" s="14">
        <f>'Fil de l''eau'!N132</f>
        <v>0</v>
      </c>
      <c r="O93" s="13">
        <f>'Fil de l''eau'!O132</f>
        <v>0</v>
      </c>
      <c r="P93" s="13">
        <f>'Fil de l''eau'!P132</f>
        <v>0</v>
      </c>
      <c r="Q93" s="13">
        <f>'Fil de l''eau'!Q132</f>
        <v>0</v>
      </c>
      <c r="R93" s="13">
        <f>'Fil de l''eau'!R132</f>
        <v>0</v>
      </c>
      <c r="S93" s="13">
        <f>'Fil de l''eau'!S132</f>
        <v>0</v>
      </c>
      <c r="T93" s="13">
        <f>'Fil de l''eau'!T132</f>
        <v>0</v>
      </c>
      <c r="U93" s="13">
        <f>'Fil de l''eau'!U132</f>
        <v>0</v>
      </c>
      <c r="V93" s="13">
        <f>'Fil de l''eau'!V132</f>
        <v>0</v>
      </c>
      <c r="W93" s="13">
        <f>'Fil de l''eau'!W132</f>
        <v>0</v>
      </c>
      <c r="X93" s="13">
        <f>'Fil de l''eau'!X132</f>
        <v>0</v>
      </c>
      <c r="Y93" s="13">
        <f>'Fil de l''eau'!Y132</f>
        <v>0</v>
      </c>
      <c r="Z93" s="13">
        <f>'Fil de l''eau'!Z132</f>
        <v>0</v>
      </c>
      <c r="AA93" s="13">
        <f>'Fil de l''eau'!AA132</f>
        <v>0</v>
      </c>
      <c r="AB93" s="13">
        <f>'Fil de l''eau'!AB132</f>
        <v>0</v>
      </c>
      <c r="AC93" s="13">
        <f>'Fil de l''eau'!AC132</f>
        <v>0</v>
      </c>
      <c r="AD93" s="13">
        <f>'Fil de l''eau'!AD132</f>
        <v>0</v>
      </c>
      <c r="AE93" s="13">
        <f>'Fil de l''eau'!AE132</f>
        <v>0</v>
      </c>
      <c r="AF93" s="13">
        <f>'Fil de l''eau'!AF132</f>
        <v>0</v>
      </c>
      <c r="AG93" s="13">
        <f>'Fil de l''eau'!AG132</f>
        <v>0</v>
      </c>
      <c r="AH93" s="13">
        <f>'Fil de l''eau'!AH132</f>
        <v>0</v>
      </c>
      <c r="AI93" s="13">
        <f>'Fil de l''eau'!AI132</f>
        <v>0</v>
      </c>
      <c r="AJ93" s="13">
        <f>'Fil de l''eau'!AJ132</f>
        <v>0</v>
      </c>
      <c r="AK93" s="13">
        <f>'Fil de l''eau'!AK132</f>
        <v>0</v>
      </c>
      <c r="AL93" s="13">
        <f>'Fil de l''eau'!AL132</f>
        <v>0</v>
      </c>
      <c r="AM93" s="13">
        <f>'Fil de l''eau'!AM132</f>
        <v>0</v>
      </c>
      <c r="AN93" s="13">
        <f>'Fil de l''eau'!AN132</f>
        <v>0</v>
      </c>
      <c r="AO93" s="13">
        <f>'Fil de l''eau'!AO132</f>
        <v>0</v>
      </c>
      <c r="AP93" s="13">
        <f>'Fil de l''eau'!AP132</f>
        <v>0</v>
      </c>
      <c r="AQ93" s="13">
        <f>'Fil de l''eau'!AQ132</f>
        <v>0</v>
      </c>
      <c r="AR93" s="13">
        <f>'Fil de l''eau'!AR132</f>
        <v>0</v>
      </c>
      <c r="AS93" s="13">
        <f>'Fil de l''eau'!AS132</f>
        <v>0</v>
      </c>
      <c r="AT93" s="13">
        <f>'Fil de l''eau'!AT132</f>
        <v>0</v>
      </c>
      <c r="AU93" s="13">
        <f>'Fil de l''eau'!AU132</f>
        <v>0</v>
      </c>
      <c r="AV93" s="13">
        <f>'Fil de l''eau'!AV132</f>
        <v>0</v>
      </c>
      <c r="AW93" s="13">
        <f>'Fil de l''eau'!AW132</f>
        <v>0</v>
      </c>
      <c r="AX93" s="13">
        <f>'Fil de l''eau'!AX132</f>
        <v>0</v>
      </c>
      <c r="AY93" s="13">
        <f>'Fil de l''eau'!AY132</f>
        <v>0</v>
      </c>
      <c r="AZ93" s="13">
        <f>'Fil de l''eau'!AZ132</f>
        <v>0</v>
      </c>
      <c r="BA93" s="11">
        <f>'Fil de l''eau'!BB132</f>
        <v>0</v>
      </c>
      <c r="BB93" s="15">
        <f>'Fil de l''eau'!BC132</f>
        <v>0</v>
      </c>
      <c r="BC93" s="16">
        <f>'Fil de l''eau'!BD132</f>
        <v>0</v>
      </c>
    </row>
    <row r="94" spans="1:55" ht="30" hidden="1" outlineLevel="1" x14ac:dyDescent="0.25">
      <c r="A94" s="17">
        <f>'Fil de l''eau'!A133</f>
        <v>0</v>
      </c>
      <c r="B94" s="18">
        <f>'Fil de l''eau'!B133</f>
        <v>0</v>
      </c>
      <c r="C94" s="18">
        <f>'Fil de l''eau'!C133</f>
        <v>0</v>
      </c>
      <c r="D94" s="19">
        <f>'Fil de l''eau'!D133</f>
        <v>0</v>
      </c>
      <c r="E94" s="19">
        <f>'Fil de l''eau'!E133</f>
        <v>0</v>
      </c>
      <c r="F94" s="20">
        <f>'Fil de l''eau'!F133</f>
        <v>0</v>
      </c>
      <c r="G94" s="20">
        <f>'Fil de l''eau'!G133</f>
        <v>0</v>
      </c>
      <c r="H94" s="20">
        <f>'Fil de l''eau'!H133</f>
        <v>0</v>
      </c>
      <c r="I94" s="21">
        <f>'Fil de l''eau'!I133</f>
        <v>0</v>
      </c>
      <c r="J94" s="20">
        <f>'Fil de l''eau'!J133</f>
        <v>0</v>
      </c>
      <c r="K94" s="20">
        <f>'Fil de l''eau'!K133</f>
        <v>0</v>
      </c>
      <c r="L94" s="21">
        <f>'Fil de l''eau'!L133</f>
        <v>0</v>
      </c>
      <c r="M94" s="20">
        <f>'Fil de l''eau'!M133</f>
        <v>0</v>
      </c>
      <c r="N94" s="21">
        <f>'Fil de l''eau'!N133</f>
        <v>0</v>
      </c>
      <c r="O94" s="20">
        <f>'Fil de l''eau'!O133</f>
        <v>0</v>
      </c>
      <c r="P94" s="20">
        <f>'Fil de l''eau'!P133</f>
        <v>0</v>
      </c>
      <c r="Q94" s="20">
        <f>'Fil de l''eau'!Q133</f>
        <v>0</v>
      </c>
      <c r="R94" s="20">
        <f>'Fil de l''eau'!R133</f>
        <v>0</v>
      </c>
      <c r="S94" s="20">
        <f>'Fil de l''eau'!S133</f>
        <v>0</v>
      </c>
      <c r="T94" s="20">
        <f>'Fil de l''eau'!T133</f>
        <v>0</v>
      </c>
      <c r="U94" s="20">
        <f>'Fil de l''eau'!U133</f>
        <v>0</v>
      </c>
      <c r="V94" s="20">
        <f>'Fil de l''eau'!V133</f>
        <v>0</v>
      </c>
      <c r="W94" s="20">
        <f>'Fil de l''eau'!W133</f>
        <v>0</v>
      </c>
      <c r="X94" s="20">
        <f>'Fil de l''eau'!X133</f>
        <v>0</v>
      </c>
      <c r="Y94" s="20">
        <f>'Fil de l''eau'!Y133</f>
        <v>0</v>
      </c>
      <c r="Z94" s="20">
        <f>'Fil de l''eau'!Z133</f>
        <v>0</v>
      </c>
      <c r="AA94" s="20">
        <f>'Fil de l''eau'!AA133</f>
        <v>0</v>
      </c>
      <c r="AB94" s="20">
        <f>'Fil de l''eau'!AB133</f>
        <v>0</v>
      </c>
      <c r="AC94" s="20">
        <f>'Fil de l''eau'!AC133</f>
        <v>0</v>
      </c>
      <c r="AD94" s="20">
        <f>'Fil de l''eau'!AD133</f>
        <v>0</v>
      </c>
      <c r="AE94" s="20">
        <f>'Fil de l''eau'!AE133</f>
        <v>0</v>
      </c>
      <c r="AF94" s="20">
        <f>'Fil de l''eau'!AF133</f>
        <v>0</v>
      </c>
      <c r="AG94" s="20">
        <f>'Fil de l''eau'!AG133</f>
        <v>0</v>
      </c>
      <c r="AH94" s="20">
        <f>'Fil de l''eau'!AH133</f>
        <v>0</v>
      </c>
      <c r="AI94" s="20">
        <f>'Fil de l''eau'!AI133</f>
        <v>0</v>
      </c>
      <c r="AJ94" s="20">
        <f>'Fil de l''eau'!AJ133</f>
        <v>0</v>
      </c>
      <c r="AK94" s="20">
        <f>'Fil de l''eau'!AK133</f>
        <v>0</v>
      </c>
      <c r="AL94" s="20">
        <f>'Fil de l''eau'!AL133</f>
        <v>0</v>
      </c>
      <c r="AM94" s="20">
        <f>'Fil de l''eau'!AM133</f>
        <v>0</v>
      </c>
      <c r="AN94" s="20">
        <f>'Fil de l''eau'!AN133</f>
        <v>0</v>
      </c>
      <c r="AO94" s="20">
        <f>'Fil de l''eau'!AO133</f>
        <v>0</v>
      </c>
      <c r="AP94" s="20">
        <f>'Fil de l''eau'!AP133</f>
        <v>0</v>
      </c>
      <c r="AQ94" s="20">
        <f>'Fil de l''eau'!AQ133</f>
        <v>0</v>
      </c>
      <c r="AR94" s="20">
        <f>'Fil de l''eau'!AR133</f>
        <v>0</v>
      </c>
      <c r="AS94" s="20">
        <f>'Fil de l''eau'!AS133</f>
        <v>0</v>
      </c>
      <c r="AT94" s="20">
        <f>'Fil de l''eau'!AT133</f>
        <v>0</v>
      </c>
      <c r="AU94" s="20">
        <f>'Fil de l''eau'!AU133</f>
        <v>0</v>
      </c>
      <c r="AV94" s="20">
        <f>'Fil de l''eau'!AV133</f>
        <v>0</v>
      </c>
      <c r="AW94" s="20">
        <f>'Fil de l''eau'!AW133</f>
        <v>0</v>
      </c>
      <c r="AX94" s="20">
        <f>'Fil de l''eau'!AX133</f>
        <v>0</v>
      </c>
      <c r="AY94" s="20">
        <f>'Fil de l''eau'!AY133</f>
        <v>0</v>
      </c>
      <c r="AZ94" s="20">
        <f>'Fil de l''eau'!AZ133</f>
        <v>0</v>
      </c>
      <c r="BA94" s="18">
        <f>'Fil de l''eau'!BB133</f>
        <v>0</v>
      </c>
      <c r="BB94" s="22">
        <f>'Fil de l''eau'!BC133</f>
        <v>0</v>
      </c>
      <c r="BC94" s="23">
        <f>'Fil de l''eau'!BD133</f>
        <v>0</v>
      </c>
    </row>
    <row r="95" spans="1:55" collapsed="1" x14ac:dyDescent="0.25">
      <c r="A95" s="17">
        <f>'Fil de l''eau'!A93</f>
        <v>0</v>
      </c>
      <c r="B95" s="18">
        <f>'Fil de l''eau'!B93</f>
        <v>0</v>
      </c>
      <c r="C95" s="18">
        <f>'Fil de l''eau'!C93</f>
        <v>0</v>
      </c>
      <c r="D95" s="19">
        <f>'Fil de l''eau'!D93</f>
        <v>0</v>
      </c>
      <c r="E95" s="19">
        <f>'Fil de l''eau'!E93</f>
        <v>0</v>
      </c>
      <c r="F95" s="20">
        <f>'Fil de l''eau'!F93</f>
        <v>0</v>
      </c>
      <c r="G95" s="20">
        <f>'Fil de l''eau'!G93</f>
        <v>0</v>
      </c>
      <c r="H95" s="20">
        <f>'Fil de l''eau'!H93</f>
        <v>0</v>
      </c>
      <c r="I95" s="21">
        <f>'Fil de l''eau'!I93</f>
        <v>0</v>
      </c>
      <c r="J95" s="20">
        <f>'Fil de l''eau'!J93</f>
        <v>0</v>
      </c>
      <c r="K95" s="20">
        <f>'Fil de l''eau'!K93</f>
        <v>0</v>
      </c>
      <c r="L95" s="21">
        <f>'Fil de l''eau'!L93</f>
        <v>0</v>
      </c>
      <c r="M95" s="20">
        <f>'Fil de l''eau'!M93</f>
        <v>0</v>
      </c>
      <c r="N95" s="21" t="e">
        <f>M95/F95</f>
        <v>#DIV/0!</v>
      </c>
      <c r="O95" s="20">
        <v>271084</v>
      </c>
      <c r="P95" s="20">
        <f>'Fil de l''eau'!P93</f>
        <v>0</v>
      </c>
      <c r="Q95" s="20">
        <f>'Fil de l''eau'!Q93</f>
        <v>0</v>
      </c>
      <c r="R95" s="20">
        <f>'Fil de l''eau'!R93</f>
        <v>0</v>
      </c>
      <c r="S95" s="20">
        <f>'Fil de l''eau'!S93</f>
        <v>0</v>
      </c>
      <c r="T95" s="20">
        <f>'Fil de l''eau'!T93</f>
        <v>0</v>
      </c>
      <c r="U95" s="20">
        <f>'Fil de l''eau'!U93</f>
        <v>0</v>
      </c>
      <c r="V95" s="20">
        <f>'Fil de l''eau'!V93</f>
        <v>0</v>
      </c>
      <c r="W95" s="20">
        <v>271084</v>
      </c>
      <c r="X95" s="20">
        <f>'Fil de l''eau'!X93</f>
        <v>0</v>
      </c>
      <c r="Y95" s="20">
        <f>'Fil de l''eau'!Y93</f>
        <v>0</v>
      </c>
      <c r="Z95" s="20">
        <f>'Fil de l''eau'!Z93</f>
        <v>0</v>
      </c>
      <c r="AA95" s="20">
        <f>'Fil de l''eau'!AA93</f>
        <v>0</v>
      </c>
      <c r="AB95" s="20">
        <f>'Fil de l''eau'!AB93</f>
        <v>0</v>
      </c>
      <c r="AC95" s="20">
        <f>'Fil de l''eau'!AC93</f>
        <v>0</v>
      </c>
      <c r="AD95" s="20">
        <f>'Fil de l''eau'!AD93</f>
        <v>0</v>
      </c>
      <c r="AE95" s="20">
        <f>'Fil de l''eau'!AE93</f>
        <v>0</v>
      </c>
      <c r="AF95" s="20">
        <f>'Fil de l''eau'!AF93</f>
        <v>0</v>
      </c>
      <c r="AG95" s="20">
        <f>'Fil de l''eau'!AG93</f>
        <v>0</v>
      </c>
      <c r="AH95" s="20">
        <f>'Fil de l''eau'!AH93</f>
        <v>0</v>
      </c>
      <c r="AI95" s="20">
        <f>'Fil de l''eau'!AI93</f>
        <v>0</v>
      </c>
      <c r="AJ95" s="20">
        <f>'Fil de l''eau'!AJ93</f>
        <v>0</v>
      </c>
      <c r="AK95" s="20">
        <f>'Fil de l''eau'!AK93</f>
        <v>0</v>
      </c>
      <c r="AL95" s="20">
        <f>'Fil de l''eau'!AL93</f>
        <v>0</v>
      </c>
      <c r="AM95" s="20">
        <f>'Fil de l''eau'!AM93</f>
        <v>0</v>
      </c>
      <c r="AN95" s="20">
        <f>'Fil de l''eau'!AN93</f>
        <v>0</v>
      </c>
      <c r="AO95" s="20">
        <f>'Fil de l''eau'!AO93</f>
        <v>0</v>
      </c>
      <c r="AP95" s="20">
        <f>'Fil de l''eau'!AP93</f>
        <v>0</v>
      </c>
      <c r="AQ95" s="20">
        <f>'Fil de l''eau'!AQ93</f>
        <v>0</v>
      </c>
      <c r="AR95" s="20">
        <f>'Fil de l''eau'!AR93</f>
        <v>0</v>
      </c>
      <c r="AS95" s="20">
        <f>'Fil de l''eau'!AS93</f>
        <v>0</v>
      </c>
      <c r="AT95" s="20">
        <f>'Fil de l''eau'!AT93</f>
        <v>0</v>
      </c>
      <c r="AU95" s="20">
        <f>'Fil de l''eau'!AU93</f>
        <v>0</v>
      </c>
      <c r="AV95" s="20">
        <f>'Fil de l''eau'!AV93</f>
        <v>0</v>
      </c>
      <c r="AW95" s="20">
        <f>'Fil de l''eau'!AW93</f>
        <v>0</v>
      </c>
      <c r="AX95" s="20">
        <f>'Fil de l''eau'!AX93</f>
        <v>0</v>
      </c>
      <c r="AY95" s="20">
        <f>'Fil de l''eau'!AY93</f>
        <v>0</v>
      </c>
      <c r="AZ95" s="20">
        <f>'Fil de l''eau'!AZ93</f>
        <v>0</v>
      </c>
      <c r="BA95" s="18"/>
      <c r="BB95" s="22">
        <f>'Fil de l''eau'!BC93</f>
        <v>0</v>
      </c>
      <c r="BC95" s="23">
        <f>'Fil de l''eau'!BD93</f>
        <v>0</v>
      </c>
    </row>
    <row r="96" spans="1:55" ht="45" collapsed="1" x14ac:dyDescent="0.25">
      <c r="A96" s="10" t="s">
        <v>190</v>
      </c>
      <c r="B96" s="11" t="s">
        <v>191</v>
      </c>
      <c r="C96" s="11" t="s">
        <v>232</v>
      </c>
      <c r="D96" s="12" t="s">
        <v>286</v>
      </c>
      <c r="E96" s="12" t="s">
        <v>233</v>
      </c>
      <c r="F96" s="13" t="e">
        <f>SUM(F97:F98)</f>
        <v>#REF!</v>
      </c>
      <c r="G96" s="13" t="e">
        <f>SUM(G97:G98)</f>
        <v>#REF!</v>
      </c>
      <c r="H96" s="13" t="e">
        <f>SUM(H97:H98)</f>
        <v>#REF!</v>
      </c>
      <c r="I96" s="14" t="e">
        <f>'Fil de l''eau'!#REF!</f>
        <v>#REF!</v>
      </c>
      <c r="J96" s="13" t="e">
        <f t="shared" ref="J96:K96" si="242">SUM(J97:J98)</f>
        <v>#REF!</v>
      </c>
      <c r="K96" s="13" t="e">
        <f t="shared" si="242"/>
        <v>#REF!</v>
      </c>
      <c r="L96" s="14" t="e">
        <f>'Fil de l''eau'!#REF!</f>
        <v>#REF!</v>
      </c>
      <c r="M96" s="13" t="e">
        <f>SUM(M97:M98)</f>
        <v>#REF!</v>
      </c>
      <c r="N96" s="14" t="e">
        <f>M96/F96</f>
        <v>#REF!</v>
      </c>
      <c r="O96" s="13" t="e">
        <f t="shared" ref="O96:AZ96" si="243">SUM(O97:O98)</f>
        <v>#REF!</v>
      </c>
      <c r="P96" s="13" t="e">
        <f t="shared" si="243"/>
        <v>#REF!</v>
      </c>
      <c r="Q96" s="13" t="e">
        <f t="shared" si="243"/>
        <v>#REF!</v>
      </c>
      <c r="R96" s="13" t="e">
        <f t="shared" si="243"/>
        <v>#REF!</v>
      </c>
      <c r="S96" s="13" t="e">
        <f t="shared" si="243"/>
        <v>#REF!</v>
      </c>
      <c r="T96" s="13" t="e">
        <f t="shared" si="243"/>
        <v>#REF!</v>
      </c>
      <c r="U96" s="13" t="e">
        <f t="shared" si="243"/>
        <v>#REF!</v>
      </c>
      <c r="V96" s="13" t="e">
        <f t="shared" si="243"/>
        <v>#REF!</v>
      </c>
      <c r="W96" s="13" t="e">
        <f t="shared" si="243"/>
        <v>#REF!</v>
      </c>
      <c r="X96" s="13" t="e">
        <f t="shared" si="243"/>
        <v>#REF!</v>
      </c>
      <c r="Y96" s="13" t="e">
        <f t="shared" si="243"/>
        <v>#REF!</v>
      </c>
      <c r="Z96" s="13" t="e">
        <f t="shared" si="243"/>
        <v>#REF!</v>
      </c>
      <c r="AA96" s="13" t="e">
        <f t="shared" si="243"/>
        <v>#REF!</v>
      </c>
      <c r="AB96" s="13" t="e">
        <f t="shared" si="243"/>
        <v>#REF!</v>
      </c>
      <c r="AC96" s="13" t="e">
        <f t="shared" si="243"/>
        <v>#REF!</v>
      </c>
      <c r="AD96" s="13" t="e">
        <f t="shared" si="243"/>
        <v>#REF!</v>
      </c>
      <c r="AE96" s="13" t="e">
        <f t="shared" si="243"/>
        <v>#REF!</v>
      </c>
      <c r="AF96" s="13" t="e">
        <f t="shared" si="243"/>
        <v>#REF!</v>
      </c>
      <c r="AG96" s="13" t="e">
        <f t="shared" si="243"/>
        <v>#REF!</v>
      </c>
      <c r="AH96" s="13" t="e">
        <f t="shared" si="243"/>
        <v>#REF!</v>
      </c>
      <c r="AI96" s="13" t="e">
        <f t="shared" si="243"/>
        <v>#REF!</v>
      </c>
      <c r="AJ96" s="13" t="e">
        <f t="shared" si="243"/>
        <v>#REF!</v>
      </c>
      <c r="AK96" s="13" t="e">
        <f t="shared" si="243"/>
        <v>#REF!</v>
      </c>
      <c r="AL96" s="13" t="e">
        <f t="shared" si="243"/>
        <v>#REF!</v>
      </c>
      <c r="AM96" s="13" t="e">
        <f t="shared" si="243"/>
        <v>#REF!</v>
      </c>
      <c r="AN96" s="13" t="e">
        <f t="shared" si="243"/>
        <v>#REF!</v>
      </c>
      <c r="AO96" s="13" t="e">
        <f t="shared" si="243"/>
        <v>#REF!</v>
      </c>
      <c r="AP96" s="13" t="e">
        <f t="shared" si="243"/>
        <v>#REF!</v>
      </c>
      <c r="AQ96" s="13" t="e">
        <f t="shared" si="243"/>
        <v>#REF!</v>
      </c>
      <c r="AR96" s="13" t="e">
        <f t="shared" si="243"/>
        <v>#REF!</v>
      </c>
      <c r="AS96" s="13" t="e">
        <f t="shared" si="243"/>
        <v>#REF!</v>
      </c>
      <c r="AT96" s="13" t="e">
        <f t="shared" si="243"/>
        <v>#REF!</v>
      </c>
      <c r="AU96" s="13" t="e">
        <f t="shared" si="243"/>
        <v>#REF!</v>
      </c>
      <c r="AV96" s="13" t="e">
        <f t="shared" si="243"/>
        <v>#REF!</v>
      </c>
      <c r="AW96" s="13" t="e">
        <f t="shared" si="243"/>
        <v>#REF!</v>
      </c>
      <c r="AX96" s="13" t="e">
        <f t="shared" si="243"/>
        <v>#REF!</v>
      </c>
      <c r="AY96" s="13" t="e">
        <f t="shared" si="243"/>
        <v>#REF!</v>
      </c>
      <c r="AZ96" s="13" t="e">
        <f t="shared" si="243"/>
        <v>#REF!</v>
      </c>
      <c r="BA96" s="11"/>
      <c r="BB96" s="15" t="s">
        <v>291</v>
      </c>
      <c r="BC96" s="16" t="s">
        <v>292</v>
      </c>
    </row>
    <row r="97" spans="1:59" ht="45" hidden="1" outlineLevel="1" x14ac:dyDescent="0.25">
      <c r="A97" s="10" t="e">
        <f>'Fil de l''eau'!#REF!</f>
        <v>#REF!</v>
      </c>
      <c r="B97" s="11" t="e">
        <f>'Fil de l''eau'!#REF!</f>
        <v>#REF!</v>
      </c>
      <c r="C97" s="11" t="e">
        <f>'Fil de l''eau'!#REF!</f>
        <v>#REF!</v>
      </c>
      <c r="D97" s="12" t="e">
        <f>'Fil de l''eau'!#REF!</f>
        <v>#REF!</v>
      </c>
      <c r="E97" s="12" t="e">
        <f>'Fil de l''eau'!#REF!</f>
        <v>#REF!</v>
      </c>
      <c r="F97" s="13" t="e">
        <f>'Fil de l''eau'!#REF!</f>
        <v>#REF!</v>
      </c>
      <c r="G97" s="13" t="e">
        <f>'Fil de l''eau'!#REF!</f>
        <v>#REF!</v>
      </c>
      <c r="H97" s="13" t="e">
        <f>'Fil de l''eau'!#REF!</f>
        <v>#REF!</v>
      </c>
      <c r="I97" s="14" t="e">
        <f>'Fil de l''eau'!#REF!</f>
        <v>#REF!</v>
      </c>
      <c r="J97" s="13" t="e">
        <f>'Fil de l''eau'!#REF!</f>
        <v>#REF!</v>
      </c>
      <c r="K97" s="13" t="e">
        <f>'Fil de l''eau'!#REF!</f>
        <v>#REF!</v>
      </c>
      <c r="L97" s="14" t="e">
        <f>'Fil de l''eau'!#REF!</f>
        <v>#REF!</v>
      </c>
      <c r="M97" s="13" t="e">
        <f>'Fil de l''eau'!#REF!</f>
        <v>#REF!</v>
      </c>
      <c r="N97" s="14" t="e">
        <f>'Fil de l''eau'!#REF!</f>
        <v>#REF!</v>
      </c>
      <c r="O97" s="13" t="e">
        <f>'Fil de l''eau'!#REF!</f>
        <v>#REF!</v>
      </c>
      <c r="P97" s="13" t="e">
        <f>'Fil de l''eau'!#REF!</f>
        <v>#REF!</v>
      </c>
      <c r="Q97" s="13" t="e">
        <f>'Fil de l''eau'!#REF!</f>
        <v>#REF!</v>
      </c>
      <c r="R97" s="13" t="e">
        <f>'Fil de l''eau'!#REF!</f>
        <v>#REF!</v>
      </c>
      <c r="S97" s="13" t="e">
        <f>'Fil de l''eau'!#REF!</f>
        <v>#REF!</v>
      </c>
      <c r="T97" s="13" t="e">
        <f>'Fil de l''eau'!#REF!</f>
        <v>#REF!</v>
      </c>
      <c r="U97" s="13" t="e">
        <f>'Fil de l''eau'!#REF!</f>
        <v>#REF!</v>
      </c>
      <c r="V97" s="13" t="e">
        <f>'Fil de l''eau'!#REF!</f>
        <v>#REF!</v>
      </c>
      <c r="W97" s="13" t="e">
        <f>'Fil de l''eau'!#REF!</f>
        <v>#REF!</v>
      </c>
      <c r="X97" s="13" t="e">
        <f>'Fil de l''eau'!#REF!</f>
        <v>#REF!</v>
      </c>
      <c r="Y97" s="13" t="e">
        <f>'Fil de l''eau'!#REF!</f>
        <v>#REF!</v>
      </c>
      <c r="Z97" s="13" t="e">
        <f>'Fil de l''eau'!#REF!</f>
        <v>#REF!</v>
      </c>
      <c r="AA97" s="13" t="e">
        <f>'Fil de l''eau'!#REF!</f>
        <v>#REF!</v>
      </c>
      <c r="AB97" s="13" t="e">
        <f>'Fil de l''eau'!#REF!</f>
        <v>#REF!</v>
      </c>
      <c r="AC97" s="13" t="e">
        <f>'Fil de l''eau'!#REF!</f>
        <v>#REF!</v>
      </c>
      <c r="AD97" s="13" t="e">
        <f>'Fil de l''eau'!#REF!</f>
        <v>#REF!</v>
      </c>
      <c r="AE97" s="13" t="e">
        <f>'Fil de l''eau'!#REF!</f>
        <v>#REF!</v>
      </c>
      <c r="AF97" s="13" t="e">
        <f>'Fil de l''eau'!#REF!</f>
        <v>#REF!</v>
      </c>
      <c r="AG97" s="13" t="e">
        <f>'Fil de l''eau'!#REF!</f>
        <v>#REF!</v>
      </c>
      <c r="AH97" s="13" t="e">
        <f>'Fil de l''eau'!#REF!</f>
        <v>#REF!</v>
      </c>
      <c r="AI97" s="13" t="e">
        <f>'Fil de l''eau'!#REF!</f>
        <v>#REF!</v>
      </c>
      <c r="AJ97" s="13" t="e">
        <f>'Fil de l''eau'!#REF!</f>
        <v>#REF!</v>
      </c>
      <c r="AK97" s="13" t="e">
        <f>'Fil de l''eau'!#REF!</f>
        <v>#REF!</v>
      </c>
      <c r="AL97" s="13" t="e">
        <f>'Fil de l''eau'!#REF!</f>
        <v>#REF!</v>
      </c>
      <c r="AM97" s="13" t="e">
        <f>'Fil de l''eau'!#REF!</f>
        <v>#REF!</v>
      </c>
      <c r="AN97" s="13" t="e">
        <f>'Fil de l''eau'!#REF!</f>
        <v>#REF!</v>
      </c>
      <c r="AO97" s="13" t="e">
        <f>'Fil de l''eau'!#REF!</f>
        <v>#REF!</v>
      </c>
      <c r="AP97" s="13" t="e">
        <f>'Fil de l''eau'!#REF!</f>
        <v>#REF!</v>
      </c>
      <c r="AQ97" s="13" t="e">
        <f>'Fil de l''eau'!#REF!</f>
        <v>#REF!</v>
      </c>
      <c r="AR97" s="13" t="e">
        <f>'Fil de l''eau'!#REF!</f>
        <v>#REF!</v>
      </c>
      <c r="AS97" s="13" t="e">
        <f>'Fil de l''eau'!#REF!</f>
        <v>#REF!</v>
      </c>
      <c r="AT97" s="13" t="e">
        <f>'Fil de l''eau'!#REF!</f>
        <v>#REF!</v>
      </c>
      <c r="AU97" s="13" t="e">
        <f>'Fil de l''eau'!#REF!</f>
        <v>#REF!</v>
      </c>
      <c r="AV97" s="13" t="e">
        <f>'Fil de l''eau'!#REF!</f>
        <v>#REF!</v>
      </c>
      <c r="AW97" s="13" t="e">
        <f>'Fil de l''eau'!#REF!</f>
        <v>#REF!</v>
      </c>
      <c r="AX97" s="13" t="e">
        <f>'Fil de l''eau'!#REF!</f>
        <v>#REF!</v>
      </c>
      <c r="AY97" s="13" t="e">
        <f>'Fil de l''eau'!#REF!</f>
        <v>#REF!</v>
      </c>
      <c r="AZ97" s="13" t="e">
        <f>'Fil de l''eau'!#REF!</f>
        <v>#REF!</v>
      </c>
      <c r="BA97" s="11" t="e">
        <f>'Fil de l''eau'!#REF!</f>
        <v>#REF!</v>
      </c>
      <c r="BB97" s="15" t="e">
        <f>'Fil de l''eau'!#REF!</f>
        <v>#REF!</v>
      </c>
      <c r="BC97" s="16" t="e">
        <f>'Fil de l''eau'!#REF!</f>
        <v>#REF!</v>
      </c>
    </row>
    <row r="98" spans="1:59" ht="45" hidden="1" outlineLevel="1" x14ac:dyDescent="0.25">
      <c r="A98" s="17" t="e">
        <f>'Fil de l''eau'!#REF!</f>
        <v>#REF!</v>
      </c>
      <c r="B98" s="18" t="e">
        <f>'Fil de l''eau'!#REF!</f>
        <v>#REF!</v>
      </c>
      <c r="C98" s="18" t="e">
        <f>'Fil de l''eau'!#REF!</f>
        <v>#REF!</v>
      </c>
      <c r="D98" s="19" t="e">
        <f>'Fil de l''eau'!#REF!</f>
        <v>#REF!</v>
      </c>
      <c r="E98" s="19" t="e">
        <f>'Fil de l''eau'!#REF!</f>
        <v>#REF!</v>
      </c>
      <c r="F98" s="20" t="e">
        <f>'Fil de l''eau'!#REF!</f>
        <v>#REF!</v>
      </c>
      <c r="G98" s="20" t="e">
        <f>'Fil de l''eau'!#REF!</f>
        <v>#REF!</v>
      </c>
      <c r="H98" s="20" t="e">
        <f>'Fil de l''eau'!#REF!</f>
        <v>#REF!</v>
      </c>
      <c r="I98" s="21" t="e">
        <f>'Fil de l''eau'!#REF!</f>
        <v>#REF!</v>
      </c>
      <c r="J98" s="20" t="e">
        <f>'Fil de l''eau'!#REF!</f>
        <v>#REF!</v>
      </c>
      <c r="K98" s="20" t="e">
        <f>'Fil de l''eau'!#REF!</f>
        <v>#REF!</v>
      </c>
      <c r="L98" s="21" t="e">
        <f>'Fil de l''eau'!#REF!</f>
        <v>#REF!</v>
      </c>
      <c r="M98" s="20" t="e">
        <f>'Fil de l''eau'!#REF!</f>
        <v>#REF!</v>
      </c>
      <c r="N98" s="21" t="e">
        <f>'Fil de l''eau'!#REF!</f>
        <v>#REF!</v>
      </c>
      <c r="O98" s="20" t="e">
        <f>'Fil de l''eau'!#REF!</f>
        <v>#REF!</v>
      </c>
      <c r="P98" s="20" t="e">
        <f>'Fil de l''eau'!#REF!</f>
        <v>#REF!</v>
      </c>
      <c r="Q98" s="20" t="e">
        <f>'Fil de l''eau'!#REF!</f>
        <v>#REF!</v>
      </c>
      <c r="R98" s="20" t="e">
        <f>'Fil de l''eau'!#REF!</f>
        <v>#REF!</v>
      </c>
      <c r="S98" s="20" t="e">
        <f>'Fil de l''eau'!#REF!</f>
        <v>#REF!</v>
      </c>
      <c r="T98" s="20" t="e">
        <f>'Fil de l''eau'!#REF!</f>
        <v>#REF!</v>
      </c>
      <c r="U98" s="20" t="e">
        <f>'Fil de l''eau'!#REF!</f>
        <v>#REF!</v>
      </c>
      <c r="V98" s="20" t="e">
        <f>'Fil de l''eau'!#REF!</f>
        <v>#REF!</v>
      </c>
      <c r="W98" s="20" t="e">
        <f>'Fil de l''eau'!#REF!</f>
        <v>#REF!</v>
      </c>
      <c r="X98" s="20" t="e">
        <f>'Fil de l''eau'!#REF!</f>
        <v>#REF!</v>
      </c>
      <c r="Y98" s="20" t="e">
        <f>'Fil de l''eau'!#REF!</f>
        <v>#REF!</v>
      </c>
      <c r="Z98" s="20" t="e">
        <f>'Fil de l''eau'!#REF!</f>
        <v>#REF!</v>
      </c>
      <c r="AA98" s="20" t="e">
        <f>'Fil de l''eau'!#REF!</f>
        <v>#REF!</v>
      </c>
      <c r="AB98" s="20" t="e">
        <f>'Fil de l''eau'!#REF!</f>
        <v>#REF!</v>
      </c>
      <c r="AC98" s="20" t="e">
        <f>'Fil de l''eau'!#REF!</f>
        <v>#REF!</v>
      </c>
      <c r="AD98" s="20" t="e">
        <f>'Fil de l''eau'!#REF!</f>
        <v>#REF!</v>
      </c>
      <c r="AE98" s="20" t="e">
        <f>'Fil de l''eau'!#REF!</f>
        <v>#REF!</v>
      </c>
      <c r="AF98" s="20" t="e">
        <f>'Fil de l''eau'!#REF!</f>
        <v>#REF!</v>
      </c>
      <c r="AG98" s="20" t="e">
        <f>'Fil de l''eau'!#REF!</f>
        <v>#REF!</v>
      </c>
      <c r="AH98" s="20" t="e">
        <f>'Fil de l''eau'!#REF!</f>
        <v>#REF!</v>
      </c>
      <c r="AI98" s="20" t="e">
        <f>'Fil de l''eau'!#REF!</f>
        <v>#REF!</v>
      </c>
      <c r="AJ98" s="20" t="e">
        <f>'Fil de l''eau'!#REF!</f>
        <v>#REF!</v>
      </c>
      <c r="AK98" s="20" t="e">
        <f>'Fil de l''eau'!#REF!</f>
        <v>#REF!</v>
      </c>
      <c r="AL98" s="20" t="e">
        <f>'Fil de l''eau'!#REF!</f>
        <v>#REF!</v>
      </c>
      <c r="AM98" s="20" t="e">
        <f>'Fil de l''eau'!#REF!</f>
        <v>#REF!</v>
      </c>
      <c r="AN98" s="20" t="e">
        <f>'Fil de l''eau'!#REF!</f>
        <v>#REF!</v>
      </c>
      <c r="AO98" s="20" t="e">
        <f>'Fil de l''eau'!#REF!</f>
        <v>#REF!</v>
      </c>
      <c r="AP98" s="20" t="e">
        <f>'Fil de l''eau'!#REF!</f>
        <v>#REF!</v>
      </c>
      <c r="AQ98" s="20" t="e">
        <f>'Fil de l''eau'!#REF!</f>
        <v>#REF!</v>
      </c>
      <c r="AR98" s="20" t="e">
        <f>'Fil de l''eau'!#REF!</f>
        <v>#REF!</v>
      </c>
      <c r="AS98" s="20" t="e">
        <f>'Fil de l''eau'!#REF!</f>
        <v>#REF!</v>
      </c>
      <c r="AT98" s="20" t="e">
        <f>'Fil de l''eau'!#REF!</f>
        <v>#REF!</v>
      </c>
      <c r="AU98" s="20" t="e">
        <f>'Fil de l''eau'!#REF!</f>
        <v>#REF!</v>
      </c>
      <c r="AV98" s="20" t="e">
        <f>'Fil de l''eau'!#REF!</f>
        <v>#REF!</v>
      </c>
      <c r="AW98" s="20" t="e">
        <f>'Fil de l''eau'!#REF!</f>
        <v>#REF!</v>
      </c>
      <c r="AX98" s="20" t="e">
        <f>'Fil de l''eau'!#REF!</f>
        <v>#REF!</v>
      </c>
      <c r="AY98" s="20" t="e">
        <f>'Fil de l''eau'!#REF!</f>
        <v>#REF!</v>
      </c>
      <c r="AZ98" s="20" t="e">
        <f>'Fil de l''eau'!#REF!</f>
        <v>#REF!</v>
      </c>
      <c r="BA98" s="18" t="e">
        <f>'Fil de l''eau'!#REF!</f>
        <v>#REF!</v>
      </c>
      <c r="BB98" s="22" t="e">
        <f>'Fil de l''eau'!#REF!</f>
        <v>#REF!</v>
      </c>
      <c r="BC98" s="23" t="e">
        <f>'Fil de l''eau'!#REF!</f>
        <v>#REF!</v>
      </c>
    </row>
    <row r="99" spans="1:59" s="1" customFormat="1" collapsed="1" x14ac:dyDescent="0.25">
      <c r="A99" s="2"/>
      <c r="D99" s="3"/>
      <c r="E99" s="25" t="s">
        <v>290</v>
      </c>
      <c r="F99" s="26" t="e">
        <f>SUM(F96,F95,F81,F59,F50)</f>
        <v>#REF!</v>
      </c>
      <c r="G99" s="26" t="e">
        <f>SUM(G96,G95,G81,G59,G50)</f>
        <v>#REF!</v>
      </c>
      <c r="H99" s="27" t="e">
        <f>SUM(H96,H95,H81,H59,H50)</f>
        <v>#REF!</v>
      </c>
      <c r="I99" s="27"/>
      <c r="J99" s="25" t="e">
        <f>SUM(J96,J95,J81,J59,J50)</f>
        <v>#REF!</v>
      </c>
      <c r="K99" s="26" t="e">
        <f>SUM(K96,K95,K81,K59,K50)</f>
        <v>#REF!</v>
      </c>
      <c r="L99" s="26"/>
      <c r="M99" s="27" t="e">
        <f>SUM(M96,M95,M81,M59,M50)</f>
        <v>#REF!</v>
      </c>
      <c r="N99" s="27"/>
      <c r="O99" s="25" t="e">
        <f t="shared" ref="O99:AZ99" si="244">SUM(O96,O95,O81,O59,O50)</f>
        <v>#REF!</v>
      </c>
      <c r="P99" s="26" t="e">
        <f t="shared" si="244"/>
        <v>#REF!</v>
      </c>
      <c r="Q99" s="26" t="e">
        <f t="shared" si="244"/>
        <v>#REF!</v>
      </c>
      <c r="R99" s="27" t="e">
        <f t="shared" si="244"/>
        <v>#REF!</v>
      </c>
      <c r="S99" s="27" t="e">
        <f t="shared" si="244"/>
        <v>#REF!</v>
      </c>
      <c r="T99" s="25" t="e">
        <f t="shared" si="244"/>
        <v>#REF!</v>
      </c>
      <c r="U99" s="26" t="e">
        <f t="shared" si="244"/>
        <v>#REF!</v>
      </c>
      <c r="V99" s="26" t="e">
        <f t="shared" si="244"/>
        <v>#REF!</v>
      </c>
      <c r="W99" s="27" t="e">
        <f t="shared" si="244"/>
        <v>#REF!</v>
      </c>
      <c r="X99" s="27" t="e">
        <f t="shared" si="244"/>
        <v>#REF!</v>
      </c>
      <c r="Y99" s="25" t="e">
        <f t="shared" si="244"/>
        <v>#REF!</v>
      </c>
      <c r="Z99" s="26" t="e">
        <f t="shared" si="244"/>
        <v>#REF!</v>
      </c>
      <c r="AA99" s="26" t="e">
        <f t="shared" si="244"/>
        <v>#REF!</v>
      </c>
      <c r="AB99" s="27" t="e">
        <f t="shared" si="244"/>
        <v>#REF!</v>
      </c>
      <c r="AC99" s="27" t="e">
        <f t="shared" si="244"/>
        <v>#REF!</v>
      </c>
      <c r="AD99" s="25" t="e">
        <f t="shared" si="244"/>
        <v>#REF!</v>
      </c>
      <c r="AE99" s="26" t="e">
        <f t="shared" si="244"/>
        <v>#REF!</v>
      </c>
      <c r="AF99" s="26" t="e">
        <f t="shared" si="244"/>
        <v>#REF!</v>
      </c>
      <c r="AG99" s="27" t="e">
        <f t="shared" si="244"/>
        <v>#REF!</v>
      </c>
      <c r="AH99" s="27" t="e">
        <f t="shared" si="244"/>
        <v>#REF!</v>
      </c>
      <c r="AI99" s="25" t="e">
        <f t="shared" si="244"/>
        <v>#REF!</v>
      </c>
      <c r="AJ99" s="26" t="e">
        <f t="shared" si="244"/>
        <v>#REF!</v>
      </c>
      <c r="AK99" s="26" t="e">
        <f t="shared" si="244"/>
        <v>#REF!</v>
      </c>
      <c r="AL99" s="27" t="e">
        <f t="shared" si="244"/>
        <v>#REF!</v>
      </c>
      <c r="AM99" s="27" t="e">
        <f t="shared" si="244"/>
        <v>#REF!</v>
      </c>
      <c r="AN99" s="25" t="e">
        <f t="shared" si="244"/>
        <v>#REF!</v>
      </c>
      <c r="AO99" s="26" t="e">
        <f t="shared" si="244"/>
        <v>#REF!</v>
      </c>
      <c r="AP99" s="26" t="e">
        <f t="shared" si="244"/>
        <v>#REF!</v>
      </c>
      <c r="AQ99" s="27" t="e">
        <f t="shared" si="244"/>
        <v>#REF!</v>
      </c>
      <c r="AR99" s="27" t="e">
        <f t="shared" si="244"/>
        <v>#REF!</v>
      </c>
      <c r="AS99" s="25" t="e">
        <f t="shared" si="244"/>
        <v>#REF!</v>
      </c>
      <c r="AT99" s="26" t="e">
        <f t="shared" si="244"/>
        <v>#REF!</v>
      </c>
      <c r="AU99" s="26" t="e">
        <f t="shared" si="244"/>
        <v>#REF!</v>
      </c>
      <c r="AV99" s="27" t="e">
        <f t="shared" si="244"/>
        <v>#REF!</v>
      </c>
      <c r="AW99" s="27" t="e">
        <f t="shared" si="244"/>
        <v>#REF!</v>
      </c>
      <c r="AX99" s="25" t="e">
        <f t="shared" si="244"/>
        <v>#REF!</v>
      </c>
      <c r="AY99" s="26" t="e">
        <f t="shared" si="244"/>
        <v>#REF!</v>
      </c>
      <c r="AZ99" s="26" t="e">
        <f t="shared" si="244"/>
        <v>#REF!</v>
      </c>
      <c r="BA99" s="4"/>
      <c r="BB99" s="2"/>
      <c r="BC99" s="1">
        <f>SUBTOTAL(3,BC50,BC59,BC81,BC95,BC96)</f>
        <v>5</v>
      </c>
      <c r="BF99" s="5"/>
      <c r="BG99" s="5"/>
    </row>
    <row r="100" spans="1:59" s="1" customFormat="1" x14ac:dyDescent="0.25">
      <c r="A100" s="2"/>
      <c r="D100" s="3"/>
      <c r="E100" s="59"/>
      <c r="F100" s="59"/>
      <c r="G100" s="59"/>
      <c r="H100" s="61"/>
      <c r="I100" s="61"/>
      <c r="J100" s="59"/>
      <c r="K100" s="59"/>
      <c r="L100" s="59"/>
      <c r="M100" s="64">
        <v>0</v>
      </c>
      <c r="N100" s="61"/>
      <c r="O100" s="59"/>
      <c r="P100" s="59"/>
      <c r="Q100" s="59"/>
      <c r="R100" s="61"/>
      <c r="S100" s="61"/>
      <c r="T100" s="59"/>
      <c r="U100" s="59"/>
      <c r="V100" s="59"/>
      <c r="W100" s="61"/>
      <c r="X100" s="61"/>
      <c r="Y100" s="59"/>
      <c r="Z100" s="59"/>
      <c r="AA100" s="59"/>
      <c r="AB100" s="61"/>
      <c r="AC100" s="61"/>
      <c r="AD100" s="59"/>
      <c r="AE100" s="59"/>
      <c r="AF100" s="59"/>
      <c r="AG100" s="61"/>
      <c r="AH100" s="61"/>
      <c r="AI100" s="59"/>
      <c r="AJ100" s="59"/>
      <c r="AK100" s="59"/>
      <c r="AL100" s="61"/>
      <c r="AM100" s="61"/>
      <c r="AN100" s="59"/>
      <c r="AO100" s="59"/>
      <c r="AP100" s="59"/>
      <c r="AQ100" s="61"/>
      <c r="AR100" s="61"/>
      <c r="AS100" s="59"/>
      <c r="AT100" s="59"/>
      <c r="AU100" s="59"/>
      <c r="AV100" s="61"/>
      <c r="AW100" s="61"/>
      <c r="AX100" s="59"/>
      <c r="AY100" s="59"/>
      <c r="AZ100" s="59"/>
      <c r="BA100" s="4"/>
      <c r="BB100" s="2"/>
      <c r="BF100" s="5"/>
      <c r="BG100" s="5"/>
    </row>
    <row r="102" spans="1:59" x14ac:dyDescent="0.25">
      <c r="A102" s="30" t="s">
        <v>262</v>
      </c>
    </row>
    <row r="103" spans="1:59" ht="45" x14ac:dyDescent="0.25">
      <c r="A103" s="6" t="s">
        <v>178</v>
      </c>
      <c r="B103" s="7" t="s">
        <v>180</v>
      </c>
      <c r="C103" s="7" t="s">
        <v>0</v>
      </c>
      <c r="D103" s="7" t="s">
        <v>1</v>
      </c>
      <c r="E103" s="7" t="s">
        <v>2</v>
      </c>
      <c r="F103" s="7" t="s">
        <v>13</v>
      </c>
      <c r="G103" s="7" t="s">
        <v>14</v>
      </c>
      <c r="H103" s="7" t="s">
        <v>15</v>
      </c>
      <c r="I103" s="8" t="s">
        <v>16</v>
      </c>
      <c r="J103" s="7" t="s">
        <v>8</v>
      </c>
      <c r="K103" s="7" t="s">
        <v>17</v>
      </c>
      <c r="L103" s="8" t="s">
        <v>18</v>
      </c>
      <c r="M103" s="7" t="s">
        <v>3</v>
      </c>
      <c r="N103" s="8" t="s">
        <v>19</v>
      </c>
      <c r="O103" s="7" t="s">
        <v>20</v>
      </c>
      <c r="P103" s="7" t="s">
        <v>4</v>
      </c>
      <c r="Q103" s="7" t="s">
        <v>11</v>
      </c>
      <c r="R103" s="7" t="s">
        <v>21</v>
      </c>
      <c r="S103" s="7" t="s">
        <v>12</v>
      </c>
      <c r="T103" s="7" t="s">
        <v>22</v>
      </c>
      <c r="U103" s="7" t="s">
        <v>23</v>
      </c>
      <c r="V103" s="7" t="s">
        <v>10</v>
      </c>
      <c r="W103" s="7" t="s">
        <v>5</v>
      </c>
      <c r="X103" s="7" t="s">
        <v>24</v>
      </c>
      <c r="Y103" s="7" t="s">
        <v>25</v>
      </c>
      <c r="Z103" s="7" t="s">
        <v>26</v>
      </c>
      <c r="AA103" s="7" t="s">
        <v>27</v>
      </c>
      <c r="AB103" s="7" t="s">
        <v>28</v>
      </c>
      <c r="AC103" s="7" t="s">
        <v>6</v>
      </c>
      <c r="AD103" s="7" t="s">
        <v>29</v>
      </c>
      <c r="AE103" s="7" t="s">
        <v>30</v>
      </c>
      <c r="AF103" s="7" t="s">
        <v>31</v>
      </c>
      <c r="AG103" s="7" t="s">
        <v>32</v>
      </c>
      <c r="AH103" s="7" t="s">
        <v>33</v>
      </c>
      <c r="AI103" s="7" t="s">
        <v>34</v>
      </c>
      <c r="AJ103" s="7" t="s">
        <v>35</v>
      </c>
      <c r="AK103" s="7" t="s">
        <v>36</v>
      </c>
      <c r="AL103" s="7" t="s">
        <v>37</v>
      </c>
      <c r="AM103" s="7" t="s">
        <v>38</v>
      </c>
      <c r="AN103" s="7" t="s">
        <v>39</v>
      </c>
      <c r="AO103" s="7" t="s">
        <v>40</v>
      </c>
      <c r="AP103" s="7" t="s">
        <v>41</v>
      </c>
      <c r="AQ103" s="7" t="s">
        <v>42</v>
      </c>
      <c r="AR103" s="7" t="s">
        <v>43</v>
      </c>
      <c r="AS103" s="7" t="s">
        <v>44</v>
      </c>
      <c r="AT103" s="7" t="s">
        <v>45</v>
      </c>
      <c r="AU103" s="7" t="s">
        <v>46</v>
      </c>
      <c r="AV103" s="7" t="s">
        <v>47</v>
      </c>
      <c r="AW103" s="7" t="s">
        <v>48</v>
      </c>
      <c r="AX103" s="7" t="s">
        <v>49</v>
      </c>
      <c r="AY103" s="7" t="s">
        <v>50</v>
      </c>
      <c r="AZ103" s="7" t="s">
        <v>7</v>
      </c>
      <c r="BA103" s="7" t="s">
        <v>51</v>
      </c>
      <c r="BB103" s="7" t="s">
        <v>52</v>
      </c>
      <c r="BC103" s="9" t="s">
        <v>9</v>
      </c>
    </row>
    <row r="104" spans="1:59" x14ac:dyDescent="0.25">
      <c r="A104" s="17" t="e">
        <f>#REF!</f>
        <v>#REF!</v>
      </c>
      <c r="B104" s="18" t="e">
        <f>#REF!</f>
        <v>#REF!</v>
      </c>
      <c r="C104" s="18" t="e">
        <f>#REF!</f>
        <v>#REF!</v>
      </c>
      <c r="D104" s="19" t="e">
        <f>#REF!</f>
        <v>#REF!</v>
      </c>
      <c r="E104" s="19" t="e">
        <f>#REF!</f>
        <v>#REF!</v>
      </c>
      <c r="F104" s="20" t="e">
        <f>#REF!</f>
        <v>#REF!</v>
      </c>
      <c r="G104" s="20" t="e">
        <f>#REF!</f>
        <v>#REF!</v>
      </c>
      <c r="H104" s="20" t="e">
        <f>#REF!</f>
        <v>#REF!</v>
      </c>
      <c r="I104" s="21" t="e">
        <f>#REF!</f>
        <v>#REF!</v>
      </c>
      <c r="J104" s="20" t="e">
        <f>#REF!</f>
        <v>#REF!</v>
      </c>
      <c r="K104" s="20" t="e">
        <f>#REF!</f>
        <v>#REF!</v>
      </c>
      <c r="L104" s="21" t="e">
        <f>#REF!</f>
        <v>#REF!</v>
      </c>
      <c r="M104" s="20" t="e">
        <f>#REF!</f>
        <v>#REF!</v>
      </c>
      <c r="N104" s="21" t="e">
        <f>#REF!</f>
        <v>#REF!</v>
      </c>
      <c r="O104" s="20" t="e">
        <f>#REF!</f>
        <v>#REF!</v>
      </c>
      <c r="P104" s="20" t="e">
        <f>#REF!</f>
        <v>#REF!</v>
      </c>
      <c r="Q104" s="20" t="e">
        <f>#REF!</f>
        <v>#REF!</v>
      </c>
      <c r="R104" s="20" t="e">
        <f>#REF!</f>
        <v>#REF!</v>
      </c>
      <c r="S104" s="20" t="e">
        <f>#REF!</f>
        <v>#REF!</v>
      </c>
      <c r="T104" s="20" t="e">
        <f>#REF!</f>
        <v>#REF!</v>
      </c>
      <c r="U104" s="20" t="e">
        <f>#REF!</f>
        <v>#REF!</v>
      </c>
      <c r="V104" s="20" t="e">
        <f>#REF!</f>
        <v>#REF!</v>
      </c>
      <c r="W104" s="20" t="e">
        <f>#REF!</f>
        <v>#REF!</v>
      </c>
      <c r="X104" s="20" t="e">
        <f>#REF!</f>
        <v>#REF!</v>
      </c>
      <c r="Y104" s="20" t="e">
        <f>#REF!</f>
        <v>#REF!</v>
      </c>
      <c r="Z104" s="20" t="e">
        <f>#REF!</f>
        <v>#REF!</v>
      </c>
      <c r="AA104" s="20" t="e">
        <f>#REF!</f>
        <v>#REF!</v>
      </c>
      <c r="AB104" s="20" t="e">
        <f>#REF!</f>
        <v>#REF!</v>
      </c>
      <c r="AC104" s="20" t="e">
        <f>#REF!</f>
        <v>#REF!</v>
      </c>
      <c r="AD104" s="20" t="e">
        <f>#REF!</f>
        <v>#REF!</v>
      </c>
      <c r="AE104" s="20" t="e">
        <f>#REF!</f>
        <v>#REF!</v>
      </c>
      <c r="AF104" s="20" t="e">
        <f>#REF!</f>
        <v>#REF!</v>
      </c>
      <c r="AG104" s="20" t="e">
        <f>#REF!</f>
        <v>#REF!</v>
      </c>
      <c r="AH104" s="20" t="e">
        <f>#REF!</f>
        <v>#REF!</v>
      </c>
      <c r="AI104" s="20" t="e">
        <f>#REF!</f>
        <v>#REF!</v>
      </c>
      <c r="AJ104" s="20" t="e">
        <f>#REF!</f>
        <v>#REF!</v>
      </c>
      <c r="AK104" s="20" t="e">
        <f>#REF!</f>
        <v>#REF!</v>
      </c>
      <c r="AL104" s="20" t="e">
        <f>#REF!</f>
        <v>#REF!</v>
      </c>
      <c r="AM104" s="20" t="e">
        <f>#REF!</f>
        <v>#REF!</v>
      </c>
      <c r="AN104" s="20" t="e">
        <f>#REF!</f>
        <v>#REF!</v>
      </c>
      <c r="AO104" s="20" t="e">
        <f>#REF!</f>
        <v>#REF!</v>
      </c>
      <c r="AP104" s="20" t="e">
        <f>#REF!</f>
        <v>#REF!</v>
      </c>
      <c r="AQ104" s="20" t="e">
        <f>#REF!</f>
        <v>#REF!</v>
      </c>
      <c r="AR104" s="20" t="e">
        <f>#REF!</f>
        <v>#REF!</v>
      </c>
      <c r="AS104" s="20" t="e">
        <f>#REF!</f>
        <v>#REF!</v>
      </c>
      <c r="AT104" s="20" t="e">
        <f>#REF!</f>
        <v>#REF!</v>
      </c>
      <c r="AU104" s="20" t="e">
        <f>#REF!</f>
        <v>#REF!</v>
      </c>
      <c r="AV104" s="20" t="e">
        <f>#REF!</f>
        <v>#REF!</v>
      </c>
      <c r="AW104" s="20" t="e">
        <f>#REF!</f>
        <v>#REF!</v>
      </c>
      <c r="AX104" s="20" t="e">
        <f>#REF!</f>
        <v>#REF!</v>
      </c>
      <c r="AY104" s="20" t="e">
        <f>#REF!</f>
        <v>#REF!</v>
      </c>
      <c r="AZ104" s="20" t="e">
        <f>#REF!</f>
        <v>#REF!</v>
      </c>
      <c r="BA104" s="20"/>
      <c r="BB104" s="22" t="e">
        <f>#REF!</f>
        <v>#REF!</v>
      </c>
      <c r="BC104" s="23" t="e">
        <f>#REF!</f>
        <v>#REF!</v>
      </c>
    </row>
    <row r="105" spans="1:59" s="1" customFormat="1" collapsed="1" x14ac:dyDescent="0.25">
      <c r="A105" s="2"/>
      <c r="D105" s="3"/>
      <c r="E105" s="25" t="s">
        <v>290</v>
      </c>
      <c r="F105" s="26" t="e">
        <f>SUM(F104)</f>
        <v>#REF!</v>
      </c>
      <c r="G105" s="26" t="e">
        <f t="shared" ref="G105:O105" si="245">SUM(G104)</f>
        <v>#REF!</v>
      </c>
      <c r="H105" s="26" t="e">
        <f t="shared" si="245"/>
        <v>#REF!</v>
      </c>
      <c r="I105" s="28" t="e">
        <f>H105/F105</f>
        <v>#REF!</v>
      </c>
      <c r="J105" s="26" t="e">
        <f t="shared" si="245"/>
        <v>#REF!</v>
      </c>
      <c r="K105" s="26" t="e">
        <f t="shared" si="245"/>
        <v>#REF!</v>
      </c>
      <c r="L105" s="28" t="e">
        <f>K105/F105</f>
        <v>#REF!</v>
      </c>
      <c r="M105" s="27" t="e">
        <f t="shared" si="245"/>
        <v>#REF!</v>
      </c>
      <c r="N105" s="29" t="e">
        <f>M105/F105</f>
        <v>#REF!</v>
      </c>
      <c r="O105" s="25" t="e">
        <f t="shared" si="245"/>
        <v>#REF!</v>
      </c>
      <c r="P105" s="25" t="e">
        <f t="shared" ref="P105" si="246">SUM(P104)</f>
        <v>#REF!</v>
      </c>
      <c r="Q105" s="25" t="e">
        <f t="shared" ref="Q105" si="247">SUM(Q104)</f>
        <v>#REF!</v>
      </c>
      <c r="R105" s="25" t="e">
        <f t="shared" ref="R105" si="248">SUM(R104)</f>
        <v>#REF!</v>
      </c>
      <c r="S105" s="25" t="e">
        <f t="shared" ref="S105" si="249">SUM(S104)</f>
        <v>#REF!</v>
      </c>
      <c r="T105" s="25" t="e">
        <f t="shared" ref="T105" si="250">SUM(T104)</f>
        <v>#REF!</v>
      </c>
      <c r="U105" s="25" t="e">
        <f t="shared" ref="U105" si="251">SUM(U104)</f>
        <v>#REF!</v>
      </c>
      <c r="V105" s="25" t="e">
        <f t="shared" ref="V105" si="252">SUM(V104)</f>
        <v>#REF!</v>
      </c>
      <c r="W105" s="25" t="e">
        <f t="shared" ref="W105" si="253">SUM(W104)</f>
        <v>#REF!</v>
      </c>
      <c r="X105" s="25" t="e">
        <f t="shared" ref="X105" si="254">SUM(X104)</f>
        <v>#REF!</v>
      </c>
      <c r="Y105" s="25" t="e">
        <f t="shared" ref="Y105" si="255">SUM(Y104)</f>
        <v>#REF!</v>
      </c>
      <c r="Z105" s="25" t="e">
        <f t="shared" ref="Z105" si="256">SUM(Z104)</f>
        <v>#REF!</v>
      </c>
      <c r="AA105" s="25" t="e">
        <f t="shared" ref="AA105" si="257">SUM(AA104)</f>
        <v>#REF!</v>
      </c>
      <c r="AB105" s="25" t="e">
        <f t="shared" ref="AB105" si="258">SUM(AB104)</f>
        <v>#REF!</v>
      </c>
      <c r="AC105" s="25" t="e">
        <f t="shared" ref="AC105" si="259">SUM(AC104)</f>
        <v>#REF!</v>
      </c>
      <c r="AD105" s="25" t="e">
        <f t="shared" ref="AD105" si="260">SUM(AD104)</f>
        <v>#REF!</v>
      </c>
      <c r="AE105" s="25" t="e">
        <f t="shared" ref="AE105" si="261">SUM(AE104)</f>
        <v>#REF!</v>
      </c>
      <c r="AF105" s="25" t="e">
        <f t="shared" ref="AF105" si="262">SUM(AF104)</f>
        <v>#REF!</v>
      </c>
      <c r="AG105" s="25" t="e">
        <f t="shared" ref="AG105" si="263">SUM(AG104)</f>
        <v>#REF!</v>
      </c>
      <c r="AH105" s="25" t="e">
        <f t="shared" ref="AH105" si="264">SUM(AH104)</f>
        <v>#REF!</v>
      </c>
      <c r="AI105" s="25" t="e">
        <f t="shared" ref="AI105" si="265">SUM(AI104)</f>
        <v>#REF!</v>
      </c>
      <c r="AJ105" s="25" t="e">
        <f t="shared" ref="AJ105" si="266">SUM(AJ104)</f>
        <v>#REF!</v>
      </c>
      <c r="AK105" s="25" t="e">
        <f t="shared" ref="AK105" si="267">SUM(AK104)</f>
        <v>#REF!</v>
      </c>
      <c r="AL105" s="25" t="e">
        <f t="shared" ref="AL105" si="268">SUM(AL104)</f>
        <v>#REF!</v>
      </c>
      <c r="AM105" s="25" t="e">
        <f t="shared" ref="AM105" si="269">SUM(AM104)</f>
        <v>#REF!</v>
      </c>
      <c r="AN105" s="25" t="e">
        <f t="shared" ref="AN105" si="270">SUM(AN104)</f>
        <v>#REF!</v>
      </c>
      <c r="AO105" s="25" t="e">
        <f t="shared" ref="AO105" si="271">SUM(AO104)</f>
        <v>#REF!</v>
      </c>
      <c r="AP105" s="25" t="e">
        <f t="shared" ref="AP105" si="272">SUM(AP104)</f>
        <v>#REF!</v>
      </c>
      <c r="AQ105" s="25" t="e">
        <f t="shared" ref="AQ105" si="273">SUM(AQ104)</f>
        <v>#REF!</v>
      </c>
      <c r="AR105" s="25" t="e">
        <f t="shared" ref="AR105" si="274">SUM(AR104)</f>
        <v>#REF!</v>
      </c>
      <c r="AS105" s="25" t="e">
        <f t="shared" ref="AS105" si="275">SUM(AS104)</f>
        <v>#REF!</v>
      </c>
      <c r="AT105" s="25" t="e">
        <f t="shared" ref="AT105" si="276">SUM(AT104)</f>
        <v>#REF!</v>
      </c>
      <c r="AU105" s="25" t="e">
        <f t="shared" ref="AU105" si="277">SUM(AU104)</f>
        <v>#REF!</v>
      </c>
      <c r="AV105" s="25" t="e">
        <f t="shared" ref="AV105" si="278">SUM(AV104)</f>
        <v>#REF!</v>
      </c>
      <c r="AW105" s="25" t="e">
        <f t="shared" ref="AW105" si="279">SUM(AW104)</f>
        <v>#REF!</v>
      </c>
      <c r="AX105" s="25" t="e">
        <f t="shared" ref="AX105" si="280">SUM(AX104)</f>
        <v>#REF!</v>
      </c>
      <c r="AY105" s="25" t="e">
        <f t="shared" ref="AY105" si="281">SUM(AY104)</f>
        <v>#REF!</v>
      </c>
      <c r="AZ105" s="25" t="e">
        <f t="shared" ref="AZ105" si="282">SUM(AZ104)</f>
        <v>#REF!</v>
      </c>
      <c r="BA105" s="4"/>
      <c r="BB105" s="2"/>
      <c r="BC105" s="1">
        <f>SUBTOTAL(3,BC104)</f>
        <v>1</v>
      </c>
      <c r="BF105" s="5"/>
      <c r="BG105" s="5"/>
    </row>
  </sheetData>
  <mergeCells count="2">
    <mergeCell ref="A1:F1"/>
    <mergeCell ref="A2:I2"/>
  </mergeCells>
  <printOptions horizontalCentered="1" verticalCentered="1"/>
  <pageMargins left="0.11811023622047245" right="0.11811023622047245" top="0.19685039370078741" bottom="0.19685039370078741" header="0.31496062992125984" footer="0.31496062992125984"/>
  <pageSetup paperSize="8" scale="67" fitToHeight="1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3"/>
  <sheetViews>
    <sheetView workbookViewId="0">
      <selection activeCell="C7" sqref="C7"/>
    </sheetView>
  </sheetViews>
  <sheetFormatPr baseColWidth="10" defaultRowHeight="15" x14ac:dyDescent="0.25"/>
  <cols>
    <col min="2" max="2" width="27" customWidth="1"/>
    <col min="3" max="3" width="23.7109375" bestFit="1" customWidth="1"/>
  </cols>
  <sheetData>
    <row r="3" spans="2:4" x14ac:dyDescent="0.25">
      <c r="B3" s="148" t="s">
        <v>308</v>
      </c>
      <c r="C3" s="148"/>
    </row>
    <row r="4" spans="2:4" x14ac:dyDescent="0.25">
      <c r="B4" s="56" t="s">
        <v>302</v>
      </c>
      <c r="C4" s="56" t="s">
        <v>307</v>
      </c>
    </row>
    <row r="5" spans="2:4" x14ac:dyDescent="0.25">
      <c r="B5" s="57" t="s">
        <v>315</v>
      </c>
      <c r="C5" s="58">
        <f>Tableau_Lancer_la_requête_à_partir_de_Export_Bdossiers[[#Totals],[Coût total Opération]]+Tableau_Lancer_la_requête_à_partir_de_Export_Bdossiers59[[#Totals],[Coût total Opération]]+Tableau_Lancer_la_requête_à_partir_de_Export_Bdossiers5961516[[#Totals],[Coût total Opération]]</f>
        <v>11243274.570256207</v>
      </c>
    </row>
    <row r="6" spans="2:4" x14ac:dyDescent="0.25">
      <c r="B6" s="53" t="s">
        <v>303</v>
      </c>
      <c r="C6" s="54">
        <f>Tableau_Lancer_la_requête_à_partir_de_Export_Bdossiers[[#Totals],[UE]]+Tableau_Lancer_la_requête_à_partir_de_Export_Bdossiers59[[#Totals],[UE]]+Tableau_Lancer_la_requête_à_partir_de_Export_Bdossiers5961516[[#Totals],[UE]]</f>
        <v>2045347.8435</v>
      </c>
      <c r="D6" s="140">
        <f>(C6/$C$10)*100</f>
        <v>33.250640871257602</v>
      </c>
    </row>
    <row r="7" spans="2:4" x14ac:dyDescent="0.25">
      <c r="B7" s="51" t="s">
        <v>304</v>
      </c>
      <c r="C7" s="52">
        <f>Tableau_Lancer_la_requête_à_partir_de_Export_Bdossiers[[#Totals],[Total Etat]]+Tableau_Lancer_la_requête_à_partir_de_Export_Bdossiers59[[#Totals],[Total Etat]]+Tableau_Lancer_la_requête_à_partir_de_Export_Bdossiers5961516[[#Totals],[Total Etat]]</f>
        <v>3307372.44</v>
      </c>
      <c r="D7" s="140">
        <f t="shared" ref="D7:D9" si="0">(C7/$C$10)*100</f>
        <v>53.767017468163466</v>
      </c>
    </row>
    <row r="8" spans="2:4" x14ac:dyDescent="0.25">
      <c r="B8" s="53" t="s">
        <v>305</v>
      </c>
      <c r="C8" s="54">
        <f>Tableau_Lancer_la_requête_à_partir_de_Export_Bdossiers[[#Totals],[Total CR]]+Tableau_Lancer_la_requête_à_partir_de_Export_Bdossiers59[[#Totals],[Total CR]]+Tableau_Lancer_la_requête_à_partir_de_Export_Bdossiers5961516[[#Totals],[Total CR]]</f>
        <v>636473.77</v>
      </c>
      <c r="D8" s="140">
        <f t="shared" si="0"/>
        <v>10.346973898596632</v>
      </c>
    </row>
    <row r="9" spans="2:4" x14ac:dyDescent="0.25">
      <c r="B9" s="51" t="s">
        <v>306</v>
      </c>
      <c r="C9" s="52">
        <f>Tableau_Lancer_la_requête_à_partir_de_Export_Bdossiers[[#Totals],[Total CG]]+Tableau_Lancer_la_requête_à_partir_de_Export_Bdossiers59[[#Totals],[Total CG]]+Tableau_Lancer_la_requête_à_partir_de_Export_Bdossiers5961516[[#Totals],[Total CG]]</f>
        <v>162109.47</v>
      </c>
      <c r="D9" s="140">
        <f t="shared" si="0"/>
        <v>2.6353677619822951</v>
      </c>
    </row>
    <row r="10" spans="2:4" x14ac:dyDescent="0.25">
      <c r="B10" s="50"/>
      <c r="C10" s="55">
        <f>SUM(C6:C9)</f>
        <v>6151303.5235000001</v>
      </c>
    </row>
    <row r="12" spans="2:4" x14ac:dyDescent="0.25">
      <c r="B12" s="53" t="s">
        <v>316</v>
      </c>
      <c r="C12" s="74">
        <f>Tableau_Lancer_la_requête_à_partir_de_Export_Bdossiers[[#Totals],[NomReg]]+Tableau_Lancer_la_requête_à_partir_de_Export_Bdossiers59[[#Totals],[NomReg]]+Tableau_Lancer_la_requête_à_partir_de_Export_Bdossiers5961516[[#Totals],[NomReg]]</f>
        <v>94</v>
      </c>
    </row>
    <row r="13" spans="2:4" x14ac:dyDescent="0.25">
      <c r="B13" s="51" t="s">
        <v>317</v>
      </c>
      <c r="C13" s="67">
        <f>'AAP Accueil'!K39+'PPN Emergents'!K21+'Fil de l''eau'!M59</f>
        <v>39</v>
      </c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AAP Accueil</vt:lpstr>
      <vt:lpstr>PPN structurés</vt:lpstr>
      <vt:lpstr>PPN Emergents</vt:lpstr>
      <vt:lpstr>Fil de l'eau</vt:lpstr>
      <vt:lpstr>Fil eau Proj</vt:lpstr>
      <vt:lpstr>recap</vt:lpstr>
      <vt:lpstr>'Fil de l''eau'!Impression_des_titres</vt:lpstr>
      <vt:lpstr>'Fil de l''eau'!Zone_d_impression</vt:lpstr>
      <vt:lpstr>'PPN Emergents'!Zone_d_impression</vt:lpstr>
      <vt:lpstr>'PPN structurés'!Zone_d_impression</vt:lpstr>
    </vt:vector>
  </TitlesOfParts>
  <Company>cra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</dc:creator>
  <cp:lastModifiedBy>k.garnier</cp:lastModifiedBy>
  <cp:lastPrinted>2015-08-26T15:55:07Z</cp:lastPrinted>
  <dcterms:created xsi:type="dcterms:W3CDTF">2015-01-28T07:39:15Z</dcterms:created>
  <dcterms:modified xsi:type="dcterms:W3CDTF">2015-10-23T07:13:41Z</dcterms:modified>
</cp:coreProperties>
</file>