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40" yWindow="120" windowWidth="15480" windowHeight="9465" tabRatio="660" activeTab="7"/>
  </bookViews>
  <sheets>
    <sheet name="Fil de l'eau" sheetId="1" r:id="rId1"/>
    <sheet name="Itinérance" sheetId="2" r:id="rId2"/>
    <sheet name="Milieux" sheetId="3" r:id="rId3"/>
    <sheet name="Pôles nature" sheetId="6" r:id="rId4"/>
    <sheet name="Accueil" sheetId="9" r:id="rId5"/>
    <sheet name="reprogFNADT" sheetId="7" r:id="rId6"/>
    <sheet name="reprogr FEDER" sheetId="11" r:id="rId7"/>
    <sheet name="Récapitulatif" sheetId="10" r:id="rId8"/>
  </sheets>
  <definedNames>
    <definedName name="_xlnm._FilterDatabase" localSheetId="0" hidden="1">'Fil de l''eau'!$A$1:$AQ$77</definedName>
    <definedName name="_xlnm.Print_Titles" localSheetId="0">'Fil de l''eau'!$1:$1</definedName>
    <definedName name="_xlnm.Print_Titles" localSheetId="5">reprogFNADT!$1:$1</definedName>
    <definedName name="Lancer_la_requête_à_partir_de_Excel_Files" localSheetId="6" hidden="1">'reprogr FEDER'!$A$2:$AV$11</definedName>
  </definedNames>
  <calcPr calcId="145621"/>
</workbook>
</file>

<file path=xl/calcChain.xml><?xml version="1.0" encoding="utf-8"?>
<calcChain xmlns="http://schemas.openxmlformats.org/spreadsheetml/2006/main">
  <c r="E8" i="10" l="1"/>
  <c r="F5" i="10" l="1"/>
  <c r="F3" i="10"/>
  <c r="AV12" i="11"/>
  <c r="AT12" i="11"/>
  <c r="AS12" i="11"/>
  <c r="AR12" i="11"/>
  <c r="AQ12" i="11"/>
  <c r="AP12" i="11"/>
  <c r="AO12" i="11"/>
  <c r="AN12" i="11"/>
  <c r="AM12" i="11"/>
  <c r="AL12" i="11"/>
  <c r="AK12" i="11"/>
  <c r="AJ12" i="11"/>
  <c r="AI12" i="11"/>
  <c r="AH12" i="11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J12" i="11"/>
  <c r="I12" i="11"/>
  <c r="H12" i="11"/>
  <c r="G12" i="11"/>
  <c r="E12" i="11"/>
  <c r="B1" i="11"/>
  <c r="E5" i="10" l="1"/>
  <c r="E4" i="10"/>
  <c r="E3" i="10"/>
  <c r="N8" i="7"/>
  <c r="D4" i="10"/>
  <c r="K10" i="3"/>
  <c r="K11" i="3"/>
  <c r="K12" i="3"/>
  <c r="K13" i="3"/>
  <c r="K14" i="3"/>
  <c r="K15" i="3"/>
  <c r="K9" i="3"/>
  <c r="K7" i="3"/>
  <c r="K6" i="3"/>
  <c r="K3" i="3"/>
  <c r="K4" i="3"/>
  <c r="K2" i="3"/>
  <c r="D3" i="10"/>
  <c r="C3" i="10"/>
  <c r="B3" i="10"/>
  <c r="D5" i="10"/>
  <c r="C5" i="10"/>
  <c r="G19" i="9" l="1"/>
  <c r="J3" i="7"/>
  <c r="J4" i="7"/>
  <c r="J5" i="7"/>
  <c r="J6" i="7"/>
  <c r="J8" i="7"/>
  <c r="J2" i="7"/>
  <c r="F8" i="3"/>
  <c r="F16" i="3" s="1"/>
  <c r="H8" i="3"/>
  <c r="H16" i="3" s="1"/>
  <c r="I8" i="3"/>
  <c r="J8" i="3"/>
  <c r="J16" i="3" s="1"/>
  <c r="L8" i="3"/>
  <c r="L16" i="3" s="1"/>
  <c r="M8" i="3"/>
  <c r="O8" i="3"/>
  <c r="P8" i="3"/>
  <c r="P16" i="3" s="1"/>
  <c r="Q8" i="3"/>
  <c r="R8" i="3"/>
  <c r="R16" i="3" s="1"/>
  <c r="S8" i="3"/>
  <c r="T8" i="3"/>
  <c r="T16" i="3" s="1"/>
  <c r="E8" i="3"/>
  <c r="E16" i="3" s="1"/>
  <c r="F5" i="3"/>
  <c r="H5" i="3"/>
  <c r="I5" i="3"/>
  <c r="I16" i="3" s="1"/>
  <c r="J5" i="3"/>
  <c r="L5" i="3"/>
  <c r="M5" i="3"/>
  <c r="M16" i="3" s="1"/>
  <c r="O5" i="3"/>
  <c r="O16" i="3" s="1"/>
  <c r="P5" i="3"/>
  <c r="Q5" i="3"/>
  <c r="Q16" i="3" s="1"/>
  <c r="R5" i="3"/>
  <c r="S5" i="3"/>
  <c r="S16" i="3" s="1"/>
  <c r="T5" i="3"/>
  <c r="E5" i="3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N9" i="3"/>
  <c r="U9" i="3"/>
  <c r="N10" i="3"/>
  <c r="G10" i="3" s="1"/>
  <c r="U10" i="3"/>
  <c r="G9" i="3" l="1"/>
  <c r="F71" i="1" l="1"/>
  <c r="G71" i="1"/>
  <c r="H71" i="1"/>
  <c r="I71" i="1"/>
  <c r="J71" i="1"/>
  <c r="K71" i="1"/>
  <c r="L71" i="1"/>
  <c r="M71" i="1"/>
  <c r="M89" i="1" s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E71" i="1"/>
  <c r="O8" i="7" l="1"/>
  <c r="AQ7" i="7"/>
  <c r="AQ9" i="7" s="1"/>
  <c r="AP7" i="7"/>
  <c r="AP9" i="7" s="1"/>
  <c r="AO7" i="7"/>
  <c r="AO9" i="7" s="1"/>
  <c r="AN7" i="7"/>
  <c r="AN9" i="7" s="1"/>
  <c r="AM7" i="7"/>
  <c r="AM9" i="7" s="1"/>
  <c r="AL7" i="7"/>
  <c r="AL9" i="7" s="1"/>
  <c r="AK7" i="7"/>
  <c r="AK9" i="7" s="1"/>
  <c r="AJ7" i="7"/>
  <c r="AJ9" i="7" s="1"/>
  <c r="AI7" i="7"/>
  <c r="AI9" i="7" s="1"/>
  <c r="AH7" i="7"/>
  <c r="AH9" i="7" s="1"/>
  <c r="AG7" i="7"/>
  <c r="AG9" i="7" s="1"/>
  <c r="AF7" i="7"/>
  <c r="AF9" i="7" s="1"/>
  <c r="AE7" i="7"/>
  <c r="AE9" i="7" s="1"/>
  <c r="AD7" i="7"/>
  <c r="AD9" i="7" s="1"/>
  <c r="AC7" i="7"/>
  <c r="AC9" i="7" s="1"/>
  <c r="AB7" i="7"/>
  <c r="AB9" i="7" s="1"/>
  <c r="AA7" i="7"/>
  <c r="AA9" i="7" s="1"/>
  <c r="Z7" i="7"/>
  <c r="Z9" i="7" s="1"/>
  <c r="Y7" i="7"/>
  <c r="Y9" i="7" s="1"/>
  <c r="X7" i="7"/>
  <c r="X9" i="7" s="1"/>
  <c r="W7" i="7"/>
  <c r="W9" i="7" s="1"/>
  <c r="V7" i="7"/>
  <c r="V9" i="7" s="1"/>
  <c r="T7" i="7"/>
  <c r="T9" i="7" s="1"/>
  <c r="S7" i="7"/>
  <c r="S9" i="7" s="1"/>
  <c r="R7" i="7"/>
  <c r="R9" i="7" s="1"/>
  <c r="Q7" i="7"/>
  <c r="Q9" i="7" s="1"/>
  <c r="P7" i="7"/>
  <c r="P9" i="7" s="1"/>
  <c r="O7" i="7"/>
  <c r="O9" i="7" s="1"/>
  <c r="M7" i="7"/>
  <c r="M9" i="7" s="1"/>
  <c r="L7" i="7"/>
  <c r="K7" i="7"/>
  <c r="K9" i="7" s="1"/>
  <c r="I7" i="7"/>
  <c r="I9" i="7" s="1"/>
  <c r="H7" i="7"/>
  <c r="H9" i="7" s="1"/>
  <c r="F7" i="7"/>
  <c r="F9" i="7" s="1"/>
  <c r="E7" i="7"/>
  <c r="E9" i="7" s="1"/>
  <c r="N6" i="7"/>
  <c r="N5" i="7"/>
  <c r="N4" i="7"/>
  <c r="N3" i="7"/>
  <c r="U2" i="7"/>
  <c r="U7" i="7" s="1"/>
  <c r="N2" i="7"/>
  <c r="L9" i="7" l="1"/>
  <c r="J7" i="7"/>
  <c r="J9" i="7" s="1"/>
  <c r="G4" i="7"/>
  <c r="G6" i="7"/>
  <c r="N7" i="7"/>
  <c r="N9" i="7" s="1"/>
  <c r="G3" i="7"/>
  <c r="G7" i="7" s="1"/>
  <c r="G2" i="7"/>
  <c r="G5" i="7"/>
  <c r="L2" i="2"/>
  <c r="L3" i="2"/>
  <c r="U2" i="3"/>
  <c r="U3" i="3"/>
  <c r="U4" i="3"/>
  <c r="U13" i="3"/>
  <c r="N2" i="3"/>
  <c r="N3" i="3"/>
  <c r="N4" i="3"/>
  <c r="K5" i="3" l="1"/>
  <c r="U5" i="3"/>
  <c r="N5" i="3"/>
  <c r="G3" i="3"/>
  <c r="G4" i="3"/>
  <c r="G2" i="3"/>
  <c r="G5" i="3" l="1"/>
  <c r="N87" i="1"/>
  <c r="U8" i="7" l="1"/>
  <c r="U9" i="7" s="1"/>
  <c r="M18" i="9"/>
  <c r="J18" i="9"/>
  <c r="M17" i="9"/>
  <c r="J17" i="9"/>
  <c r="M16" i="9"/>
  <c r="J16" i="9"/>
  <c r="M15" i="9"/>
  <c r="F15" i="9" s="1"/>
  <c r="J15" i="9"/>
  <c r="M14" i="9"/>
  <c r="J14" i="9"/>
  <c r="M13" i="9"/>
  <c r="F13" i="9" s="1"/>
  <c r="J13" i="9"/>
  <c r="M12" i="9"/>
  <c r="J12" i="9"/>
  <c r="M11" i="9"/>
  <c r="F11" i="9" s="1"/>
  <c r="M10" i="9"/>
  <c r="J10" i="9"/>
  <c r="M9" i="9"/>
  <c r="J9" i="9"/>
  <c r="AP8" i="9"/>
  <c r="AP19" i="9" s="1"/>
  <c r="AO8" i="9"/>
  <c r="AO19" i="9" s="1"/>
  <c r="AN8" i="9"/>
  <c r="AN19" i="9" s="1"/>
  <c r="AM8" i="9"/>
  <c r="AM19" i="9" s="1"/>
  <c r="AL8" i="9"/>
  <c r="AL19" i="9" s="1"/>
  <c r="AK8" i="9"/>
  <c r="AK19" i="9" s="1"/>
  <c r="AJ8" i="9"/>
  <c r="AJ19" i="9" s="1"/>
  <c r="AI8" i="9"/>
  <c r="AI19" i="9" s="1"/>
  <c r="AH8" i="9"/>
  <c r="AH19" i="9" s="1"/>
  <c r="AG8" i="9"/>
  <c r="AG19" i="9" s="1"/>
  <c r="AF8" i="9"/>
  <c r="AF19" i="9" s="1"/>
  <c r="AE8" i="9"/>
  <c r="AE19" i="9" s="1"/>
  <c r="AD8" i="9"/>
  <c r="AD19" i="9" s="1"/>
  <c r="AC8" i="9"/>
  <c r="AC19" i="9" s="1"/>
  <c r="AB8" i="9"/>
  <c r="AB19" i="9" s="1"/>
  <c r="AA8" i="9"/>
  <c r="AA19" i="9" s="1"/>
  <c r="Z8" i="9"/>
  <c r="Z19" i="9" s="1"/>
  <c r="Y8" i="9"/>
  <c r="Y19" i="9" s="1"/>
  <c r="X8" i="9"/>
  <c r="X19" i="9" s="1"/>
  <c r="W8" i="9"/>
  <c r="W19" i="9" s="1"/>
  <c r="V8" i="9"/>
  <c r="V19" i="9" s="1"/>
  <c r="U8" i="9"/>
  <c r="U19" i="9" s="1"/>
  <c r="T8" i="9"/>
  <c r="T19" i="9" s="1"/>
  <c r="S8" i="9"/>
  <c r="S19" i="9" s="1"/>
  <c r="R8" i="9"/>
  <c r="R19" i="9" s="1"/>
  <c r="Q8" i="9"/>
  <c r="Q19" i="9" s="1"/>
  <c r="P8" i="9"/>
  <c r="P19" i="9" s="1"/>
  <c r="O8" i="9"/>
  <c r="O19" i="9" s="1"/>
  <c r="N8" i="9"/>
  <c r="N19" i="9" s="1"/>
  <c r="L8" i="9"/>
  <c r="L19" i="9" s="1"/>
  <c r="K8" i="9"/>
  <c r="K19" i="9" s="1"/>
  <c r="I8" i="9"/>
  <c r="I19" i="9" s="1"/>
  <c r="H8" i="9"/>
  <c r="H19" i="9" s="1"/>
  <c r="E6" i="10" s="1"/>
  <c r="E8" i="9"/>
  <c r="E19" i="9" s="1"/>
  <c r="D8" i="9"/>
  <c r="D19" i="9" s="1"/>
  <c r="M7" i="9"/>
  <c r="J7" i="9"/>
  <c r="F7" i="9" s="1"/>
  <c r="M6" i="9"/>
  <c r="J6" i="9"/>
  <c r="M5" i="9"/>
  <c r="J5" i="9"/>
  <c r="F5" i="9" s="1"/>
  <c r="M4" i="9"/>
  <c r="J4" i="9"/>
  <c r="M3" i="9"/>
  <c r="J3" i="9"/>
  <c r="J8" i="9" s="1"/>
  <c r="M2" i="9"/>
  <c r="L2" i="9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R7" i="6"/>
  <c r="Q7" i="6"/>
  <c r="P7" i="6"/>
  <c r="O7" i="6"/>
  <c r="N7" i="6"/>
  <c r="M7" i="6"/>
  <c r="K7" i="6"/>
  <c r="J7" i="6"/>
  <c r="B5" i="10" s="1"/>
  <c r="H7" i="6"/>
  <c r="G7" i="6"/>
  <c r="F7" i="6"/>
  <c r="E7" i="6"/>
  <c r="S6" i="6"/>
  <c r="L6" i="6"/>
  <c r="I6" i="6"/>
  <c r="S5" i="6"/>
  <c r="L5" i="6"/>
  <c r="I5" i="6"/>
  <c r="S4" i="6"/>
  <c r="L4" i="6"/>
  <c r="I4" i="6"/>
  <c r="S3" i="6"/>
  <c r="L3" i="6"/>
  <c r="I3" i="6"/>
  <c r="S2" i="6"/>
  <c r="S7" i="6" s="1"/>
  <c r="L2" i="6"/>
  <c r="I2" i="6"/>
  <c r="I7" i="6" s="1"/>
  <c r="N13" i="3"/>
  <c r="U15" i="3"/>
  <c r="N15" i="3"/>
  <c r="G15" i="3" s="1"/>
  <c r="U7" i="3"/>
  <c r="N7" i="3"/>
  <c r="U6" i="3"/>
  <c r="U8" i="3" s="1"/>
  <c r="N6" i="3"/>
  <c r="U14" i="3"/>
  <c r="N14" i="3"/>
  <c r="U11" i="3"/>
  <c r="U16" i="3" s="1"/>
  <c r="N11" i="3"/>
  <c r="U12" i="3"/>
  <c r="N12" i="3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R4" i="2"/>
  <c r="Q4" i="2"/>
  <c r="P4" i="2"/>
  <c r="O4" i="2"/>
  <c r="N4" i="2"/>
  <c r="M4" i="2"/>
  <c r="K4" i="2"/>
  <c r="J4" i="2"/>
  <c r="H4" i="2"/>
  <c r="G4" i="2"/>
  <c r="F4" i="2"/>
  <c r="E4" i="2"/>
  <c r="S3" i="2"/>
  <c r="I3" i="2"/>
  <c r="L4" i="2"/>
  <c r="S2" i="2"/>
  <c r="S4" i="2" s="1"/>
  <c r="I2" i="2"/>
  <c r="I4" i="2" s="1"/>
  <c r="AQ113" i="1"/>
  <c r="U88" i="1"/>
  <c r="N88" i="1"/>
  <c r="J88" i="1"/>
  <c r="I88" i="1"/>
  <c r="U87" i="1"/>
  <c r="J87" i="1"/>
  <c r="I87" i="1"/>
  <c r="U86" i="1"/>
  <c r="N86" i="1"/>
  <c r="J86" i="1"/>
  <c r="I86" i="1"/>
  <c r="U83" i="1"/>
  <c r="J83" i="1"/>
  <c r="I83" i="1"/>
  <c r="U82" i="1"/>
  <c r="I82" i="1"/>
  <c r="U81" i="1"/>
  <c r="N81" i="1"/>
  <c r="J81" i="1"/>
  <c r="I81" i="1"/>
  <c r="U80" i="1"/>
  <c r="N80" i="1"/>
  <c r="J80" i="1"/>
  <c r="I80" i="1"/>
  <c r="N79" i="1"/>
  <c r="I79" i="1"/>
  <c r="U78" i="1"/>
  <c r="N78" i="1"/>
  <c r="I78" i="1"/>
  <c r="U77" i="1"/>
  <c r="N77" i="1"/>
  <c r="J77" i="1"/>
  <c r="I77" i="1"/>
  <c r="U76" i="1"/>
  <c r="N76" i="1"/>
  <c r="J76" i="1"/>
  <c r="I76" i="1"/>
  <c r="U75" i="1"/>
  <c r="N75" i="1"/>
  <c r="J75" i="1"/>
  <c r="I75" i="1"/>
  <c r="J74" i="1"/>
  <c r="E74" i="1"/>
  <c r="J73" i="1"/>
  <c r="I73" i="1"/>
  <c r="U72" i="1"/>
  <c r="N72" i="1"/>
  <c r="J72" i="1"/>
  <c r="I72" i="1"/>
  <c r="U66" i="1"/>
  <c r="T66" i="1"/>
  <c r="T89" i="1" s="1"/>
  <c r="S66" i="1"/>
  <c r="S89" i="1" s="1"/>
  <c r="R66" i="1"/>
  <c r="R89" i="1" s="1"/>
  <c r="Q66" i="1"/>
  <c r="Q89" i="1" s="1"/>
  <c r="P66" i="1"/>
  <c r="P89" i="1" s="1"/>
  <c r="O66" i="1"/>
  <c r="O89" i="1" s="1"/>
  <c r="L66" i="1"/>
  <c r="K66" i="1"/>
  <c r="H66" i="1"/>
  <c r="G66" i="1"/>
  <c r="F66" i="1"/>
  <c r="E66" i="1"/>
  <c r="N65" i="1"/>
  <c r="J65" i="1"/>
  <c r="I65" i="1"/>
  <c r="N64" i="1"/>
  <c r="J64" i="1"/>
  <c r="I64" i="1"/>
  <c r="N63" i="1"/>
  <c r="J63" i="1"/>
  <c r="I63" i="1"/>
  <c r="N62" i="1"/>
  <c r="J62" i="1"/>
  <c r="I62" i="1"/>
  <c r="N61" i="1"/>
  <c r="J61" i="1"/>
  <c r="I61" i="1"/>
  <c r="N60" i="1"/>
  <c r="J60" i="1"/>
  <c r="I60" i="1"/>
  <c r="N59" i="1"/>
  <c r="J59" i="1"/>
  <c r="I59" i="1"/>
  <c r="N58" i="1"/>
  <c r="J58" i="1"/>
  <c r="I58" i="1"/>
  <c r="N57" i="1"/>
  <c r="J57" i="1"/>
  <c r="I57" i="1"/>
  <c r="N56" i="1"/>
  <c r="J56" i="1"/>
  <c r="I56" i="1"/>
  <c r="N55" i="1"/>
  <c r="J55" i="1"/>
  <c r="I55" i="1"/>
  <c r="N54" i="1"/>
  <c r="J54" i="1"/>
  <c r="I54" i="1"/>
  <c r="N53" i="1"/>
  <c r="J53" i="1"/>
  <c r="I53" i="1"/>
  <c r="L52" i="1"/>
  <c r="K52" i="1"/>
  <c r="H52" i="1"/>
  <c r="G52" i="1"/>
  <c r="F52" i="1"/>
  <c r="E52" i="1"/>
  <c r="U51" i="1"/>
  <c r="N51" i="1"/>
  <c r="J51" i="1"/>
  <c r="I51" i="1"/>
  <c r="U50" i="1"/>
  <c r="N50" i="1"/>
  <c r="J50" i="1"/>
  <c r="I50" i="1"/>
  <c r="U49" i="1"/>
  <c r="N49" i="1"/>
  <c r="J49" i="1"/>
  <c r="I49" i="1"/>
  <c r="U48" i="1"/>
  <c r="N48" i="1"/>
  <c r="N52" i="1" s="1"/>
  <c r="J48" i="1"/>
  <c r="I48" i="1"/>
  <c r="J47" i="1"/>
  <c r="I47" i="1"/>
  <c r="U46" i="1"/>
  <c r="N46" i="1"/>
  <c r="J46" i="1"/>
  <c r="I46" i="1"/>
  <c r="U45" i="1"/>
  <c r="N45" i="1"/>
  <c r="J45" i="1"/>
  <c r="I45" i="1"/>
  <c r="K44" i="1"/>
  <c r="H44" i="1"/>
  <c r="G44" i="1"/>
  <c r="F44" i="1"/>
  <c r="E44" i="1"/>
  <c r="U43" i="1"/>
  <c r="N43" i="1"/>
  <c r="J43" i="1"/>
  <c r="I43" i="1"/>
  <c r="U42" i="1"/>
  <c r="N42" i="1"/>
  <c r="J42" i="1"/>
  <c r="I42" i="1"/>
  <c r="U41" i="1"/>
  <c r="N41" i="1"/>
  <c r="J41" i="1"/>
  <c r="I41" i="1"/>
  <c r="U40" i="1"/>
  <c r="N40" i="1"/>
  <c r="J40" i="1"/>
  <c r="I40" i="1"/>
  <c r="U39" i="1"/>
  <c r="N39" i="1"/>
  <c r="J39" i="1"/>
  <c r="I39" i="1"/>
  <c r="I44" i="1" s="1"/>
  <c r="K38" i="1"/>
  <c r="H38" i="1"/>
  <c r="G38" i="1"/>
  <c r="F38" i="1"/>
  <c r="E38" i="1"/>
  <c r="U37" i="1"/>
  <c r="N37" i="1"/>
  <c r="J37" i="1"/>
  <c r="I37" i="1"/>
  <c r="U36" i="1"/>
  <c r="N36" i="1"/>
  <c r="J36" i="1"/>
  <c r="I36" i="1"/>
  <c r="U35" i="1"/>
  <c r="N35" i="1"/>
  <c r="J35" i="1"/>
  <c r="I35" i="1"/>
  <c r="U34" i="1"/>
  <c r="N34" i="1"/>
  <c r="J34" i="1"/>
  <c r="I34" i="1"/>
  <c r="U33" i="1"/>
  <c r="N33" i="1"/>
  <c r="J33" i="1"/>
  <c r="I33" i="1"/>
  <c r="U32" i="1"/>
  <c r="N32" i="1"/>
  <c r="J32" i="1"/>
  <c r="I32" i="1"/>
  <c r="U31" i="1"/>
  <c r="N31" i="1"/>
  <c r="J31" i="1"/>
  <c r="I31" i="1"/>
  <c r="U30" i="1"/>
  <c r="N30" i="1"/>
  <c r="J30" i="1"/>
  <c r="I30" i="1"/>
  <c r="U29" i="1"/>
  <c r="N29" i="1"/>
  <c r="J29" i="1"/>
  <c r="I29" i="1"/>
  <c r="U28" i="1"/>
  <c r="N28" i="1"/>
  <c r="J28" i="1"/>
  <c r="I28" i="1"/>
  <c r="U27" i="1"/>
  <c r="N27" i="1"/>
  <c r="J27" i="1"/>
  <c r="I27" i="1"/>
  <c r="U26" i="1"/>
  <c r="N26" i="1"/>
  <c r="J26" i="1"/>
  <c r="I26" i="1"/>
  <c r="U25" i="1"/>
  <c r="U38" i="1" s="1"/>
  <c r="N25" i="1"/>
  <c r="N38" i="1" s="1"/>
  <c r="J25" i="1"/>
  <c r="I25" i="1"/>
  <c r="L24" i="1"/>
  <c r="K24" i="1"/>
  <c r="H24" i="1"/>
  <c r="G24" i="1"/>
  <c r="F24" i="1"/>
  <c r="E24" i="1"/>
  <c r="U23" i="1"/>
  <c r="N23" i="1"/>
  <c r="J23" i="1"/>
  <c r="I23" i="1"/>
  <c r="U22" i="1"/>
  <c r="N22" i="1"/>
  <c r="J22" i="1"/>
  <c r="I22" i="1"/>
  <c r="U21" i="1"/>
  <c r="N21" i="1"/>
  <c r="J21" i="1"/>
  <c r="I21" i="1"/>
  <c r="U20" i="1"/>
  <c r="N20" i="1"/>
  <c r="J20" i="1"/>
  <c r="I20" i="1"/>
  <c r="U19" i="1"/>
  <c r="N19" i="1"/>
  <c r="J19" i="1"/>
  <c r="I19" i="1"/>
  <c r="U18" i="1"/>
  <c r="N18" i="1"/>
  <c r="J18" i="1"/>
  <c r="I18" i="1"/>
  <c r="U17" i="1"/>
  <c r="N17" i="1"/>
  <c r="J17" i="1"/>
  <c r="I17" i="1"/>
  <c r="U16" i="1"/>
  <c r="N16" i="1"/>
  <c r="J16" i="1"/>
  <c r="I16" i="1"/>
  <c r="U15" i="1"/>
  <c r="N15" i="1"/>
  <c r="J15" i="1"/>
  <c r="I15" i="1"/>
  <c r="U14" i="1"/>
  <c r="N14" i="1"/>
  <c r="N24" i="1" s="1"/>
  <c r="J14" i="1"/>
  <c r="I14" i="1"/>
  <c r="L13" i="1"/>
  <c r="K13" i="1"/>
  <c r="H13" i="1"/>
  <c r="G13" i="1"/>
  <c r="F13" i="1"/>
  <c r="E13" i="1"/>
  <c r="U12" i="1"/>
  <c r="N12" i="1"/>
  <c r="J12" i="1"/>
  <c r="I12" i="1"/>
  <c r="U11" i="1"/>
  <c r="N11" i="1"/>
  <c r="J11" i="1"/>
  <c r="I11" i="1"/>
  <c r="U10" i="1"/>
  <c r="N10" i="1"/>
  <c r="J10" i="1"/>
  <c r="I10" i="1"/>
  <c r="U9" i="1"/>
  <c r="N9" i="1"/>
  <c r="J9" i="1"/>
  <c r="I9" i="1"/>
  <c r="U8" i="1"/>
  <c r="N8" i="1"/>
  <c r="J8" i="1"/>
  <c r="I8" i="1"/>
  <c r="U7" i="1"/>
  <c r="N7" i="1"/>
  <c r="J7" i="1"/>
  <c r="I7" i="1"/>
  <c r="U6" i="1"/>
  <c r="N6" i="1"/>
  <c r="J6" i="1"/>
  <c r="I6" i="1"/>
  <c r="U5" i="1"/>
  <c r="N5" i="1"/>
  <c r="J5" i="1"/>
  <c r="I5" i="1"/>
  <c r="U4" i="1"/>
  <c r="N4" i="1"/>
  <c r="J4" i="1"/>
  <c r="I4" i="1"/>
  <c r="U3" i="1"/>
  <c r="N3" i="1"/>
  <c r="J3" i="1"/>
  <c r="I3" i="1"/>
  <c r="U2" i="1"/>
  <c r="U13" i="1" s="1"/>
  <c r="N2" i="1"/>
  <c r="J2" i="1"/>
  <c r="I2" i="1"/>
  <c r="U24" i="1" l="1"/>
  <c r="N44" i="1"/>
  <c r="U52" i="1"/>
  <c r="U89" i="1" s="1"/>
  <c r="D2" i="10" s="1"/>
  <c r="D8" i="10" s="1"/>
  <c r="U44" i="1"/>
  <c r="J19" i="9"/>
  <c r="B6" i="10" s="1"/>
  <c r="F18" i="9"/>
  <c r="F4" i="9"/>
  <c r="G89" i="1"/>
  <c r="E2" i="10" s="1"/>
  <c r="H89" i="1"/>
  <c r="E89" i="1"/>
  <c r="K89" i="1"/>
  <c r="J89" i="1"/>
  <c r="F89" i="1"/>
  <c r="L89" i="1"/>
  <c r="G12" i="3"/>
  <c r="N16" i="3"/>
  <c r="C4" i="10" s="1"/>
  <c r="F4" i="10" s="1"/>
  <c r="G14" i="3"/>
  <c r="N8" i="3"/>
  <c r="G7" i="3"/>
  <c r="G13" i="3"/>
  <c r="G11" i="3"/>
  <c r="G6" i="3"/>
  <c r="K8" i="3"/>
  <c r="K16" i="3" s="1"/>
  <c r="B4" i="10" s="1"/>
  <c r="F3" i="9"/>
  <c r="F6" i="9"/>
  <c r="F17" i="9"/>
  <c r="F14" i="9"/>
  <c r="F12" i="9"/>
  <c r="F10" i="9"/>
  <c r="I52" i="1"/>
  <c r="I38" i="1"/>
  <c r="G8" i="7"/>
  <c r="G9" i="7" s="1"/>
  <c r="L7" i="6"/>
  <c r="M8" i="9"/>
  <c r="M19" i="9" s="1"/>
  <c r="C6" i="10" s="1"/>
  <c r="F2" i="9"/>
  <c r="F9" i="9"/>
  <c r="N66" i="1"/>
  <c r="N89" i="1" s="1"/>
  <c r="C2" i="10" s="1"/>
  <c r="I24" i="1"/>
  <c r="I13" i="1"/>
  <c r="I66" i="1"/>
  <c r="F8" i="9" l="1"/>
  <c r="F19" i="9" s="1"/>
  <c r="C8" i="10"/>
  <c r="F6" i="10"/>
  <c r="I89" i="1"/>
  <c r="B2" i="10" s="1"/>
  <c r="G8" i="3"/>
  <c r="G16" i="3" s="1"/>
  <c r="B8" i="10" l="1"/>
  <c r="F2" i="10"/>
  <c r="F8" i="10" s="1"/>
</calcChain>
</file>

<file path=xl/comments1.xml><?xml version="1.0" encoding="utf-8"?>
<comments xmlns="http://schemas.openxmlformats.org/spreadsheetml/2006/main">
  <authors>
    <author>Geraldine DEROZIER</author>
  </authors>
  <commentList>
    <comment ref="O12" authorId="0">
      <text>
        <r>
          <rPr>
            <sz val="8"/>
            <color indexed="81"/>
            <rFont val="Tahoma"/>
            <family val="2"/>
          </rPr>
          <t>Assiette éligible du projet global est de 336979 €</t>
        </r>
      </text>
    </comment>
    <comment ref="T72" authorId="0">
      <text>
        <r>
          <rPr>
            <b/>
            <sz val="8"/>
            <color indexed="81"/>
            <rFont val="Tahoma"/>
            <family val="2"/>
          </rPr>
          <t xml:space="preserve">Assiette éligible 55 500€
</t>
        </r>
      </text>
    </comment>
    <comment ref="O75" authorId="0">
      <text>
        <r>
          <rPr>
            <sz val="8"/>
            <color indexed="81"/>
            <rFont val="Tahoma"/>
            <family val="2"/>
          </rPr>
          <t>Assiette éligible :212 129 plafonnée à 150 000</t>
        </r>
      </text>
    </comment>
    <comment ref="O81" authorId="0">
      <text>
        <r>
          <rPr>
            <b/>
            <sz val="8"/>
            <color indexed="81"/>
            <rFont val="Tahoma"/>
            <family val="2"/>
          </rPr>
          <t>assiette éligible : 12500</t>
        </r>
      </text>
    </comment>
  </commentList>
</comments>
</file>

<file path=xl/connections.xml><?xml version="1.0" encoding="utf-8"?>
<connections xmlns="http://schemas.openxmlformats.org/spreadsheetml/2006/main">
  <connection id="1" name="Lancer la requête à partir de Excel Files11111" type="1" refreshedVersion="4" deleted="1" background="1" saveData="1">
    <dbPr connection="" command=""/>
  </connection>
</connections>
</file>

<file path=xl/sharedStrings.xml><?xml version="1.0" encoding="utf-8"?>
<sst xmlns="http://schemas.openxmlformats.org/spreadsheetml/2006/main" count="832" uniqueCount="384">
  <si>
    <t>N°</t>
  </si>
  <si>
    <t>MO</t>
  </si>
  <si>
    <t>Objet</t>
  </si>
  <si>
    <t>CM</t>
  </si>
  <si>
    <t>D99</t>
  </si>
  <si>
    <t>IPAMAC</t>
  </si>
  <si>
    <t>Cout total</t>
  </si>
  <si>
    <t>Demandé</t>
  </si>
  <si>
    <t>FEDER</t>
  </si>
  <si>
    <t>FNADT</t>
  </si>
  <si>
    <t>Auvergne</t>
  </si>
  <si>
    <t>Bourgogne</t>
  </si>
  <si>
    <t>LR</t>
  </si>
  <si>
    <t>Limousin</t>
  </si>
  <si>
    <t>MP</t>
  </si>
  <si>
    <t>RA</t>
  </si>
  <si>
    <t>Se déplacer autrement en Massif central</t>
  </si>
  <si>
    <t>D100a</t>
  </si>
  <si>
    <t>Réseau en scène</t>
  </si>
  <si>
    <t>Développement des arts vivants en Massif central</t>
  </si>
  <si>
    <t>D100b</t>
  </si>
  <si>
    <t>Lendemains qui chantent</t>
  </si>
  <si>
    <t>D100c</t>
  </si>
  <si>
    <t>AVEC Limousin</t>
  </si>
  <si>
    <t>D100d</t>
  </si>
  <si>
    <t>D100e</t>
  </si>
  <si>
    <t>La Nacre</t>
  </si>
  <si>
    <t>Derrière le Hublot</t>
  </si>
  <si>
    <t>D100f</t>
  </si>
  <si>
    <t>D100g</t>
  </si>
  <si>
    <t>Le Lab</t>
  </si>
  <si>
    <t>Le Transfo</t>
  </si>
  <si>
    <t>D101</t>
  </si>
  <si>
    <t>Ass Mézenc Gerbier</t>
  </si>
  <si>
    <t>Une organisation culturelle innovante pour attirer les actifs dans le massif Mézenc Gerbier</t>
  </si>
  <si>
    <t xml:space="preserve">D108 </t>
  </si>
  <si>
    <t>Animation, promotion et développement du chemin de Stevenson</t>
  </si>
  <si>
    <t>Création d'une station multi-énergies sur l'agglomération de Rodez couplée à l'installation de production décentralisée d'hydrogène décarboné</t>
  </si>
  <si>
    <t>Braley</t>
  </si>
  <si>
    <t>Route des Villes d'eaux</t>
  </si>
  <si>
    <t>Raconter le patrimoine thermal du Massif central à travers le storytelling et le numérique</t>
  </si>
  <si>
    <t>D02</t>
  </si>
  <si>
    <t>CEN Rhône-Alpes</t>
  </si>
  <si>
    <t>Restauration et gestion des milieux ouverts thermophiles caractéristiques du Massif central</t>
  </si>
  <si>
    <t>D23</t>
  </si>
  <si>
    <t>CC Aigoual</t>
  </si>
  <si>
    <t>Pôle nature aux 4 saisons du massif de l'Aigoual</t>
  </si>
  <si>
    <t>D86</t>
  </si>
  <si>
    <t>CBNMC</t>
  </si>
  <si>
    <t>Outils pour identifier et caractériser les forêts anciennes du Massif central</t>
  </si>
  <si>
    <t>D93</t>
  </si>
  <si>
    <t>Le Mat</t>
  </si>
  <si>
    <t>Développement et diffusion des pratiques d'un compagnonnage alternatif dans le Massif central</t>
  </si>
  <si>
    <t>SIDAM</t>
  </si>
  <si>
    <t>AEOLE</t>
  </si>
  <si>
    <t>Chambagri LR</t>
  </si>
  <si>
    <t>Chambagri 48</t>
  </si>
  <si>
    <t>COPAGE</t>
  </si>
  <si>
    <t>AP3C</t>
  </si>
  <si>
    <t>APLM</t>
  </si>
  <si>
    <t>Soutien à la démarche collective de lait de montagne</t>
  </si>
  <si>
    <t>CLIMAGROF</t>
  </si>
  <si>
    <t>FNCIVAM</t>
  </si>
  <si>
    <t xml:space="preserve">Projet BIOREFERENCES, collectif Massif central pour la production et la valorisation de références en AB – volet ruminants       </t>
  </si>
  <si>
    <t>Pôle AB Massif central</t>
  </si>
  <si>
    <t>ITAB</t>
  </si>
  <si>
    <t>INRA Theix</t>
  </si>
  <si>
    <t>SEDARB</t>
  </si>
  <si>
    <t>UNOTEC</t>
  </si>
  <si>
    <t>D10</t>
  </si>
  <si>
    <t>D11</t>
  </si>
  <si>
    <t>Braille et culture</t>
  </si>
  <si>
    <t>Massif central au bout des doigts</t>
  </si>
  <si>
    <t>D16a</t>
  </si>
  <si>
    <t>PETR Midi-Quercy</t>
  </si>
  <si>
    <t>Animation coordination et promotion du pôle de pleine nature Gorges de l’Aveyron</t>
  </si>
  <si>
    <t>Pôle Pleine Nature Les Cheires Aydat-Pessade</t>
  </si>
  <si>
    <t>D17b</t>
  </si>
  <si>
    <t>OT Les Cheires</t>
  </si>
  <si>
    <t>D21a</t>
  </si>
  <si>
    <t>Impulser des organisations opérationnelles innovantes en valorisant les dynamiques forêt-bois dans les territoires du Massif central pour favoriser leur attractivité</t>
  </si>
  <si>
    <t>D21b</t>
  </si>
  <si>
    <t>D21c</t>
  </si>
  <si>
    <t>D21d</t>
  </si>
  <si>
    <t>D21e</t>
  </si>
  <si>
    <t>D22a</t>
  </si>
  <si>
    <t>SM Activités de pleine nature des Crêtes du Forez</t>
  </si>
  <si>
    <t>Animation Pôle pleine nature</t>
  </si>
  <si>
    <t>PNR Morvan</t>
  </si>
  <si>
    <t>D37i</t>
  </si>
  <si>
    <t>Animation pôle nature</t>
  </si>
  <si>
    <t>Pôle bio Massif central</t>
  </si>
  <si>
    <t>VetAgroSup - ABioDoc</t>
  </si>
  <si>
    <t>D85</t>
  </si>
  <si>
    <t>Accueil paysan Massif central</t>
  </si>
  <si>
    <t>Ingénierie du développement rural et réseau de services aux nouvelles entreprises agrotouristiques innovantes</t>
  </si>
  <si>
    <t>D96a</t>
  </si>
  <si>
    <t>PN Cévennes</t>
  </si>
  <si>
    <t>Forêts anciennes du Parc national des Cévennes</t>
  </si>
  <si>
    <t>D97</t>
  </si>
  <si>
    <t>Mutualisation de la cartographie des forêts anciennes sur les parcs naturels du Massif central, une étape indispensable à leur préservation</t>
  </si>
  <si>
    <t>D98</t>
  </si>
  <si>
    <t xml:space="preserve">La Grande Traversée du Massif central à VTT (GTMC VTT) : relance d’une itinérance emblématique </t>
  </si>
  <si>
    <t>Melibio</t>
  </si>
  <si>
    <t>CIIRPO</t>
  </si>
  <si>
    <t>D29a</t>
  </si>
  <si>
    <t>D29j</t>
  </si>
  <si>
    <t>D29h</t>
  </si>
  <si>
    <t>D29i</t>
  </si>
  <si>
    <t>D06a</t>
  </si>
  <si>
    <t>Ecart</t>
  </si>
  <si>
    <t>D87</t>
  </si>
  <si>
    <t>Cévennes Ecotourisme</t>
  </si>
  <si>
    <t>Cluster Ecotourisme</t>
  </si>
  <si>
    <t>D29b</t>
  </si>
  <si>
    <t>D29c</t>
  </si>
  <si>
    <t>D29e</t>
  </si>
  <si>
    <t>D29f</t>
  </si>
  <si>
    <t>D29d</t>
  </si>
  <si>
    <t>D29g</t>
  </si>
  <si>
    <t>D29k</t>
  </si>
  <si>
    <t>D29l</t>
  </si>
  <si>
    <t>D29m</t>
  </si>
  <si>
    <t>Chambagri 63</t>
  </si>
  <si>
    <t>Pôle fromager AOP MC</t>
  </si>
  <si>
    <t>Chambagri 07</t>
  </si>
  <si>
    <t>Chambagri 12</t>
  </si>
  <si>
    <t>Chambagri 15</t>
  </si>
  <si>
    <t>Chambagri 43</t>
  </si>
  <si>
    <t>Chambagri 87</t>
  </si>
  <si>
    <t>Chambagri 71</t>
  </si>
  <si>
    <t>Chambagri Auvergne</t>
  </si>
  <si>
    <t>EPLEFPA Bourbonnais</t>
  </si>
  <si>
    <t>EPLEFPA Fontaines</t>
  </si>
  <si>
    <t>EPLEFPA La Cazotte</t>
  </si>
  <si>
    <t>EPLEFPA Saint-Flour</t>
  </si>
  <si>
    <t>Fédatest</t>
  </si>
  <si>
    <t>Institut de l'élevage</t>
  </si>
  <si>
    <t>Comité MACCOFOR</t>
  </si>
  <si>
    <t>URCOFOR Auvergne Limousin</t>
  </si>
  <si>
    <t>URCOFOR Languedoc-Roussillon</t>
  </si>
  <si>
    <t>URCOFOR Midi-Pyrénées</t>
  </si>
  <si>
    <t>URCOFOR Rhône-Alpes</t>
  </si>
  <si>
    <t>Chambagri 03</t>
  </si>
  <si>
    <t>Chambagri 19</t>
  </si>
  <si>
    <t>Chambagri 23</t>
  </si>
  <si>
    <t>Chambagri 46</t>
  </si>
  <si>
    <t>ARVALIS - Institut du végétal</t>
  </si>
  <si>
    <t>AVEM - Association  vétérinaires éleveurs du Millavois</t>
  </si>
  <si>
    <t>Bio 82</t>
  </si>
  <si>
    <t>Chambre d'agriculture de l'Aveyron</t>
  </si>
  <si>
    <t>Chambre d'agriculture du Tarn</t>
  </si>
  <si>
    <t>EPLEFPA Brioude-Bonnefont</t>
  </si>
  <si>
    <t>EPLEFPA Tulle-Naves-Cornil</t>
  </si>
  <si>
    <t>INRA Toulouse</t>
  </si>
  <si>
    <t>LPA La Cazotte</t>
  </si>
  <si>
    <t>Total</t>
  </si>
  <si>
    <t>D107a</t>
  </si>
  <si>
    <t>Passa Païs</t>
  </si>
  <si>
    <t>PNR Haut-Languedoc</t>
  </si>
  <si>
    <t>CD Lot</t>
  </si>
  <si>
    <t>D92</t>
  </si>
  <si>
    <t>Développement d’un accompagnement technique éco-pastoral innovant pour le maintien d’un bon état agro-écologique des milieux ouverts herbacés</t>
  </si>
  <si>
    <t>D90</t>
  </si>
  <si>
    <t>CRPF Midi-Pyrénées</t>
  </si>
  <si>
    <t>Diagnostics forêts anciennes et matures à l'échelle de la propriété</t>
  </si>
  <si>
    <t>D96b</t>
  </si>
  <si>
    <t>Purpan</t>
  </si>
  <si>
    <t>D94</t>
  </si>
  <si>
    <t>PNR Volcans d'Auvergne</t>
  </si>
  <si>
    <t>Animation d'un réseau de sites et d'acteurs des tourbières du Cézallier et de l'Artense</t>
  </si>
  <si>
    <t>D95</t>
  </si>
  <si>
    <t>Les forêts anciennes du Parc des Volcans d'Auvergne</t>
  </si>
  <si>
    <t>Dépenses de communication-évaluation</t>
  </si>
  <si>
    <t>Maître d'Ouvrage</t>
  </si>
  <si>
    <t>Total Etat</t>
  </si>
  <si>
    <t>Total régions</t>
  </si>
  <si>
    <t>Total CD</t>
  </si>
  <si>
    <t>Projet</t>
  </si>
  <si>
    <t>Coût éligible Etat</t>
  </si>
  <si>
    <t>ACEPP</t>
  </si>
  <si>
    <t>ACEPP ADEHL</t>
  </si>
  <si>
    <t>ACEPP 46</t>
  </si>
  <si>
    <t>ACEPP 69</t>
  </si>
  <si>
    <t>ACEPP 81</t>
  </si>
  <si>
    <t>ACEPP Auvergne</t>
  </si>
  <si>
    <t>Conseil départemental de l'Allier</t>
  </si>
  <si>
    <t>DASA</t>
  </si>
  <si>
    <t>Aveyron expansion</t>
  </si>
  <si>
    <t>Conseil départemental du Cantal</t>
  </si>
  <si>
    <t>Conseil départemental de Haute-Loire</t>
  </si>
  <si>
    <t>Conseil départemental de la Lozère</t>
  </si>
  <si>
    <t>Installer en Massif central</t>
  </si>
  <si>
    <t>SAFER</t>
  </si>
  <si>
    <t>Conseil départemental du Puy de Dôme</t>
  </si>
  <si>
    <t>%Etat</t>
  </si>
  <si>
    <t>TOTAL Projet</t>
  </si>
  <si>
    <t xml:space="preserve">Projet partenarial de création, développement et animation d’une plateforme « Dynamiques territoriales du Massif central </t>
  </si>
  <si>
    <t>D05a</t>
  </si>
  <si>
    <t>D05c</t>
  </si>
  <si>
    <t>D05d</t>
  </si>
  <si>
    <t>D05e</t>
  </si>
  <si>
    <t>D05h</t>
  </si>
  <si>
    <t>FRCIVAM RHONE ALPES</t>
  </si>
  <si>
    <t>FRCIVAM AUVERGNE</t>
  </si>
  <si>
    <t>FRCIVAM LANGUEDOC ROUSSILLON</t>
  </si>
  <si>
    <t>FRCIVAM LIMOUSIN</t>
  </si>
  <si>
    <t>Agriculture Durable de Moyenne Montagne (ADMM)</t>
  </si>
  <si>
    <t>03</t>
  </si>
  <si>
    <t>07</t>
  </si>
  <si>
    <t>11</t>
  </si>
  <si>
    <t>12</t>
  </si>
  <si>
    <t>15</t>
  </si>
  <si>
    <t>19</t>
  </si>
  <si>
    <t>21</t>
  </si>
  <si>
    <t>23</t>
  </si>
  <si>
    <t>30</t>
  </si>
  <si>
    <t>34</t>
  </si>
  <si>
    <t>42</t>
  </si>
  <si>
    <t>43</t>
  </si>
  <si>
    <t>46</t>
  </si>
  <si>
    <t>48</t>
  </si>
  <si>
    <t>58</t>
  </si>
  <si>
    <t>63</t>
  </si>
  <si>
    <t>69</t>
  </si>
  <si>
    <t>71</t>
  </si>
  <si>
    <t>81</t>
  </si>
  <si>
    <t>82</t>
  </si>
  <si>
    <t>87</t>
  </si>
  <si>
    <t>89</t>
  </si>
  <si>
    <t>Régions</t>
  </si>
  <si>
    <t>Départements</t>
  </si>
  <si>
    <t>TOTAL</t>
  </si>
  <si>
    <t>Fil de l'eau</t>
  </si>
  <si>
    <t>Itinérance</t>
  </si>
  <si>
    <t>Pôles de nature</t>
  </si>
  <si>
    <t>Milieux</t>
  </si>
  <si>
    <t>Total Projet</t>
  </si>
  <si>
    <t>Agriculture</t>
  </si>
  <si>
    <t>Accueil</t>
  </si>
  <si>
    <t>Etat</t>
  </si>
  <si>
    <t xml:space="preserve">TOTAL </t>
  </si>
  <si>
    <t>Conseil départemental de la Nièvre</t>
  </si>
  <si>
    <t>Prefet Auvergne coordonnateur de Massif</t>
  </si>
  <si>
    <t>GIP Massif central</t>
  </si>
  <si>
    <t>MACEO</t>
  </si>
  <si>
    <t>Convention d'objectif triennale - Année 2015</t>
  </si>
  <si>
    <t>Convention d'objectif triennale - Avance année 2016</t>
  </si>
  <si>
    <t>voir financement departement</t>
  </si>
  <si>
    <t>Cout eligible FEDER</t>
  </si>
  <si>
    <t>Autre public</t>
  </si>
  <si>
    <t>AXE convention</t>
  </si>
  <si>
    <t>D91b</t>
  </si>
  <si>
    <t>D91c</t>
  </si>
  <si>
    <t>Institut d'Auvergne du développement des Territoires</t>
  </si>
  <si>
    <t>IRSTEA Grenoble</t>
  </si>
  <si>
    <t>Cout total de l'opération</t>
  </si>
  <si>
    <t>Cout éligible FEDER</t>
  </si>
  <si>
    <t>Autre Public</t>
  </si>
  <si>
    <t>Part publique</t>
  </si>
  <si>
    <t>Avis du Comité de programmation</t>
  </si>
  <si>
    <t>Ajournement</t>
  </si>
  <si>
    <t>D88a</t>
  </si>
  <si>
    <t>D88b</t>
  </si>
  <si>
    <t>D88c</t>
  </si>
  <si>
    <t>Association pour le Promotion de la Recherche en Economie du Climat (APREC)</t>
  </si>
  <si>
    <t>Centre National de la Propriété forestière</t>
  </si>
  <si>
    <t>Groupement d'intérêt public intérrégional pour le développement du Massif central</t>
  </si>
  <si>
    <t>Référentiel national de certification carbone</t>
  </si>
  <si>
    <t>Favorable</t>
  </si>
  <si>
    <t>Défavorable</t>
  </si>
  <si>
    <t>Total CD2</t>
  </si>
  <si>
    <t>Total CD3</t>
  </si>
  <si>
    <t>Total CD4</t>
  </si>
  <si>
    <t>Total CD5</t>
  </si>
  <si>
    <t>Total CD6</t>
  </si>
  <si>
    <t>Total CD7</t>
  </si>
  <si>
    <t>Total CD8</t>
  </si>
  <si>
    <t>Total CD9</t>
  </si>
  <si>
    <t>Total CD10</t>
  </si>
  <si>
    <t>Total CD11</t>
  </si>
  <si>
    <t>Total CD12</t>
  </si>
  <si>
    <t>Total CD13</t>
  </si>
  <si>
    <t>Total CD14</t>
  </si>
  <si>
    <t>Total CD15</t>
  </si>
  <si>
    <t>Total CD16</t>
  </si>
  <si>
    <t>Total CD17</t>
  </si>
  <si>
    <t>Total CD18</t>
  </si>
  <si>
    <t>Total CD19</t>
  </si>
  <si>
    <t>Total CD20</t>
  </si>
  <si>
    <t>Total CD21</t>
  </si>
  <si>
    <t>Total CD22</t>
  </si>
  <si>
    <t>Total CD23</t>
  </si>
  <si>
    <t>Motivation</t>
  </si>
  <si>
    <t>Projet multipartenaires réduit à un an</t>
  </si>
  <si>
    <t>Le plan de financement ne permet pas la viabilité du projet</t>
  </si>
  <si>
    <t xml:space="preserve">L'agritourisme ne fait pas partie de la stratégie tourisme Massif central. </t>
  </si>
  <si>
    <t>Seules les actions 1 (écovoisins) et 3 (HLL en écomatériaux)sont éligibles</t>
  </si>
  <si>
    <t xml:space="preserve">Seules les actions 1 et 3 sont éligibles  </t>
  </si>
  <si>
    <t>D48a</t>
  </si>
  <si>
    <t>D48b</t>
  </si>
  <si>
    <t>D48c</t>
  </si>
  <si>
    <t>D48d</t>
  </si>
  <si>
    <t>Vivier Bois Massif central</t>
  </si>
  <si>
    <t>Groupe projet pilote des entreprises du bois construction pour les marchés du bâtiment performant : action de coopération interrégionale</t>
  </si>
  <si>
    <t>SAS Lafargue - Fermes de Figeac</t>
  </si>
  <si>
    <t>Comité d'expansion économique de l'Allier</t>
  </si>
  <si>
    <t>Communauté de communes de l'Ouest Rhodanien</t>
  </si>
  <si>
    <t>Projet à retravailler sur la méthode de recensement et de transfert, en réduisant les coûts</t>
  </si>
  <si>
    <t>Opération collaborative pour le FEDER, multipartenaire pour le FNADT. Ne sont éligibles que les actions 1 (rencontres professionnelles et prestations de spectacles) et é (partenariat territoires-artistes)</t>
  </si>
  <si>
    <t>Le projet multipartenaires a été programmé en juillet avec les crédits FNADT et régions. Sont programmés en octobre les crédits FEDER</t>
  </si>
  <si>
    <t>LPO France Mission rapaces</t>
  </si>
  <si>
    <t>Gypaetes barbu</t>
  </si>
  <si>
    <t>Association sur le chemin de Stevenson</t>
  </si>
  <si>
    <t>Dossier multipartenaires. Les rais de personnel ont été plafonnés</t>
  </si>
  <si>
    <t>Les frais de personnel ont été plafonnés. L'assiette éligible représente 50% du cout total du projet</t>
  </si>
  <si>
    <t>Seules les actions de prospection ont été retenues,les autres actions proposées étant trop généralistes pour être éligibles à l'appel à projets</t>
  </si>
  <si>
    <t>Seules les actions de prospection,notamment en direction des touristes sont retenues, les autres actions ne présentant pas l'approche thématique attendue</t>
  </si>
  <si>
    <t>Les objectifs recherchés sont insuffisamment décrits. Le diagnostic territorial proposé ne correspond pas aux attentes de l'appel à projets.</t>
  </si>
  <si>
    <t>L'action 1 ciblant la promotion et la prospection auprès des touristes et des médecins est retenue. Il est proposé de revoir les actions "assises de l'accueil" et profil des nouveaux arrivants à l'échelle Massif central, et de les proposer hors appel à projets</t>
  </si>
  <si>
    <t>Le projet ne présente pas une intervention suffisamment dédiée aux territoires. Il est suggéré de reprendre les actions innovantes à expérimenter sur le territoire du Morvan et de le sproposer hors appel à projet</t>
  </si>
  <si>
    <t>Seules les actions de promotion et sensibilisation sont retenues,</t>
  </si>
  <si>
    <t>Si la thématique des services publics est intéressante, la démarche reste plus départementale que territoriale et ne correspond pas aux attentes de l'appel à projets</t>
  </si>
  <si>
    <t>Le dossier n'a pu être examiné car l'ARC n'a pu être délivré, par manque de pièces</t>
  </si>
  <si>
    <t>Le PNC doit démontrer son habilitation à acquérir du foncier (décision du conseil d'administration)</t>
  </si>
  <si>
    <t>Fin du projet ramenée au 31/12/2016</t>
  </si>
  <si>
    <t>Les crédits régionaux ont été programmés en juillet</t>
  </si>
  <si>
    <t>Le dossier est ajourné faute de financement : la consultation écrite peut éventuellement permettre d'identifier d'autres sources de financements du côté des collectivités locales</t>
  </si>
  <si>
    <t>Le dossier est ajourné faute de financement: la consultation écrite peut éventuellement permettre d'identifier d'autres sources de financements du côté des collectivités locales</t>
  </si>
  <si>
    <t>D91a</t>
  </si>
  <si>
    <t>ID_Synergie</t>
  </si>
  <si>
    <t>Nom_MO</t>
  </si>
  <si>
    <t>Intitule_Operation</t>
  </si>
  <si>
    <t>Coût total déposé</t>
  </si>
  <si>
    <t>FEDER Demandé</t>
  </si>
  <si>
    <t>Coût total Opération</t>
  </si>
  <si>
    <t>Coût total Eligible FEDER</t>
  </si>
  <si>
    <t>UE</t>
  </si>
  <si>
    <t>Total CR</t>
  </si>
  <si>
    <t>Languedoc-Roussillon</t>
  </si>
  <si>
    <t>Midi-Pyrénées</t>
  </si>
  <si>
    <t>Rhône-Alpes</t>
  </si>
  <si>
    <t>Total CG</t>
  </si>
  <si>
    <t>DPN</t>
  </si>
  <si>
    <t>Part Publique</t>
  </si>
  <si>
    <t>Part privée</t>
  </si>
  <si>
    <t>Autofinancement</t>
  </si>
  <si>
    <t>Motivation Cprog</t>
  </si>
  <si>
    <t>Avis Cprog</t>
  </si>
  <si>
    <t>D008a</t>
  </si>
  <si>
    <t>POI</t>
  </si>
  <si>
    <t>Axe_1</t>
  </si>
  <si>
    <t>Conservatoire des Espaces Naturels d'Auvergne</t>
  </si>
  <si>
    <t>Projet Massif central MOH. Trame agropastorale thermophile et Maculinea</t>
  </si>
  <si>
    <t>reprog / programmation initiale 06/07/2015</t>
  </si>
  <si>
    <t>1-Favorable</t>
  </si>
  <si>
    <t>D008b</t>
  </si>
  <si>
    <t>Conservatoire des Espaces Naturels de l'Allier</t>
  </si>
  <si>
    <t>D030</t>
  </si>
  <si>
    <t>Syndicat Mixte du Grand Site des gorges du Tarn, de la Jonte et des Causses</t>
  </si>
  <si>
    <t>Pôle de pleine nature émergent des gorges du Tarn</t>
  </si>
  <si>
    <t>D040</t>
  </si>
  <si>
    <t>Syndicat Mixte d'Aménagement du Mont Lozère</t>
  </si>
  <si>
    <t>Pôle pleine nature Mont Lozère</t>
  </si>
  <si>
    <t>D055</t>
  </si>
  <si>
    <t>Axe_3</t>
  </si>
  <si>
    <t>Association pour le Développement du Pays d’Aurillac</t>
  </si>
  <si>
    <t>Ingénierie de l’accueil n°1</t>
  </si>
  <si>
    <t>D059</t>
  </si>
  <si>
    <t>Association Pays de Saint Yrieix-Sud Haute-Vienne</t>
  </si>
  <si>
    <t>Ingénierie de l’accueil et du développement économique</t>
  </si>
  <si>
    <t>D070</t>
  </si>
  <si>
    <t>Pays des Sources en Lozère</t>
  </si>
  <si>
    <t>Appel à projets pour l’ingénierie de l’accueil n°1 –2015 Pays des Sources en Lozère</t>
  </si>
  <si>
    <t>D072</t>
  </si>
  <si>
    <t>PETR Hautes Terres d'Oc</t>
  </si>
  <si>
    <t>Amplification de la politique d'accueil de Hautes Terres d'Oc</t>
  </si>
  <si>
    <t>D079</t>
  </si>
  <si>
    <t>Association du Pays du Gévaudan-Lozère</t>
  </si>
  <si>
    <t>Amplification de la politique de maintien et d’accueil de populations</t>
  </si>
  <si>
    <t xml:space="preserve">Total </t>
  </si>
  <si>
    <t>commentaire</t>
  </si>
  <si>
    <t>l'autofinancement des CD sur l'appel à projet accueil n'est pas comptabilisé dans les tableaux car autofinancement, il est rajouté ici pour visualiser le "compteur"</t>
  </si>
  <si>
    <t>Total hors reprogrammation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</si>
</sst>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#,##0.00_ ;[Red]\-#,##0.00\ 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6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 applyFont="1" applyBorder="1" applyAlignment="1">
      <alignment horizontal="right" vertical="center" wrapText="1"/>
    </xf>
    <xf numFmtId="0" fontId="0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4" fontId="0" fillId="0" borderId="2" xfId="0" applyNumberFormat="1" applyFont="1" applyFill="1" applyBorder="1" applyAlignment="1">
      <alignment vertical="center" wrapText="1"/>
    </xf>
    <xf numFmtId="4" fontId="0" fillId="0" borderId="0" xfId="0" applyNumberFormat="1" applyFont="1" applyFill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4" fontId="2" fillId="0" borderId="0" xfId="0" applyNumberFormat="1" applyFont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0" fillId="0" borderId="0" xfId="0" applyNumberForma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4" fontId="0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2" fillId="3" borderId="0" xfId="0" applyFont="1" applyFill="1" applyAlignment="1">
      <alignment vertical="center" wrapText="1"/>
    </xf>
    <xf numFmtId="4" fontId="2" fillId="3" borderId="0" xfId="0" applyNumberFormat="1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4" fontId="10" fillId="3" borderId="0" xfId="0" applyNumberFormat="1" applyFont="1" applyFill="1" applyBorder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2" fillId="0" borderId="0" xfId="0" applyFont="1"/>
    <xf numFmtId="4" fontId="2" fillId="0" borderId="0" xfId="0" applyNumberFormat="1" applyFont="1"/>
    <xf numFmtId="4" fontId="0" fillId="0" borderId="0" xfId="0" applyNumberFormat="1"/>
    <xf numFmtId="165" fontId="5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vertical="center" wrapText="1"/>
    </xf>
    <xf numFmtId="2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" fontId="2" fillId="3" borderId="0" xfId="0" applyNumberFormat="1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165" fontId="5" fillId="3" borderId="0" xfId="0" applyNumberFormat="1" applyFont="1" applyFill="1" applyAlignment="1">
      <alignment vertical="center" wrapText="1"/>
    </xf>
    <xf numFmtId="2" fontId="2" fillId="3" borderId="0" xfId="0" applyNumberFormat="1" applyFont="1" applyFill="1" applyAlignment="1">
      <alignment horizontal="center" vertical="center" wrapText="1"/>
    </xf>
    <xf numFmtId="4" fontId="2" fillId="3" borderId="0" xfId="0" applyNumberFormat="1" applyFont="1" applyFill="1" applyAlignment="1">
      <alignment horizontal="center" vertical="center" wrapText="1"/>
    </xf>
    <xf numFmtId="10" fontId="2" fillId="3" borderId="0" xfId="0" applyNumberFormat="1" applyFont="1" applyFill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4" fontId="3" fillId="0" borderId="0" xfId="0" applyNumberFormat="1" applyFont="1" applyFill="1" applyAlignment="1">
      <alignment horizontal="right" vertical="center" wrapText="1"/>
    </xf>
    <xf numFmtId="4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4" fontId="3" fillId="0" borderId="0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5" fillId="3" borderId="0" xfId="0" applyNumberFormat="1" applyFont="1" applyFill="1" applyBorder="1" applyAlignment="1">
      <alignment horizontal="right" vertical="center" wrapText="1"/>
    </xf>
    <xf numFmtId="4" fontId="5" fillId="3" borderId="0" xfId="0" applyNumberFormat="1" applyFont="1" applyFill="1" applyBorder="1" applyAlignment="1">
      <alignment horizontal="center" vertical="center" wrapText="1"/>
    </xf>
    <xf numFmtId="4" fontId="5" fillId="3" borderId="0" xfId="0" applyNumberFormat="1" applyFont="1" applyFill="1" applyAlignment="1">
      <alignment horizontal="right" vertical="center" wrapText="1"/>
    </xf>
    <xf numFmtId="4" fontId="0" fillId="0" borderId="3" xfId="0" applyNumberFormat="1" applyBorder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4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4" fontId="0" fillId="0" borderId="0" xfId="0" applyNumberFormat="1" applyFill="1" applyAlignment="1">
      <alignment vertical="center" wrapText="1"/>
    </xf>
    <xf numFmtId="4" fontId="5" fillId="3" borderId="0" xfId="0" applyNumberFormat="1" applyFont="1" applyFill="1" applyAlignment="1">
      <alignment vertical="center" wrapText="1"/>
    </xf>
    <xf numFmtId="4" fontId="5" fillId="3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0" fillId="2" borderId="0" xfId="0" applyNumberForma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4" fontId="0" fillId="0" borderId="0" xfId="0" applyNumberFormat="1" applyAlignment="1">
      <alignment wrapText="1"/>
    </xf>
    <xf numFmtId="0" fontId="2" fillId="4" borderId="0" xfId="0" applyFont="1" applyFill="1" applyAlignment="1">
      <alignment vertical="center" wrapText="1"/>
    </xf>
    <xf numFmtId="0" fontId="11" fillId="4" borderId="0" xfId="0" applyFont="1" applyFill="1" applyAlignment="1">
      <alignment vertical="center" wrapText="1"/>
    </xf>
    <xf numFmtId="4" fontId="2" fillId="4" borderId="0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/>
    <xf numFmtId="0" fontId="12" fillId="0" borderId="0" xfId="0" applyFont="1"/>
    <xf numFmtId="4" fontId="12" fillId="0" borderId="0" xfId="0" applyNumberFormat="1" applyFont="1"/>
    <xf numFmtId="0" fontId="3" fillId="0" borderId="0" xfId="0" applyFont="1" applyFill="1" applyAlignment="1">
      <alignment vertical="center" wrapText="1"/>
    </xf>
    <xf numFmtId="164" fontId="0" fillId="0" borderId="0" xfId="0" applyNumberFormat="1" applyAlignment="1">
      <alignment vertical="center" wrapText="1"/>
    </xf>
    <xf numFmtId="164" fontId="13" fillId="0" borderId="0" xfId="0" applyNumberFormat="1" applyFont="1" applyAlignment="1">
      <alignment horizontal="center" vertical="center" wrapText="1"/>
    </xf>
    <xf numFmtId="4" fontId="1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165" fontId="14" fillId="0" borderId="0" xfId="0" applyNumberFormat="1" applyFont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4" fontId="5" fillId="4" borderId="0" xfId="0" applyNumberFormat="1" applyFont="1" applyFill="1" applyAlignment="1">
      <alignment vertical="center" wrapText="1"/>
    </xf>
    <xf numFmtId="4" fontId="5" fillId="4" borderId="0" xfId="0" applyNumberFormat="1" applyFont="1" applyFill="1" applyAlignment="1">
      <alignment horizontal="center" vertical="center" wrapText="1"/>
    </xf>
    <xf numFmtId="10" fontId="5" fillId="4" borderId="0" xfId="0" applyNumberFormat="1" applyFont="1" applyFill="1" applyAlignment="1">
      <alignment horizontal="center" vertical="center" wrapText="1"/>
    </xf>
    <xf numFmtId="4" fontId="0" fillId="4" borderId="0" xfId="0" applyNumberFormat="1" applyFill="1" applyAlignment="1">
      <alignment vertical="center" wrapText="1"/>
    </xf>
    <xf numFmtId="2" fontId="0" fillId="0" borderId="0" xfId="0" applyNumberFormat="1" applyAlignment="1">
      <alignment horizontal="right" vertical="center" wrapText="1"/>
    </xf>
    <xf numFmtId="164" fontId="13" fillId="4" borderId="0" xfId="0" applyNumberFormat="1" applyFont="1" applyFill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5" fillId="3" borderId="0" xfId="0" applyNumberFormat="1" applyFont="1" applyFill="1" applyAlignment="1">
      <alignment vertical="center" wrapText="1"/>
    </xf>
    <xf numFmtId="164" fontId="15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vertical="center" wrapText="1"/>
    </xf>
    <xf numFmtId="164" fontId="7" fillId="3" borderId="0" xfId="0" applyNumberFormat="1" applyFont="1" applyFill="1" applyAlignment="1">
      <alignment vertical="center" wrapText="1"/>
    </xf>
    <xf numFmtId="164" fontId="6" fillId="4" borderId="0" xfId="0" applyNumberFormat="1" applyFont="1" applyFill="1" applyAlignment="1">
      <alignment vertical="center" wrapText="1"/>
    </xf>
    <xf numFmtId="164" fontId="7" fillId="0" borderId="0" xfId="0" applyNumberFormat="1" applyFont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164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10" fontId="3" fillId="0" borderId="0" xfId="0" applyNumberFormat="1" applyFont="1" applyFill="1" applyAlignment="1">
      <alignment horizontal="center" vertical="center" wrapText="1"/>
    </xf>
    <xf numFmtId="164" fontId="0" fillId="5" borderId="0" xfId="0" applyNumberFormat="1" applyFill="1" applyAlignment="1">
      <alignment horizontal="center" vertical="center" wrapText="1"/>
    </xf>
    <xf numFmtId="4" fontId="2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4" fontId="0" fillId="5" borderId="0" xfId="0" applyNumberFormat="1" applyFill="1" applyAlignment="1">
      <alignment horizontal="center" vertical="center" wrapText="1"/>
    </xf>
    <xf numFmtId="164" fontId="0" fillId="5" borderId="0" xfId="0" applyNumberFormat="1" applyFill="1" applyAlignment="1">
      <alignment vertical="center" wrapText="1"/>
    </xf>
    <xf numFmtId="164" fontId="16" fillId="0" borderId="0" xfId="0" applyNumberFormat="1" applyFont="1" applyAlignment="1">
      <alignment vertical="center" wrapText="1"/>
    </xf>
    <xf numFmtId="164" fontId="17" fillId="0" borderId="0" xfId="0" applyNumberFormat="1" applyFont="1" applyFill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4" fontId="0" fillId="0" borderId="0" xfId="0" applyNumberFormat="1" applyFont="1" applyAlignment="1">
      <alignment wrapText="1"/>
    </xf>
    <xf numFmtId="4" fontId="2" fillId="4" borderId="0" xfId="0" applyNumberFormat="1" applyFont="1" applyFill="1" applyAlignment="1">
      <alignment vertical="center" wrapText="1"/>
    </xf>
    <xf numFmtId="0" fontId="2" fillId="4" borderId="0" xfId="0" applyFont="1" applyFill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4" fontId="18" fillId="0" borderId="0" xfId="0" applyNumberFormat="1" applyFont="1" applyFill="1" applyAlignment="1">
      <alignment horizontal="center" vertical="center" wrapText="1"/>
    </xf>
    <xf numFmtId="4" fontId="19" fillId="4" borderId="0" xfId="0" applyNumberFormat="1" applyFont="1" applyFill="1" applyAlignment="1">
      <alignment vertical="center" wrapText="1"/>
    </xf>
    <xf numFmtId="4" fontId="19" fillId="3" borderId="0" xfId="0" applyNumberFormat="1" applyFont="1" applyFill="1" applyAlignment="1">
      <alignment vertical="center" wrapText="1"/>
    </xf>
    <xf numFmtId="164" fontId="5" fillId="0" borderId="0" xfId="0" applyNumberFormat="1" applyFont="1" applyFill="1" applyAlignment="1">
      <alignment vertical="center" wrapText="1"/>
    </xf>
    <xf numFmtId="164" fontId="0" fillId="0" borderId="0" xfId="0" applyNumberFormat="1" applyFill="1" applyAlignment="1">
      <alignment vertical="center" wrapText="1"/>
    </xf>
    <xf numFmtId="4" fontId="18" fillId="0" borderId="0" xfId="0" applyNumberFormat="1" applyFont="1" applyAlignment="1">
      <alignment vertical="center" wrapText="1"/>
    </xf>
    <xf numFmtId="4" fontId="19" fillId="3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0" fillId="6" borderId="0" xfId="0" applyFill="1" applyAlignment="1">
      <alignment horizontal="center" vertical="center" wrapText="1"/>
    </xf>
    <xf numFmtId="0" fontId="0" fillId="7" borderId="0" xfId="0" applyFill="1"/>
    <xf numFmtId="4" fontId="20" fillId="8" borderId="0" xfId="0" applyNumberFormat="1" applyFont="1" applyFill="1"/>
    <xf numFmtId="4" fontId="0" fillId="0" borderId="0" xfId="0" applyNumberFormat="1" applyAlignment="1">
      <alignment horizontal="center" wrapText="1"/>
    </xf>
  </cellXfs>
  <cellStyles count="1">
    <cellStyle name="Normal" xfId="0" builtinId="0"/>
  </cellStyles>
  <dxfs count="443">
    <dxf>
      <fill>
        <patternFill patternType="solid">
          <fgColor indexed="64"/>
          <bgColor rgb="FF00B05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00"/>
      <alignment horizontal="general" vertical="center" textRotation="0" wrapText="1" indent="0" justifyLastLine="0" shrinkToFit="0" readingOrder="0"/>
    </dxf>
    <dxf>
      <numFmt numFmtId="164" formatCode="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center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#,##0.00_ ;[Red]\-#,##0.00\ 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64" formatCode="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#,##0.00_ ;[Red]\-#,##0.00\ 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#,##0.00_ ;[Red]\-#,##0.00\ 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textRotation="0" wrapText="1" justifyLastLine="0" shrinkToFit="0" readingOrder="0"/>
    </dxf>
    <dxf>
      <numFmt numFmtId="164" formatCode="00"/>
      <alignment horizontal="general" vertical="center" textRotation="0" wrapText="1" indent="0" justifyLastLine="0" shrinkToFit="0" readingOrder="0"/>
    </dxf>
    <dxf>
      <numFmt numFmtId="164" formatCode="00"/>
      <alignment horizontal="center" vertical="center" textRotation="0" wrapText="1" indent="0" justifyLastLine="0" shrinkToFit="0" readingOrder="0"/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numFmt numFmtId="4" formatCode="#,##0.00"/>
      <fill>
        <patternFill patternType="solid">
          <fgColor indexed="64"/>
          <bgColor theme="6"/>
        </patternFill>
      </fill>
      <alignment horizontal="center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center" vertical="center" textRotation="0" wrapText="1" indent="0" justifyLastLine="0" shrinkToFit="0" readingOrder="0"/>
    </dxf>
    <dxf>
      <numFmt numFmtId="4" formatCode="#,##0.00"/>
      <alignment horizontal="center" vertical="center" textRotation="0" wrapText="1" indent="0" justifyLastLine="0" shrinkToFit="0" readingOrder="0"/>
    </dxf>
    <dxf>
      <numFmt numFmtId="4" formatCode="#,##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#,##0.00_ ;[Red]\-#,##0.00\ 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#,##0.00_ ;[Red]\-#,##0.00\ 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#,##0.00_ ;[Red]\-#,##0.00\ 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64" formatCode="00"/>
      <alignment horizontal="general" vertical="center" textRotation="0" wrapText="1" indent="0" justifyLastLine="0" shrinkToFit="0" readingOrder="0"/>
    </dxf>
    <dxf>
      <numFmt numFmtId="164" formatCode="00"/>
      <alignment horizontal="center" vertical="center" textRotation="0" wrapText="1" indent="0" justifyLastLine="0" shrinkToFit="0" readingOrder="0"/>
    </dxf>
    <dxf>
      <numFmt numFmtId="164" formatCode="00"/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alignment textRotation="0" wrapText="1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#,##0.00_ ;[Red]\-#,##0.00\ 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#,##0.00_ ;[Red]\-#,##0.00\ 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64" formatCode="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0"/>
      <alignment horizontal="center" vertical="center" textRotation="0" wrapText="1" indent="0" justifyLastLine="0" shrinkToFit="0" readingOrder="0"/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numFmt numFmtId="164" formatCode="00"/>
      <fill>
        <patternFill patternType="solid">
          <fgColor indexed="64"/>
          <bgColor theme="6"/>
        </patternFill>
      </fill>
      <alignment horizontal="center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center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64" formatCode="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00"/>
      <alignment horizontal="general" vertical="center" textRotation="0" wrapText="1" indent="0" justifyLastLine="0" shrinkToFit="0" readingOrder="0"/>
    </dxf>
    <dxf>
      <numFmt numFmtId="164" formatCode="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</dxf>
    <dxf>
      <numFmt numFmtId="4" formatCode="#,##0.00"/>
      <alignment horizontal="center" vertical="center" textRotation="0" wrapText="1" indent="0" justifyLastLine="0" shrinkToFit="0" readingOrder="0"/>
    </dxf>
    <dxf>
      <numFmt numFmtId="4" formatCode="#,##0.0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</dxf>
    <dxf>
      <numFmt numFmtId="4" formatCode="#,##0.00"/>
      <alignment horizontal="center" vertical="center" textRotation="0" wrapText="1" indent="0" justifyLastLine="0" shrinkToFit="0" readingOrder="0"/>
    </dxf>
    <dxf>
      <numFmt numFmtId="4" formatCode="#,##0.0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</dxf>
    <dxf>
      <numFmt numFmtId="4" formatCode="#,##0.00"/>
      <alignment horizontal="center" vertical="center" textRotation="0" wrapText="1" indent="0" justifyLastLine="0" shrinkToFit="0" readingOrder="0"/>
    </dxf>
    <dxf>
      <numFmt numFmtId="4" formatCode="#,##0.00"/>
    </dxf>
    <dxf>
      <numFmt numFmtId="14" formatCode="0.00%"/>
      <alignment horizontal="center" vertical="center" textRotation="0" wrapText="1" indent="0" justifyLastLine="0" shrinkToFit="0" readingOrder="0"/>
    </dxf>
    <dxf>
      <numFmt numFmtId="4" formatCode="#,##0.00"/>
    </dxf>
    <dxf>
      <numFmt numFmtId="4" formatCode="#,##0.00"/>
      <alignment horizontal="center" vertical="center" textRotation="0" wrapText="1" indent="0" justifyLastLine="0" shrinkToFit="0" readingOrder="0"/>
    </dxf>
    <dxf>
      <numFmt numFmtId="4" formatCode="#,##0.0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</dxf>
    <dxf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64" formatCode="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0"/>
      <alignment horizontal="center" vertical="center" textRotation="0" wrapText="1" indent="0" justifyLastLine="0" shrinkToFit="0" readingOrder="0"/>
    </dxf>
    <dxf>
      <font>
        <color theme="6"/>
      </font>
    </dxf>
    <dxf>
      <fill>
        <patternFill>
          <bgColor theme="5"/>
        </patternFill>
      </fill>
    </dxf>
    <dxf>
      <fill>
        <patternFill>
          <bgColor theme="6"/>
        </patternFill>
      </fill>
    </dxf>
    <dxf>
      <font>
        <color auto="1"/>
      </font>
      <fill>
        <patternFill>
          <fgColor auto="1"/>
          <bgColor theme="6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Lancer la requête à partir de Excel Files" adjustColumnWidth="0" connectionId="1" autoFormatId="16" applyNumberFormats="0" applyBorderFormats="0" applyFontFormats="0" applyPatternFormats="0" applyAlignmentFormats="0" applyWidthHeightFormats="0">
  <queryTableRefresh nextId="122">
    <queryTableFields count="48">
      <queryTableField id="5" name="Axe" tableColumnId="5"/>
      <queryTableField id="3" name="ID_Synergie" tableColumnId="3"/>
      <queryTableField id="14" name="Nom_MO" tableColumnId="14"/>
      <queryTableField id="16" name="Intitule_Operation" tableColumnId="16"/>
      <queryTableField id="24" name="Coût total déposé" tableColumnId="24"/>
      <queryTableField id="25" name="FEDER Demandé" tableColumnId="25"/>
      <queryTableField id="57" name="Coût total Opération" tableColumnId="57"/>
      <queryTableField id="58" name="Coût total Eligible FEDER" tableColumnId="58"/>
      <queryTableField id="64" name="UE" tableColumnId="64"/>
      <queryTableField id="67" name="Total CR" tableColumnId="67"/>
      <queryTableField id="68" name="Auvergne" tableColumnId="68"/>
      <queryTableField id="69" name="Bourgogne" tableColumnId="69"/>
      <queryTableField id="70" name="Languedoc-Roussillon" tableColumnId="70"/>
      <queryTableField id="71" name="Limousin" tableColumnId="71"/>
      <queryTableField id="72" name="Midi-Pyrénées" tableColumnId="72"/>
      <queryTableField id="73" name="Rhône-Alpes" tableColumnId="73"/>
      <queryTableField id="74" name="Total Etat" tableColumnId="74"/>
      <queryTableField id="75" name="FNADT" tableColumnId="75"/>
      <queryTableField id="80" name="Total CG" tableColumnId="80"/>
      <queryTableField id="81" name="03" tableColumnId="81"/>
      <queryTableField id="82" name="07" tableColumnId="82"/>
      <queryTableField id="83" name="11" tableColumnId="83"/>
      <queryTableField id="84" name="12" tableColumnId="84"/>
      <queryTableField id="85" name="15" tableColumnId="85"/>
      <queryTableField id="86" name="19" tableColumnId="86"/>
      <queryTableField id="87" name="21" tableColumnId="87"/>
      <queryTableField id="88" name="23" tableColumnId="88"/>
      <queryTableField id="89" name="30" tableColumnId="89"/>
      <queryTableField id="90" name="34" tableColumnId="90"/>
      <queryTableField id="91" name="42" tableColumnId="91"/>
      <queryTableField id="92" name="43" tableColumnId="92"/>
      <queryTableField id="93" name="46" tableColumnId="93"/>
      <queryTableField id="94" name="48" tableColumnId="94"/>
      <queryTableField id="95" name="58" tableColumnId="95"/>
      <queryTableField id="96" name="63" tableColumnId="96"/>
      <queryTableField id="97" name="69" tableColumnId="97"/>
      <queryTableField id="98" name="71" tableColumnId="98"/>
      <queryTableField id="99" name="81" tableColumnId="99"/>
      <queryTableField id="100" name="82" tableColumnId="100"/>
      <queryTableField id="101" name="87" tableColumnId="101"/>
      <queryTableField id="102" name="89" tableColumnId="102"/>
      <queryTableField id="103" name="Autre Public" tableColumnId="103"/>
      <queryTableField id="66" name="DPN" tableColumnId="66"/>
      <queryTableField id="59" name="Part Publique" tableColumnId="59"/>
      <queryTableField id="61" name="Part privée" tableColumnId="61"/>
      <queryTableField id="62" name="Autofinancement" tableColumnId="62"/>
      <queryTableField id="55" name="Motivation Cprog" tableColumnId="55"/>
      <queryTableField id="56" name="Avis Cprog" tableColumnId="56"/>
    </queryTableFields>
    <queryTableDeletedFields count="11">
      <deletedField name="ThematiqueAxe"/>
      <deletedField name="ThématiqueOS/Mesure"/>
      <deletedField name="ThématiqueAction"/>
      <deletedField name="AAP"/>
      <deletedField name="Multipartenaire"/>
      <deletedField name="Chef de file"/>
      <deletedField name="Programme"/>
      <deletedField name="Environnement"/>
      <deletedField name="Agriculture"/>
      <deletedField name="Autre Etat 3"/>
      <deletedField name="Autre Etat Divers"/>
    </queryTableDeletedFields>
  </queryTableRefresh>
</queryTable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au1" displayName="Tableau1" ref="A1:AS89" totalsRowCount="1" headerRowDxfId="435" dataDxfId="434">
  <autoFilter ref="A1:AS88"/>
  <tableColumns count="45">
    <tableColumn id="1" name="AXE convention" dataDxfId="433" totalsRowDxfId="432"/>
    <tableColumn id="2" name="N°" dataDxfId="431" totalsRowDxfId="430"/>
    <tableColumn id="3" name="Maître d'Ouvrage" totalsRowLabel="TOTAL " dataDxfId="429"/>
    <tableColumn id="4" name="Projet" dataDxfId="428" totalsRowDxfId="427"/>
    <tableColumn id="5" name="Cout total de l'opération" totalsRowFunction="custom" dataDxfId="426" totalsRowDxfId="425">
      <totalsRowFormula>SUM(E72:E88)+E71+E66+E52+E44+E38+E24+E13</totalsRowFormula>
    </tableColumn>
    <tableColumn id="6" name="Cout eligible FEDER" totalsRowFunction="custom" dataDxfId="424" totalsRowDxfId="423">
      <totalsRowFormula>SUM(F72:F88)+F71+F66+F52+F44+F38+F24+F13</totalsRowFormula>
    </tableColumn>
    <tableColumn id="8" name="FEDER" totalsRowFunction="custom" dataDxfId="422" totalsRowDxfId="421">
      <totalsRowFormula>SUM(G72:G88)+G71+G66+G52+G44+G38+G24+G13</totalsRowFormula>
    </tableColumn>
    <tableColumn id="9" name="Coût éligible Etat" totalsRowFunction="custom" dataDxfId="420" totalsRowDxfId="419">
      <totalsRowFormula>SUM(H72:H88)+H71+H66+H52+H44+H38+H24+H13</totalsRowFormula>
    </tableColumn>
    <tableColumn id="10" name="Total Etat" totalsRowFunction="custom" dataDxfId="418" totalsRowDxfId="417">
      <totalsRowFormula>SUM(I72:I88)+I71+I66+I52+I44+I38+I24+I13</totalsRowFormula>
    </tableColumn>
    <tableColumn id="11" name="%Etat" totalsRowFunction="custom" dataDxfId="416" totalsRowDxfId="415">
      <totalsRowFormula>SUM(J72:J88)+J71+J66+J52+J44+J38+J24+J13</totalsRowFormula>
    </tableColumn>
    <tableColumn id="12" name="FNADT" totalsRowFunction="custom" dataDxfId="414" totalsRowDxfId="413">
      <totalsRowFormula>SUM(K72:K88)+K71+K66+K52+K44+K38+K24+K13</totalsRowFormula>
    </tableColumn>
    <tableColumn id="13" name="Agriculture" totalsRowFunction="custom" dataDxfId="412" totalsRowDxfId="411">
      <totalsRowFormula>SUM(L72:L88)+L71+L66+L52+L44+L38+L24+L13</totalsRowFormula>
    </tableColumn>
    <tableColumn id="46" name="Autre public" totalsRowFunction="custom" dataDxfId="410" totalsRowDxfId="409">
      <totalsRowFormula>SUM(M72:M88)+M71+M66+M52+M44+M38+M24+M13</totalsRowFormula>
    </tableColumn>
    <tableColumn id="14" name="Total régions" totalsRowFunction="custom" dataDxfId="408" totalsRowDxfId="407">
      <totalsRowFormula>SUM(N72:N88)+N71+N66+N52+N44+N38+N24+N13</totalsRowFormula>
    </tableColumn>
    <tableColumn id="15" name="Auvergne" totalsRowFunction="custom" dataDxfId="406" totalsRowDxfId="405">
      <totalsRowFormula>SUM(O72:O88)+O71+O66+O52+O44+O38+O24+O13</totalsRowFormula>
    </tableColumn>
    <tableColumn id="16" name="Bourgogne" totalsRowFunction="custom" dataDxfId="404" totalsRowDxfId="403">
      <totalsRowFormula>SUM(P72:P88)+P71+P66+P52+P44+P38+P24+P13</totalsRowFormula>
    </tableColumn>
    <tableColumn id="17" name="LR" totalsRowFunction="custom" dataDxfId="402" totalsRowDxfId="401">
      <totalsRowFormula>SUM(Q72:Q88)+Q71+Q66+Q52+Q44+Q38+Q24+Q13</totalsRowFormula>
    </tableColumn>
    <tableColumn id="18" name="Limousin" totalsRowFunction="custom" dataDxfId="400" totalsRowDxfId="399">
      <totalsRowFormula>SUM(R72:R88)+R71+R66+R52+R44+R38+R24+R13</totalsRowFormula>
    </tableColumn>
    <tableColumn id="19" name="MP" totalsRowFunction="custom" dataDxfId="398" totalsRowDxfId="397">
      <totalsRowFormula>SUM(S72:S88)+S71+S66+S52+S44+S38+S24+S13</totalsRowFormula>
    </tableColumn>
    <tableColumn id="20" name="RA" totalsRowFunction="custom" dataDxfId="396" totalsRowDxfId="395">
      <totalsRowFormula>SUM(T72:T88)+T71+T66+T52+T44+T38+T24+T13</totalsRowFormula>
    </tableColumn>
    <tableColumn id="22" name="Total CD" totalsRowFunction="custom" dataDxfId="394" totalsRowDxfId="393">
      <totalsRowFormula>SUM(U72:U88)+U71+U66+U52+U44+U38+U24+U13</totalsRowFormula>
    </tableColumn>
    <tableColumn id="23" name="03" dataDxfId="392"/>
    <tableColumn id="24" name="07" dataDxfId="391"/>
    <tableColumn id="25" name="11" dataDxfId="390"/>
    <tableColumn id="26" name="12" dataDxfId="389"/>
    <tableColumn id="27" name="15" dataDxfId="388"/>
    <tableColumn id="28" name="19" dataDxfId="387"/>
    <tableColumn id="29" name="21" dataDxfId="386"/>
    <tableColumn id="30" name="23" dataDxfId="385"/>
    <tableColumn id="31" name="30" dataDxfId="384"/>
    <tableColumn id="32" name="34" dataDxfId="383"/>
    <tableColumn id="33" name="42" dataDxfId="382"/>
    <tableColumn id="34" name="43" dataDxfId="381"/>
    <tableColumn id="35" name="46" dataDxfId="380"/>
    <tableColumn id="36" name="48" dataDxfId="379"/>
    <tableColumn id="37" name="58" dataDxfId="378"/>
    <tableColumn id="38" name="63" dataDxfId="377"/>
    <tableColumn id="39" name="69" dataDxfId="376"/>
    <tableColumn id="40" name="71" dataDxfId="375"/>
    <tableColumn id="41" name="81" dataDxfId="374"/>
    <tableColumn id="42" name="82" dataDxfId="373"/>
    <tableColumn id="43" name="87" dataDxfId="372"/>
    <tableColumn id="44" name="89" dataDxfId="371"/>
    <tableColumn id="45" name="Avis du Comité de programmation" dataDxfId="370" totalsRowDxfId="369"/>
    <tableColumn id="21" name="Motivation" dataDxfId="368" totalsRowDxfId="36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A1:AP3" totalsRowShown="0" headerRowDxfId="366" dataDxfId="365">
  <autoFilter ref="A1:AP3"/>
  <tableColumns count="42">
    <tableColumn id="1" name="CM" dataDxfId="364"/>
    <tableColumn id="2" name="N°" dataDxfId="363"/>
    <tableColumn id="3" name="MO" dataDxfId="362"/>
    <tableColumn id="4" name="Objet" dataDxfId="361"/>
    <tableColumn id="5" name="Cout total de l'opération" dataDxfId="360"/>
    <tableColumn id="6" name="Cout éligible FEDER" dataDxfId="359"/>
    <tableColumn id="8" name="FEDER" dataDxfId="358"/>
    <tableColumn id="9" name="Coût éligible Etat" dataDxfId="357"/>
    <tableColumn id="10" name="Total Etat" dataDxfId="356">
      <calculatedColumnFormula>J2+K2</calculatedColumnFormula>
    </tableColumn>
    <tableColumn id="11" name="FNADT" dataDxfId="355"/>
    <tableColumn id="12" name="Autre public" dataDxfId="354"/>
    <tableColumn id="13" name="Total régions" dataDxfId="353">
      <calculatedColumnFormula>SUM(Tableau2[[#This Row],[Auvergne]:[RA]])</calculatedColumnFormula>
    </tableColumn>
    <tableColumn id="14" name="Auvergne" dataDxfId="352"/>
    <tableColumn id="15" name="Bourgogne" dataDxfId="351"/>
    <tableColumn id="16" name="LR" dataDxfId="350"/>
    <tableColumn id="17" name="Limousin" dataDxfId="349"/>
    <tableColumn id="18" name="MP" dataDxfId="348"/>
    <tableColumn id="19" name="RA" dataDxfId="347"/>
    <tableColumn id="20" name="Total CD" dataDxfId="346">
      <calculatedColumnFormula>SUM(T2:AO2)</calculatedColumnFormula>
    </tableColumn>
    <tableColumn id="21" name="03" dataDxfId="345"/>
    <tableColumn id="22" name="07" dataDxfId="344"/>
    <tableColumn id="23" name="11" dataDxfId="343"/>
    <tableColumn id="24" name="12" dataDxfId="342"/>
    <tableColumn id="25" name="15" dataDxfId="341"/>
    <tableColumn id="26" name="19" dataDxfId="340"/>
    <tableColumn id="27" name="21" dataDxfId="339"/>
    <tableColumn id="28" name="23" dataDxfId="338"/>
    <tableColumn id="29" name="30" dataDxfId="337"/>
    <tableColumn id="30" name="34" dataDxfId="336"/>
    <tableColumn id="31" name="42" dataDxfId="335"/>
    <tableColumn id="32" name="43" dataDxfId="334"/>
    <tableColumn id="33" name="46" dataDxfId="333"/>
    <tableColumn id="34" name="48" dataDxfId="332"/>
    <tableColumn id="35" name="58" dataDxfId="331"/>
    <tableColumn id="36" name="63" dataDxfId="330"/>
    <tableColumn id="37" name="69" dataDxfId="329"/>
    <tableColumn id="38" name="71" dataDxfId="328"/>
    <tableColumn id="39" name="81" dataDxfId="327"/>
    <tableColumn id="40" name="82" dataDxfId="326"/>
    <tableColumn id="41" name="87" dataDxfId="325"/>
    <tableColumn id="42" name="89" dataDxfId="324"/>
    <tableColumn id="43" name="Avis du Comité de programmation" dataDxfId="323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id="3" name="Tableau3" displayName="Tableau3" ref="A1:AS15" totalsRowShown="0" headerRowDxfId="316" dataDxfId="315">
  <autoFilter ref="A1:AS15"/>
  <sortState ref="A2:AR13">
    <sortCondition ref="B1:B13"/>
  </sortState>
  <tableColumns count="45">
    <tableColumn id="1" name="CM" dataDxfId="314"/>
    <tableColumn id="2" name="N°" dataDxfId="313"/>
    <tableColumn id="3" name="MO" dataDxfId="312"/>
    <tableColumn id="4" name="Objet" dataDxfId="311"/>
    <tableColumn id="5" name="Cout total de l'opération" dataDxfId="310"/>
    <tableColumn id="6" name="Demandé" dataDxfId="309"/>
    <tableColumn id="7" name="Ecart" dataDxfId="308">
      <calculatedColumnFormula>(I2+K2+N2+U2)-F2</calculatedColumnFormula>
    </tableColumn>
    <tableColumn id="44" name="Cout eligible FEDER" dataDxfId="307"/>
    <tableColumn id="8" name="FEDER" dataDxfId="306"/>
    <tableColumn id="9" name="Coût éligible Etat" dataDxfId="305"/>
    <tableColumn id="10" name="Total Etat" dataDxfId="304">
      <calculatedColumnFormula>L2+M2</calculatedColumnFormula>
    </tableColumn>
    <tableColumn id="11" name="FNADT" dataDxfId="303"/>
    <tableColumn id="12" name="Autre public" dataDxfId="302"/>
    <tableColumn id="13" name="Total régions" dataDxfId="301">
      <calculatedColumnFormula>SUM(O2:T2)</calculatedColumnFormula>
    </tableColumn>
    <tableColumn id="14" name="Auvergne" dataDxfId="300"/>
    <tableColumn id="15" name="Bourgogne" dataDxfId="299"/>
    <tableColumn id="16" name="LR" dataDxfId="298"/>
    <tableColumn id="17" name="Limousin" dataDxfId="297"/>
    <tableColumn id="18" name="MP" dataDxfId="296"/>
    <tableColumn id="19" name="RA" dataDxfId="295"/>
    <tableColumn id="20" name="Total CD" dataDxfId="294"/>
    <tableColumn id="21" name="03" dataDxfId="293"/>
    <tableColumn id="22" name="07" dataDxfId="292"/>
    <tableColumn id="23" name="11" dataDxfId="291"/>
    <tableColumn id="24" name="12" dataDxfId="290"/>
    <tableColumn id="25" name="15" dataDxfId="289"/>
    <tableColumn id="26" name="19" dataDxfId="288"/>
    <tableColumn id="27" name="21" dataDxfId="287"/>
    <tableColumn id="28" name="23" dataDxfId="286"/>
    <tableColumn id="29" name="30" dataDxfId="285"/>
    <tableColumn id="30" name="34" dataDxfId="284"/>
    <tableColumn id="31" name="42" dataDxfId="283"/>
    <tableColumn id="32" name="43" dataDxfId="282"/>
    <tableColumn id="33" name="46" dataDxfId="281"/>
    <tableColumn id="34" name="48" dataDxfId="280"/>
    <tableColumn id="35" name="58" dataDxfId="279"/>
    <tableColumn id="36" name="63" dataDxfId="278"/>
    <tableColumn id="37" name="69" dataDxfId="277"/>
    <tableColumn id="38" name="71" dataDxfId="276"/>
    <tableColumn id="39" name="81" dataDxfId="275"/>
    <tableColumn id="40" name="82" dataDxfId="274"/>
    <tableColumn id="41" name="87" dataDxfId="273"/>
    <tableColumn id="42" name="89" dataDxfId="272"/>
    <tableColumn id="43" name="Avis du Comité de programmation" dataDxfId="271"/>
    <tableColumn id="45" name="Motivation" dataDxfId="270"/>
  </tableColumns>
  <tableStyleInfo name="TableStyleMedium11" showFirstColumn="0" showLastColumn="0" showRowStripes="1" showColumnStripes="0"/>
</table>
</file>

<file path=xl/tables/table4.xml><?xml version="1.0" encoding="utf-8"?>
<table xmlns="http://schemas.openxmlformats.org/spreadsheetml/2006/main" id="4" name="Tableau4" displayName="Tableau4" ref="A1:AP6" totalsRowShown="0" headerRowDxfId="269" dataDxfId="268">
  <autoFilter ref="A1:AP6"/>
  <tableColumns count="42">
    <tableColumn id="1" name="CM" dataDxfId="267"/>
    <tableColumn id="2" name="N°" dataDxfId="266"/>
    <tableColumn id="3" name="MO" dataDxfId="265"/>
    <tableColumn id="4" name="Objet" dataDxfId="264"/>
    <tableColumn id="5" name="Cout total de l'opération" dataDxfId="263"/>
    <tableColumn id="6" name="Cout éligible FEDER" dataDxfId="262"/>
    <tableColumn id="8" name="FEDER" dataDxfId="261"/>
    <tableColumn id="9" name="Coût éligible Etat" dataDxfId="260"/>
    <tableColumn id="10" name="Total Etat" dataDxfId="259">
      <calculatedColumnFormula>J2+K2</calculatedColumnFormula>
    </tableColumn>
    <tableColumn id="11" name="FNADT" dataDxfId="258"/>
    <tableColumn id="12" name="Autre public" dataDxfId="257"/>
    <tableColumn id="13" name="Total régions" dataDxfId="256">
      <calculatedColumnFormula>SUM(M2:R2)</calculatedColumnFormula>
    </tableColumn>
    <tableColumn id="14" name="Auvergne" dataDxfId="255"/>
    <tableColumn id="15" name="Bourgogne" dataDxfId="254"/>
    <tableColumn id="16" name="LR" dataDxfId="253"/>
    <tableColumn id="17" name="Limousin" dataDxfId="252"/>
    <tableColumn id="18" name="MP" dataDxfId="251"/>
    <tableColumn id="19" name="RA" dataDxfId="250"/>
    <tableColumn id="20" name="Total CD" dataDxfId="249">
      <calculatedColumnFormula>SUM(T2:AO2)</calculatedColumnFormula>
    </tableColumn>
    <tableColumn id="21" name="03" dataDxfId="248"/>
    <tableColumn id="22" name="07" dataDxfId="247"/>
    <tableColumn id="23" name="11" dataDxfId="246"/>
    <tableColumn id="24" name="12" dataDxfId="245"/>
    <tableColumn id="25" name="15" dataDxfId="244"/>
    <tableColumn id="26" name="19" dataDxfId="243"/>
    <tableColumn id="27" name="21" dataDxfId="242"/>
    <tableColumn id="28" name="23" dataDxfId="241"/>
    <tableColumn id="29" name="30" dataDxfId="240"/>
    <tableColumn id="30" name="34" dataDxfId="239"/>
    <tableColumn id="31" name="42" dataDxfId="238"/>
    <tableColumn id="32" name="43" dataDxfId="237"/>
    <tableColumn id="33" name="46" dataDxfId="236"/>
    <tableColumn id="34" name="48" dataDxfId="235"/>
    <tableColumn id="35" name="58" dataDxfId="234"/>
    <tableColumn id="36" name="63" dataDxfId="233"/>
    <tableColumn id="37" name="69" dataDxfId="232"/>
    <tableColumn id="38" name="71" dataDxfId="231"/>
    <tableColumn id="39" name="81" dataDxfId="230"/>
    <tableColumn id="40" name="82" dataDxfId="229"/>
    <tableColumn id="41" name="87" dataDxfId="228"/>
    <tableColumn id="42" name="89" dataDxfId="227"/>
    <tableColumn id="43" name="Avis du Comité de programmation" dataDxfId="226"/>
  </tableColumns>
  <tableStyleInfo name="TableStyleMedium13" showFirstColumn="0" showLastColumn="0" showRowStripes="1" showColumnStripes="0"/>
</table>
</file>

<file path=xl/tables/table5.xml><?xml version="1.0" encoding="utf-8"?>
<table xmlns="http://schemas.openxmlformats.org/spreadsheetml/2006/main" id="6" name="Tableau6" displayName="Tableau6" ref="A1:AS19" totalsRowCount="1" headerRowDxfId="222" dataDxfId="221" totalsRowDxfId="220">
  <autoFilter ref="A1:AS18"/>
  <tableColumns count="45">
    <tableColumn id="1" name="CM" dataDxfId="219" totalsRowDxfId="218"/>
    <tableColumn id="2" name="N°" dataDxfId="217" totalsRowDxfId="216"/>
    <tableColumn id="3" name="MO" dataDxfId="215" totalsRowDxfId="214"/>
    <tableColumn id="5" name="Cout total de l'opération" totalsRowFunction="custom" dataDxfId="213" totalsRowDxfId="212">
      <totalsRowFormula>SUM(D9:D18)+D8</totalsRowFormula>
    </tableColumn>
    <tableColumn id="6" name="Demandé" totalsRowFunction="custom" dataDxfId="211" totalsRowDxfId="210">
      <totalsRowFormula>SUM(E9:E18)+E8</totalsRowFormula>
    </tableColumn>
    <tableColumn id="7" name="Ecart" totalsRowFunction="custom" dataDxfId="209" totalsRowDxfId="208">
      <calculatedColumnFormula>H2+J2+M2+T2</calculatedColumnFormula>
      <totalsRowFormula>SUM(F9:F18)+F8</totalsRowFormula>
    </tableColumn>
    <tableColumn id="4" name="Cout éligible FEDER" totalsRowFunction="custom" dataDxfId="207" totalsRowDxfId="206">
      <totalsRowFormula>SUM(G9:G18)+G8</totalsRowFormula>
    </tableColumn>
    <tableColumn id="8" name="FEDER" totalsRowFunction="custom" dataDxfId="205" totalsRowDxfId="204">
      <totalsRowFormula>SUM(H9:H18)+H8</totalsRowFormula>
    </tableColumn>
    <tableColumn id="9" name="Coût éligible Etat" totalsRowFunction="custom" dataDxfId="203" totalsRowDxfId="202">
      <totalsRowFormula>SUM(I9:I18)+I8</totalsRowFormula>
    </tableColumn>
    <tableColumn id="10" name="Total Etat" totalsRowFunction="custom" dataDxfId="201" totalsRowDxfId="200">
      <totalsRowFormula>SUM(J9:J18)+J8</totalsRowFormula>
    </tableColumn>
    <tableColumn id="11" name="FNADT" totalsRowFunction="custom" dataDxfId="199" totalsRowDxfId="198">
      <totalsRowFormula>SUM(K9:K18)+K8</totalsRowFormula>
    </tableColumn>
    <tableColumn id="12" name="Autre Public" totalsRowFunction="custom" dataDxfId="197" totalsRowDxfId="196">
      <totalsRowFormula>SUM(L9:L18)+L8</totalsRowFormula>
    </tableColumn>
    <tableColumn id="13" name="Total régions" totalsRowFunction="custom" dataDxfId="195" totalsRowDxfId="194">
      <totalsRowFormula>SUM(M9:M18)+M8</totalsRowFormula>
    </tableColumn>
    <tableColumn id="14" name="Auvergne" totalsRowFunction="custom" dataDxfId="193" totalsRowDxfId="192">
      <totalsRowFormula>SUM(N9:N18)+N8</totalsRowFormula>
    </tableColumn>
    <tableColumn id="15" name="Bourgogne" totalsRowFunction="custom" dataDxfId="191" totalsRowDxfId="190">
      <totalsRowFormula>SUM(O9:O18)+O8</totalsRowFormula>
    </tableColumn>
    <tableColumn id="16" name="LR" totalsRowFunction="custom" dataDxfId="189" totalsRowDxfId="188">
      <totalsRowFormula>SUM(P9:P18)+P8</totalsRowFormula>
    </tableColumn>
    <tableColumn id="17" name="Limousin" totalsRowFunction="custom" dataDxfId="187" totalsRowDxfId="186">
      <totalsRowFormula>SUM(Q9:Q18)+Q8</totalsRowFormula>
    </tableColumn>
    <tableColumn id="18" name="MP" totalsRowFunction="custom" dataDxfId="185" totalsRowDxfId="184">
      <totalsRowFormula>SUM(R9:R18)+R8</totalsRowFormula>
    </tableColumn>
    <tableColumn id="19" name="RA" totalsRowFunction="custom" dataDxfId="183" totalsRowDxfId="182">
      <totalsRowFormula>SUM(S9:S18)+S8</totalsRowFormula>
    </tableColumn>
    <tableColumn id="20" name="Total CD" totalsRowFunction="custom" dataDxfId="181" totalsRowDxfId="180">
      <totalsRowFormula>SUM(T9:T18)+T8</totalsRowFormula>
    </tableColumn>
    <tableColumn id="21" name="03" totalsRowFunction="custom" dataDxfId="179" totalsRowDxfId="178">
      <totalsRowFormula>SUM(U9:U18)+U8</totalsRowFormula>
    </tableColumn>
    <tableColumn id="22" name="07" totalsRowFunction="custom" dataDxfId="177" totalsRowDxfId="176">
      <totalsRowFormula>SUM(V9:V18)+V8</totalsRowFormula>
    </tableColumn>
    <tableColumn id="23" name="11" totalsRowFunction="custom" dataDxfId="175" totalsRowDxfId="174">
      <totalsRowFormula>SUM(W9:W18)+W8</totalsRowFormula>
    </tableColumn>
    <tableColumn id="24" name="12" totalsRowFunction="custom" dataDxfId="173" totalsRowDxfId="172">
      <totalsRowFormula>SUM(X9:X18)+X8</totalsRowFormula>
    </tableColumn>
    <tableColumn id="25" name="15" totalsRowFunction="custom" dataDxfId="171" totalsRowDxfId="170">
      <totalsRowFormula>SUM(Y9:Y18)+Y8</totalsRowFormula>
    </tableColumn>
    <tableColumn id="26" name="19" totalsRowFunction="custom" dataDxfId="169" totalsRowDxfId="168">
      <totalsRowFormula>SUM(Z9:Z18)+Z8</totalsRowFormula>
    </tableColumn>
    <tableColumn id="27" name="21" totalsRowFunction="custom" dataDxfId="167" totalsRowDxfId="166">
      <totalsRowFormula>SUM(AA9:AA18)+AA8</totalsRowFormula>
    </tableColumn>
    <tableColumn id="28" name="23" totalsRowFunction="custom" dataDxfId="165" totalsRowDxfId="164">
      <totalsRowFormula>SUM(AB9:AB18)+AB8</totalsRowFormula>
    </tableColumn>
    <tableColumn id="29" name="30" totalsRowFunction="custom" dataDxfId="163" totalsRowDxfId="162">
      <totalsRowFormula>SUM(AC9:AC18)+AC8</totalsRowFormula>
    </tableColumn>
    <tableColumn id="30" name="34" totalsRowFunction="custom" dataDxfId="161" totalsRowDxfId="160">
      <totalsRowFormula>SUM(AD9:AD18)+AD8</totalsRowFormula>
    </tableColumn>
    <tableColumn id="31" name="42" totalsRowFunction="custom" dataDxfId="159" totalsRowDxfId="158">
      <totalsRowFormula>SUM(AE9:AE18)+AE8</totalsRowFormula>
    </tableColumn>
    <tableColumn id="32" name="43" totalsRowFunction="custom" dataDxfId="157" totalsRowDxfId="156">
      <totalsRowFormula>SUM(AF9:AF18)+AF8</totalsRowFormula>
    </tableColumn>
    <tableColumn id="33" name="46" totalsRowFunction="custom" dataDxfId="155" totalsRowDxfId="154">
      <totalsRowFormula>SUM(AG9:AG18)+AG8</totalsRowFormula>
    </tableColumn>
    <tableColumn id="34" name="48" totalsRowFunction="custom" dataDxfId="153" totalsRowDxfId="152">
      <totalsRowFormula>SUM(AH9:AH18)+AH8</totalsRowFormula>
    </tableColumn>
    <tableColumn id="35" name="58" totalsRowFunction="custom" dataDxfId="151" totalsRowDxfId="150">
      <totalsRowFormula>SUM(AI9:AI18)+AI8</totalsRowFormula>
    </tableColumn>
    <tableColumn id="36" name="63" totalsRowFunction="custom" dataDxfId="149" totalsRowDxfId="148">
      <totalsRowFormula>SUM(AJ9:AJ18)+AJ8</totalsRowFormula>
    </tableColumn>
    <tableColumn id="37" name="69" totalsRowFunction="custom" dataDxfId="147" totalsRowDxfId="146">
      <totalsRowFormula>SUM(AK9:AK18)+AK8</totalsRowFormula>
    </tableColumn>
    <tableColumn id="38" name="71" totalsRowFunction="custom" dataDxfId="145" totalsRowDxfId="144">
      <totalsRowFormula>SUM(AL9:AL18)+AL8</totalsRowFormula>
    </tableColumn>
    <tableColumn id="39" name="81" totalsRowFunction="custom" dataDxfId="143" totalsRowDxfId="142">
      <totalsRowFormula>SUM(AM9:AM18)+AM8</totalsRowFormula>
    </tableColumn>
    <tableColumn id="40" name="82" totalsRowFunction="custom" dataDxfId="141" totalsRowDxfId="140">
      <totalsRowFormula>SUM(AN9:AN18)+AN8</totalsRowFormula>
    </tableColumn>
    <tableColumn id="41" name="87" totalsRowFunction="custom" dataDxfId="139" totalsRowDxfId="138">
      <totalsRowFormula>SUM(AO9:AO18)+AO8</totalsRowFormula>
    </tableColumn>
    <tableColumn id="42" name="89" totalsRowFunction="custom" dataDxfId="137" totalsRowDxfId="136">
      <totalsRowFormula>SUM(AP9:AP18)+AP8</totalsRowFormula>
    </tableColumn>
    <tableColumn id="44" name="Part publique" dataDxfId="135" totalsRowDxfId="134"/>
    <tableColumn id="43" name="Avis du Comité de programmation" dataDxfId="133" totalsRowDxfId="132"/>
    <tableColumn id="45" name="Motivation" dataDxfId="131" totalsRowDxfId="130"/>
  </tableColumns>
  <tableStyleInfo name="TableStyleMedium14" showFirstColumn="0" showLastColumn="0" showRowStripes="1" showColumnStripes="0"/>
</table>
</file>

<file path=xl/tables/table6.xml><?xml version="1.0" encoding="utf-8"?>
<table xmlns="http://schemas.openxmlformats.org/spreadsheetml/2006/main" id="5" name="Tableau5" displayName="Tableau5" ref="A1:AS9" totalsRowShown="0" headerRowDxfId="129" dataDxfId="128">
  <autoFilter ref="A1:AS9"/>
  <tableColumns count="45">
    <tableColumn id="1" name="CM" dataDxfId="127"/>
    <tableColumn id="2" name="N°" dataDxfId="126"/>
    <tableColumn id="3" name="MO" dataDxfId="125"/>
    <tableColumn id="4" name="Objet" dataDxfId="124"/>
    <tableColumn id="5" name="Cout total" dataDxfId="123"/>
    <tableColumn id="6" name="Demandé" dataDxfId="122"/>
    <tableColumn id="7" name="Ecart" dataDxfId="121">
      <calculatedColumnFormula>(H2+J2+N2+U2)-F2</calculatedColumnFormula>
    </tableColumn>
    <tableColumn id="8" name="FEDER" dataDxfId="120"/>
    <tableColumn id="9" name="Coût éligible Etat" dataDxfId="119"/>
    <tableColumn id="10" name="Total Etat" dataDxfId="118">
      <calculatedColumnFormula>L2+M2</calculatedColumnFormula>
    </tableColumn>
    <tableColumn id="43" name="FNADT" dataDxfId="117"/>
    <tableColumn id="11" name="Agriculture" dataDxfId="116"/>
    <tableColumn id="12" name="Autre public" dataDxfId="115"/>
    <tableColumn id="13" name="Total régions" dataDxfId="114">
      <calculatedColumnFormula>SUM(O2:T2)</calculatedColumnFormula>
    </tableColumn>
    <tableColumn id="14" name="Auvergne" dataDxfId="113"/>
    <tableColumn id="15" name="Bourgogne" dataDxfId="112"/>
    <tableColumn id="16" name="LR" dataDxfId="111"/>
    <tableColumn id="17" name="Limousin" dataDxfId="110"/>
    <tableColumn id="18" name="MP" dataDxfId="109"/>
    <tableColumn id="19" name="RA" dataDxfId="108"/>
    <tableColumn id="20" name="Total CD" dataDxfId="107">
      <calculatedColumnFormula>SUM(V2:AQ2)</calculatedColumnFormula>
    </tableColumn>
    <tableColumn id="21" name="Total CD2" dataDxfId="106"/>
    <tableColumn id="22" name="Total CD3" dataDxfId="105"/>
    <tableColumn id="23" name="Total CD4" dataDxfId="104"/>
    <tableColumn id="24" name="Total CD5" dataDxfId="103"/>
    <tableColumn id="25" name="Total CD6" dataDxfId="102"/>
    <tableColumn id="26" name="Total CD7" dataDxfId="101"/>
    <tableColumn id="27" name="Total CD8" dataDxfId="100"/>
    <tableColumn id="28" name="Total CD9" dataDxfId="99"/>
    <tableColumn id="29" name="Total CD10" dataDxfId="98"/>
    <tableColumn id="30" name="Total CD11" dataDxfId="97"/>
    <tableColumn id="31" name="Total CD12" dataDxfId="96"/>
    <tableColumn id="32" name="Total CD13" dataDxfId="95"/>
    <tableColumn id="33" name="Total CD14" dataDxfId="94"/>
    <tableColumn id="34" name="Total CD15" dataDxfId="93"/>
    <tableColumn id="35" name="Total CD16" dataDxfId="92"/>
    <tableColumn id="36" name="Total CD17" dataDxfId="91"/>
    <tableColumn id="37" name="Total CD18" dataDxfId="90"/>
    <tableColumn id="38" name="Total CD19" dataDxfId="89"/>
    <tableColumn id="39" name="Total CD20" dataDxfId="88"/>
    <tableColumn id="40" name="Total CD21" dataDxfId="87"/>
    <tableColumn id="41" name="Total CD22" dataDxfId="86"/>
    <tableColumn id="42" name="Total CD23" dataDxfId="85"/>
    <tableColumn id="44" name="Avis du Comité de programmation" dataDxfId="84"/>
    <tableColumn id="45" name="Motivation" dataDxfId="83"/>
  </tableColumns>
  <tableStyleInfo name="TableStyleMedium14" showFirstColumn="0" showLastColumn="0" showRowStripes="1" showColumnStripes="0"/>
</table>
</file>

<file path=xl/tables/table7.xml><?xml version="1.0" encoding="utf-8"?>
<table xmlns="http://schemas.openxmlformats.org/spreadsheetml/2006/main" id="7" name="Tableau_Lancer_la_requête_à_partir_de_Excel_Files910111213" displayName="Tableau_Lancer_la_requête_à_partir_de_Excel_Files910111213" ref="A2:AV12" tableType="queryTable" totalsRowCount="1" headerRowDxfId="82">
  <autoFilter ref="A2:AV11"/>
  <sortState ref="B3:BH12">
    <sortCondition ref="AV3:AV13"/>
  </sortState>
  <tableColumns count="48">
    <tableColumn id="5" uniqueName="5" name="POI" queryTableFieldId="5"/>
    <tableColumn id="3" uniqueName="3" name="ID_Synergie" totalsRowLabel="Total" queryTableFieldId="3"/>
    <tableColumn id="14" uniqueName="14" name="Nom_MO" queryTableFieldId="14" dataDxfId="81" totalsRowDxfId="80"/>
    <tableColumn id="16" uniqueName="16" name="Intitule_Operation" queryTableFieldId="16" dataDxfId="79" totalsRowDxfId="78"/>
    <tableColumn id="24" uniqueName="24" name="Coût total déposé" totalsRowFunction="sum" queryTableFieldId="24" dataDxfId="77" totalsRowDxfId="76"/>
    <tableColumn id="25" uniqueName="25" name="FEDER Demandé" queryTableFieldId="25"/>
    <tableColumn id="57" uniqueName="57" name="Coût total Opération" totalsRowFunction="sum" queryTableFieldId="57" dataDxfId="75" totalsRowDxfId="74"/>
    <tableColumn id="58" uniqueName="58" name="Coût total Eligible FEDER" totalsRowFunction="sum" queryTableFieldId="58" dataDxfId="73" totalsRowDxfId="72"/>
    <tableColumn id="64" uniqueName="64" name="UE" totalsRowFunction="sum" queryTableFieldId="64" dataDxfId="71" totalsRowDxfId="70"/>
    <tableColumn id="67" uniqueName="67" name="Total CR" totalsRowFunction="sum" queryTableFieldId="67" dataDxfId="69" totalsRowDxfId="68"/>
    <tableColumn id="68" uniqueName="68" name="Auvergne" queryTableFieldId="68" dataDxfId="67"/>
    <tableColumn id="69" uniqueName="69" name="Bourgogne" queryTableFieldId="69" dataDxfId="66"/>
    <tableColumn id="70" uniqueName="70" name="Languedoc-Roussillon" queryTableFieldId="70" dataDxfId="65"/>
    <tableColumn id="71" uniqueName="71" name="Limousin" queryTableFieldId="71" dataDxfId="64"/>
    <tableColumn id="72" uniqueName="72" name="Midi-Pyrénées" queryTableFieldId="72" dataDxfId="63"/>
    <tableColumn id="73" uniqueName="73" name="Rhône-Alpes" queryTableFieldId="73" dataDxfId="62"/>
    <tableColumn id="74" uniqueName="74" name="Total Etat" totalsRowFunction="sum" queryTableFieldId="74" dataDxfId="61" totalsRowDxfId="60"/>
    <tableColumn id="75" uniqueName="75" name="FNADT" totalsRowFunction="sum" queryTableFieldId="75" dataDxfId="59" totalsRowDxfId="58"/>
    <tableColumn id="80" uniqueName="80" name="Total CG" totalsRowFunction="sum" queryTableFieldId="80" dataDxfId="57" totalsRowDxfId="56"/>
    <tableColumn id="81" uniqueName="81" name="03" totalsRowFunction="sum" queryTableFieldId="81" dataDxfId="55" totalsRowDxfId="54"/>
    <tableColumn id="82" uniqueName="82" name="07" totalsRowFunction="sum" queryTableFieldId="82" dataDxfId="53" totalsRowDxfId="52"/>
    <tableColumn id="83" uniqueName="83" name="11" totalsRowFunction="sum" queryTableFieldId="83" dataDxfId="51" totalsRowDxfId="50"/>
    <tableColumn id="84" uniqueName="84" name="12" totalsRowFunction="sum" queryTableFieldId="84" dataDxfId="49" totalsRowDxfId="48"/>
    <tableColumn id="85" uniqueName="85" name="15" totalsRowFunction="sum" queryTableFieldId="85" dataDxfId="47" totalsRowDxfId="46"/>
    <tableColumn id="86" uniqueName="86" name="19" totalsRowFunction="sum" queryTableFieldId="86" dataDxfId="45" totalsRowDxfId="44"/>
    <tableColumn id="87" uniqueName="87" name="21" totalsRowFunction="sum" queryTableFieldId="87" dataDxfId="43" totalsRowDxfId="42"/>
    <tableColumn id="88" uniqueName="88" name="23" totalsRowFunction="sum" queryTableFieldId="88" dataDxfId="41" totalsRowDxfId="40"/>
    <tableColumn id="89" uniqueName="89" name="30" totalsRowFunction="sum" queryTableFieldId="89" dataDxfId="39" totalsRowDxfId="38"/>
    <tableColumn id="90" uniqueName="90" name="34" totalsRowFunction="sum" queryTableFieldId="90" dataDxfId="37" totalsRowDxfId="36"/>
    <tableColumn id="91" uniqueName="91" name="42" totalsRowFunction="sum" queryTableFieldId="91" dataDxfId="35" totalsRowDxfId="34"/>
    <tableColumn id="92" uniqueName="92" name="43" totalsRowFunction="sum" queryTableFieldId="92" dataDxfId="33" totalsRowDxfId="32"/>
    <tableColumn id="93" uniqueName="93" name="46" totalsRowFunction="sum" queryTableFieldId="93" dataDxfId="31" totalsRowDxfId="30"/>
    <tableColumn id="94" uniqueName="94" name="48" totalsRowFunction="sum" queryTableFieldId="94" dataDxfId="29" totalsRowDxfId="28"/>
    <tableColumn id="95" uniqueName="95" name="58" totalsRowFunction="sum" queryTableFieldId="95" dataDxfId="27" totalsRowDxfId="26"/>
    <tableColumn id="96" uniqueName="96" name="63" totalsRowFunction="sum" queryTableFieldId="96" dataDxfId="25" totalsRowDxfId="24"/>
    <tableColumn id="97" uniqueName="97" name="69" totalsRowFunction="sum" queryTableFieldId="97" dataDxfId="23" totalsRowDxfId="22"/>
    <tableColumn id="98" uniqueName="98" name="71" totalsRowFunction="sum" queryTableFieldId="98" dataDxfId="21" totalsRowDxfId="20"/>
    <tableColumn id="99" uniqueName="99" name="81" totalsRowFunction="sum" queryTableFieldId="99" dataDxfId="19" totalsRowDxfId="18"/>
    <tableColumn id="100" uniqueName="100" name="82" totalsRowFunction="sum" queryTableFieldId="100" dataDxfId="17" totalsRowDxfId="16"/>
    <tableColumn id="101" uniqueName="101" name="87" totalsRowFunction="sum" queryTableFieldId="101" dataDxfId="15" totalsRowDxfId="14"/>
    <tableColumn id="102" uniqueName="102" name="89" totalsRowFunction="sum" queryTableFieldId="102" dataDxfId="13" totalsRowDxfId="12"/>
    <tableColumn id="103" uniqueName="103" name="Autre Public" totalsRowFunction="sum" queryTableFieldId="103" dataDxfId="11" totalsRowDxfId="10"/>
    <tableColumn id="66" uniqueName="66" name="DPN" totalsRowFunction="sum" queryTableFieldId="66" dataDxfId="9" totalsRowDxfId="8"/>
    <tableColumn id="59" uniqueName="59" name="Part Publique" totalsRowFunction="sum" queryTableFieldId="59" dataDxfId="7" totalsRowDxfId="6"/>
    <tableColumn id="61" uniqueName="61" name="Part privée" totalsRowFunction="sum" queryTableFieldId="61" dataDxfId="5" totalsRowDxfId="4"/>
    <tableColumn id="62" uniqueName="62" name="Autofinancement" totalsRowFunction="sum" queryTableFieldId="62" dataDxfId="3" totalsRowDxfId="2"/>
    <tableColumn id="55" uniqueName="55" name="Motivation Cprog" queryTableFieldId="55" totalsRowDxfId="1"/>
    <tableColumn id="56" uniqueName="56" name="Avis Cprog" totalsRowFunction="count" queryTableFieldId="56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V225"/>
  <sheetViews>
    <sheetView zoomScale="90" zoomScaleNormal="90" workbookViewId="0">
      <pane xSplit="4" ySplit="1" topLeftCell="E83" activePane="bottomRight" state="frozen"/>
      <selection pane="topRight" activeCell="E1" sqref="E1"/>
      <selection pane="bottomLeft" activeCell="A2" sqref="A2"/>
      <selection pane="bottomRight" activeCell="G84" sqref="G84"/>
    </sheetView>
  </sheetViews>
  <sheetFormatPr baseColWidth="10" defaultRowHeight="15" outlineLevelCol="1" x14ac:dyDescent="0.25"/>
  <cols>
    <col min="1" max="1" width="6.42578125" style="1" customWidth="1"/>
    <col min="2" max="2" width="6.28515625" style="1" bestFit="1" customWidth="1"/>
    <col min="3" max="3" width="25.42578125" style="1" customWidth="1"/>
    <col min="4" max="4" width="22" style="1" customWidth="1"/>
    <col min="5" max="5" width="15.140625" style="3" customWidth="1"/>
    <col min="6" max="6" width="12.85546875" style="3" customWidth="1"/>
    <col min="7" max="7" width="13" style="3" customWidth="1"/>
    <col min="8" max="8" width="18.28515625" style="3" customWidth="1"/>
    <col min="9" max="9" width="14" style="3" customWidth="1"/>
    <col min="10" max="10" width="9.85546875" style="3" hidden="1" customWidth="1"/>
    <col min="11" max="11" width="12.28515625" style="34" customWidth="1"/>
    <col min="12" max="12" width="15" style="3" customWidth="1"/>
    <col min="13" max="13" width="12.85546875" style="3" customWidth="1"/>
    <col min="14" max="14" width="13.85546875" style="3" customWidth="1"/>
    <col min="15" max="15" width="11.7109375" style="3" customWidth="1" outlineLevel="1"/>
    <col min="16" max="16" width="12.7109375" style="3" customWidth="1" outlineLevel="1"/>
    <col min="17" max="20" width="11.42578125" style="3" customWidth="1" outlineLevel="1"/>
    <col min="21" max="21" width="11.42578125" style="3"/>
    <col min="22" max="43" width="11.42578125" style="3" hidden="1" customWidth="1" outlineLevel="1"/>
    <col min="44" max="44" width="14.85546875" style="91" customWidth="1" collapsed="1"/>
    <col min="45" max="45" width="18.28515625" style="91" customWidth="1"/>
    <col min="46" max="46" width="11.42578125" style="1" customWidth="1"/>
    <col min="47" max="16384" width="11.42578125" style="1"/>
  </cols>
  <sheetData>
    <row r="1" spans="1:74" s="11" customFormat="1" ht="45" x14ac:dyDescent="0.25">
      <c r="A1" s="11" t="s">
        <v>251</v>
      </c>
      <c r="B1" s="11" t="s">
        <v>0</v>
      </c>
      <c r="C1" s="11" t="s">
        <v>174</v>
      </c>
      <c r="D1" s="11" t="s">
        <v>178</v>
      </c>
      <c r="E1" s="15" t="s">
        <v>256</v>
      </c>
      <c r="F1" s="15" t="s">
        <v>249</v>
      </c>
      <c r="G1" s="15" t="s">
        <v>8</v>
      </c>
      <c r="H1" s="15" t="s">
        <v>179</v>
      </c>
      <c r="I1" s="15" t="s">
        <v>175</v>
      </c>
      <c r="J1" s="15" t="s">
        <v>195</v>
      </c>
      <c r="K1" s="15" t="s">
        <v>9</v>
      </c>
      <c r="L1" s="15" t="s">
        <v>238</v>
      </c>
      <c r="M1" s="15" t="s">
        <v>250</v>
      </c>
      <c r="N1" s="15" t="s">
        <v>176</v>
      </c>
      <c r="O1" s="15" t="s">
        <v>10</v>
      </c>
      <c r="P1" s="15" t="s">
        <v>11</v>
      </c>
      <c r="Q1" s="15" t="s">
        <v>12</v>
      </c>
      <c r="R1" s="15" t="s">
        <v>13</v>
      </c>
      <c r="S1" s="15" t="s">
        <v>14</v>
      </c>
      <c r="T1" s="15" t="s">
        <v>15</v>
      </c>
      <c r="U1" s="15" t="s">
        <v>177</v>
      </c>
      <c r="V1" s="31" t="s">
        <v>208</v>
      </c>
      <c r="W1" s="31" t="s">
        <v>209</v>
      </c>
      <c r="X1" s="31" t="s">
        <v>210</v>
      </c>
      <c r="Y1" s="31" t="s">
        <v>211</v>
      </c>
      <c r="Z1" s="31" t="s">
        <v>212</v>
      </c>
      <c r="AA1" s="31" t="s">
        <v>213</v>
      </c>
      <c r="AB1" s="31" t="s">
        <v>214</v>
      </c>
      <c r="AC1" s="31" t="s">
        <v>215</v>
      </c>
      <c r="AD1" s="31" t="s">
        <v>216</v>
      </c>
      <c r="AE1" s="31" t="s">
        <v>217</v>
      </c>
      <c r="AF1" s="31" t="s">
        <v>218</v>
      </c>
      <c r="AG1" s="31" t="s">
        <v>219</v>
      </c>
      <c r="AH1" s="31" t="s">
        <v>220</v>
      </c>
      <c r="AI1" s="31" t="s">
        <v>221</v>
      </c>
      <c r="AJ1" s="31" t="s">
        <v>222</v>
      </c>
      <c r="AK1" s="31" t="s">
        <v>223</v>
      </c>
      <c r="AL1" s="31" t="s">
        <v>224</v>
      </c>
      <c r="AM1" s="31" t="s">
        <v>225</v>
      </c>
      <c r="AN1" s="31" t="s">
        <v>226</v>
      </c>
      <c r="AO1" s="31" t="s">
        <v>227</v>
      </c>
      <c r="AP1" s="31" t="s">
        <v>228</v>
      </c>
      <c r="AQ1" s="31" t="s">
        <v>229</v>
      </c>
      <c r="AR1" s="11" t="s">
        <v>260</v>
      </c>
      <c r="AS1" s="93" t="s">
        <v>293</v>
      </c>
    </row>
    <row r="2" spans="1:74" ht="33.75" x14ac:dyDescent="0.25">
      <c r="A2" s="1">
        <v>3</v>
      </c>
      <c r="C2" s="1" t="s">
        <v>104</v>
      </c>
      <c r="D2" s="1" t="s">
        <v>61</v>
      </c>
      <c r="E2" s="16">
        <v>146825.94</v>
      </c>
      <c r="F2" s="16"/>
      <c r="G2" s="33">
        <v>0</v>
      </c>
      <c r="H2" s="3">
        <v>146825.94</v>
      </c>
      <c r="I2" s="34">
        <f>SUM(Tableau1[[#This Row],[FNADT]:[Agriculture]])</f>
        <v>0</v>
      </c>
      <c r="J2" s="35">
        <f t="shared" ref="J2:J74" si="0">(K2/H2)</f>
        <v>0</v>
      </c>
      <c r="N2" s="34">
        <f t="shared" ref="N2:N72" si="1">SUM(O2:T2)</f>
        <v>12055.88</v>
      </c>
      <c r="O2" s="3">
        <v>12055.88</v>
      </c>
      <c r="Q2" s="3">
        <v>0</v>
      </c>
      <c r="U2" s="34">
        <f t="shared" ref="U2:U72" si="2">SUM(V2:AQ2)</f>
        <v>0</v>
      </c>
      <c r="AR2" s="87" t="s">
        <v>261</v>
      </c>
      <c r="AS2" s="94" t="s">
        <v>295</v>
      </c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</row>
    <row r="3" spans="1:74" x14ac:dyDescent="0.25">
      <c r="A3" s="1">
        <v>3</v>
      </c>
      <c r="C3" s="1" t="s">
        <v>129</v>
      </c>
      <c r="D3" s="1" t="s">
        <v>61</v>
      </c>
      <c r="E3" s="3">
        <v>10892.91</v>
      </c>
      <c r="G3" s="33">
        <v>0</v>
      </c>
      <c r="H3" s="3">
        <v>10892.91</v>
      </c>
      <c r="I3" s="34">
        <f>SUM(Tableau1[[#This Row],[FNADT]:[Agriculture]])</f>
        <v>0</v>
      </c>
      <c r="J3" s="35">
        <f t="shared" si="0"/>
        <v>0</v>
      </c>
      <c r="N3" s="34">
        <f t="shared" si="1"/>
        <v>894.42</v>
      </c>
      <c r="O3" s="3">
        <v>894.42</v>
      </c>
      <c r="U3" s="34">
        <f t="shared" si="2"/>
        <v>0</v>
      </c>
      <c r="AR3" s="87" t="s">
        <v>261</v>
      </c>
      <c r="AS3" s="94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</row>
    <row r="4" spans="1:74" x14ac:dyDescent="0.25">
      <c r="A4" s="1">
        <v>3</v>
      </c>
      <c r="C4" s="1" t="s">
        <v>56</v>
      </c>
      <c r="D4" s="1" t="s">
        <v>61</v>
      </c>
      <c r="E4" s="3">
        <v>24888.9</v>
      </c>
      <c r="G4" s="33">
        <v>0</v>
      </c>
      <c r="H4" s="3">
        <v>24888.9</v>
      </c>
      <c r="I4" s="34">
        <f>SUM(Tableau1[[#This Row],[FNADT]:[Agriculture]])</f>
        <v>0</v>
      </c>
      <c r="J4" s="35">
        <f t="shared" si="0"/>
        <v>0</v>
      </c>
      <c r="N4" s="34">
        <f t="shared" si="1"/>
        <v>2043.63</v>
      </c>
      <c r="O4" s="3">
        <v>2043.63</v>
      </c>
      <c r="U4" s="34">
        <f t="shared" si="2"/>
        <v>0</v>
      </c>
      <c r="AR4" s="87" t="s">
        <v>261</v>
      </c>
      <c r="AS4" s="94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</row>
    <row r="5" spans="1:74" x14ac:dyDescent="0.25">
      <c r="A5" s="1">
        <v>3</v>
      </c>
      <c r="C5" s="1" t="s">
        <v>130</v>
      </c>
      <c r="D5" s="1" t="s">
        <v>61</v>
      </c>
      <c r="E5" s="3">
        <v>24800</v>
      </c>
      <c r="G5" s="33">
        <v>0</v>
      </c>
      <c r="H5" s="3">
        <v>24800</v>
      </c>
      <c r="I5" s="34">
        <f>SUM(Tableau1[[#This Row],[FNADT]:[Agriculture]])</f>
        <v>0</v>
      </c>
      <c r="J5" s="35">
        <f t="shared" si="0"/>
        <v>0</v>
      </c>
      <c r="N5" s="34">
        <f t="shared" si="1"/>
        <v>2036.33</v>
      </c>
      <c r="O5" s="3">
        <v>2036.33</v>
      </c>
      <c r="U5" s="34">
        <f t="shared" si="2"/>
        <v>0</v>
      </c>
      <c r="AR5" s="87" t="s">
        <v>261</v>
      </c>
      <c r="AS5" s="94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</row>
    <row r="6" spans="1:74" x14ac:dyDescent="0.25">
      <c r="A6" s="1">
        <v>3</v>
      </c>
      <c r="C6" s="1" t="s">
        <v>131</v>
      </c>
      <c r="D6" s="1" t="s">
        <v>61</v>
      </c>
      <c r="E6" s="3">
        <v>14606.82</v>
      </c>
      <c r="G6" s="33">
        <v>0</v>
      </c>
      <c r="H6" s="3">
        <v>14606.82</v>
      </c>
      <c r="I6" s="34">
        <f>SUM(Tableau1[[#This Row],[FNADT]:[Agriculture]])</f>
        <v>0</v>
      </c>
      <c r="J6" s="35">
        <f t="shared" si="0"/>
        <v>0</v>
      </c>
      <c r="N6" s="34">
        <f t="shared" si="1"/>
        <v>1199.3699999999999</v>
      </c>
      <c r="O6" s="3">
        <v>1199.3699999999999</v>
      </c>
      <c r="U6" s="34">
        <f t="shared" si="2"/>
        <v>0</v>
      </c>
      <c r="AR6" s="87" t="s">
        <v>261</v>
      </c>
      <c r="AS6" s="94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</row>
    <row r="7" spans="1:74" x14ac:dyDescent="0.25">
      <c r="A7" s="1">
        <v>3</v>
      </c>
      <c r="C7" s="1" t="s">
        <v>132</v>
      </c>
      <c r="D7" s="1" t="s">
        <v>61</v>
      </c>
      <c r="E7" s="3">
        <v>8716.16</v>
      </c>
      <c r="G7" s="33">
        <v>0</v>
      </c>
      <c r="H7" s="3">
        <v>8716.16</v>
      </c>
      <c r="I7" s="34">
        <f>SUM(Tableau1[[#This Row],[FNADT]:[Agriculture]])</f>
        <v>0</v>
      </c>
      <c r="J7" s="35">
        <f t="shared" si="0"/>
        <v>0</v>
      </c>
      <c r="N7" s="34">
        <f t="shared" si="1"/>
        <v>715.68</v>
      </c>
      <c r="O7" s="3">
        <v>715.68</v>
      </c>
      <c r="U7" s="34">
        <f t="shared" si="2"/>
        <v>0</v>
      </c>
      <c r="AR7" s="87" t="s">
        <v>261</v>
      </c>
      <c r="AS7" s="94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</row>
    <row r="8" spans="1:74" x14ac:dyDescent="0.25">
      <c r="A8" s="1">
        <v>3</v>
      </c>
      <c r="C8" s="1" t="s">
        <v>133</v>
      </c>
      <c r="D8" s="1" t="s">
        <v>61</v>
      </c>
      <c r="E8" s="3">
        <v>8434.4500000000007</v>
      </c>
      <c r="G8" s="33">
        <v>0</v>
      </c>
      <c r="H8" s="3">
        <v>8434.4500000000007</v>
      </c>
      <c r="I8" s="34">
        <f>SUM(Tableau1[[#This Row],[FNADT]:[Agriculture]])</f>
        <v>0</v>
      </c>
      <c r="J8" s="35">
        <f t="shared" si="0"/>
        <v>0</v>
      </c>
      <c r="N8" s="34">
        <f t="shared" si="1"/>
        <v>692.55</v>
      </c>
      <c r="O8" s="3">
        <v>692.55</v>
      </c>
      <c r="U8" s="34">
        <f t="shared" si="2"/>
        <v>0</v>
      </c>
      <c r="AR8" s="87" t="s">
        <v>261</v>
      </c>
      <c r="AS8" s="94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</row>
    <row r="9" spans="1:74" x14ac:dyDescent="0.25">
      <c r="A9" s="1">
        <v>3</v>
      </c>
      <c r="C9" s="1" t="s">
        <v>134</v>
      </c>
      <c r="D9" s="1" t="s">
        <v>61</v>
      </c>
      <c r="E9" s="3">
        <v>5565.6</v>
      </c>
      <c r="G9" s="33">
        <v>0</v>
      </c>
      <c r="H9" s="3">
        <v>5565.6</v>
      </c>
      <c r="I9" s="34">
        <f>SUM(Tableau1[[#This Row],[FNADT]:[Agriculture]])</f>
        <v>0</v>
      </c>
      <c r="J9" s="35">
        <f t="shared" si="0"/>
        <v>0</v>
      </c>
      <c r="N9" s="34">
        <f t="shared" si="1"/>
        <v>456.99</v>
      </c>
      <c r="O9" s="3">
        <v>456.99</v>
      </c>
      <c r="U9" s="34">
        <f t="shared" si="2"/>
        <v>0</v>
      </c>
      <c r="AR9" s="87" t="s">
        <v>261</v>
      </c>
      <c r="AS9" s="94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</row>
    <row r="10" spans="1:74" x14ac:dyDescent="0.25">
      <c r="A10" s="1">
        <v>3</v>
      </c>
      <c r="C10" s="1" t="s">
        <v>135</v>
      </c>
      <c r="D10" s="1" t="s">
        <v>61</v>
      </c>
      <c r="E10" s="3">
        <v>5940.25</v>
      </c>
      <c r="G10" s="33">
        <v>0</v>
      </c>
      <c r="H10" s="3">
        <v>5940.25</v>
      </c>
      <c r="I10" s="34">
        <f>SUM(Tableau1[[#This Row],[FNADT]:[Agriculture]])</f>
        <v>0</v>
      </c>
      <c r="J10" s="35">
        <f t="shared" si="0"/>
        <v>0</v>
      </c>
      <c r="N10" s="34">
        <f t="shared" si="1"/>
        <v>487.75</v>
      </c>
      <c r="O10" s="3">
        <v>487.75</v>
      </c>
      <c r="U10" s="34">
        <f t="shared" si="2"/>
        <v>0</v>
      </c>
      <c r="AR10" s="87" t="s">
        <v>261</v>
      </c>
      <c r="AS10" s="94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</row>
    <row r="11" spans="1:74" x14ac:dyDescent="0.25">
      <c r="A11" s="1">
        <v>3</v>
      </c>
      <c r="C11" s="1" t="s">
        <v>136</v>
      </c>
      <c r="D11" s="1" t="s">
        <v>61</v>
      </c>
      <c r="E11" s="3">
        <v>12073.85</v>
      </c>
      <c r="G11" s="33">
        <v>0</v>
      </c>
      <c r="H11" s="3">
        <v>12073.85</v>
      </c>
      <c r="I11" s="34">
        <f>SUM(Tableau1[[#This Row],[FNADT]:[Agriculture]])</f>
        <v>0</v>
      </c>
      <c r="J11" s="35">
        <f t="shared" si="0"/>
        <v>0</v>
      </c>
      <c r="N11" s="34">
        <f t="shared" si="1"/>
        <v>991.38</v>
      </c>
      <c r="O11" s="3">
        <v>991.38</v>
      </c>
      <c r="U11" s="34">
        <f t="shared" si="2"/>
        <v>0</v>
      </c>
      <c r="AR11" s="87" t="s">
        <v>261</v>
      </c>
      <c r="AS11" s="94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</row>
    <row r="12" spans="1:74" x14ac:dyDescent="0.25">
      <c r="A12" s="1">
        <v>3</v>
      </c>
      <c r="C12" s="1" t="s">
        <v>137</v>
      </c>
      <c r="D12" s="1" t="s">
        <v>61</v>
      </c>
      <c r="E12" s="16">
        <v>74234.399999999994</v>
      </c>
      <c r="F12" s="16"/>
      <c r="G12" s="33">
        <v>0</v>
      </c>
      <c r="H12" s="16">
        <v>74234.399999999994</v>
      </c>
      <c r="I12" s="34">
        <f>SUM(Tableau1[[#This Row],[FNADT]:[Agriculture]])</f>
        <v>0</v>
      </c>
      <c r="J12" s="35">
        <f t="shared" si="0"/>
        <v>0</v>
      </c>
      <c r="N12" s="34">
        <f t="shared" si="1"/>
        <v>6095.39</v>
      </c>
      <c r="O12" s="3">
        <v>6095.39</v>
      </c>
      <c r="U12" s="34">
        <f t="shared" si="2"/>
        <v>0</v>
      </c>
      <c r="AR12" s="87" t="s">
        <v>261</v>
      </c>
      <c r="AS12" s="94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</row>
    <row r="13" spans="1:74" s="12" customFormat="1" x14ac:dyDescent="0.25">
      <c r="A13" s="22"/>
      <c r="B13" s="22"/>
      <c r="C13" s="22" t="s">
        <v>196</v>
      </c>
      <c r="D13" s="22"/>
      <c r="E13" s="23">
        <f>SUM(E2:E12)</f>
        <v>336979.28</v>
      </c>
      <c r="F13" s="23">
        <f>SUM(F2:F12)</f>
        <v>0</v>
      </c>
      <c r="G13" s="23">
        <f>SUM(G2:G12)</f>
        <v>0</v>
      </c>
      <c r="H13" s="23">
        <f>SUM(H2:H12)</f>
        <v>336979.28</v>
      </c>
      <c r="I13" s="23">
        <f>SUM(I2:I12)</f>
        <v>0</v>
      </c>
      <c r="J13" s="23"/>
      <c r="K13" s="23">
        <f>SUM(K2:K12)</f>
        <v>0</v>
      </c>
      <c r="L13" s="23">
        <f>SUM(L2:L12)</f>
        <v>0</v>
      </c>
      <c r="M13" s="23"/>
      <c r="N13" s="23">
        <v>0</v>
      </c>
      <c r="O13" s="23"/>
      <c r="P13" s="23"/>
      <c r="Q13" s="23"/>
      <c r="R13" s="23"/>
      <c r="S13" s="23"/>
      <c r="T13" s="23"/>
      <c r="U13" s="23">
        <f>SUM(U2:U12)</f>
        <v>0</v>
      </c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88"/>
      <c r="AS13" s="95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</row>
    <row r="14" spans="1:74" ht="24.75" customHeight="1" x14ac:dyDescent="0.25">
      <c r="A14" s="1">
        <v>3</v>
      </c>
      <c r="C14" s="1" t="s">
        <v>53</v>
      </c>
      <c r="D14" s="1" t="s">
        <v>58</v>
      </c>
      <c r="E14" s="17">
        <v>36753.68</v>
      </c>
      <c r="F14" s="17"/>
      <c r="G14" s="33">
        <v>0</v>
      </c>
      <c r="H14" s="17">
        <v>36753.68</v>
      </c>
      <c r="I14" s="34">
        <f>SUM(Tableau1[[#This Row],[FNADT]:[Agriculture]])</f>
        <v>20214.52</v>
      </c>
      <c r="J14" s="35">
        <f t="shared" si="0"/>
        <v>0</v>
      </c>
      <c r="K14" s="34">
        <v>0</v>
      </c>
      <c r="L14" s="3">
        <v>20214.52</v>
      </c>
      <c r="N14" s="34">
        <f t="shared" si="1"/>
        <v>5513.05</v>
      </c>
      <c r="O14" s="3">
        <v>5513.05</v>
      </c>
      <c r="Q14" s="3">
        <v>0</v>
      </c>
      <c r="U14" s="34">
        <f t="shared" si="2"/>
        <v>0</v>
      </c>
      <c r="AR14" s="87" t="s">
        <v>269</v>
      </c>
      <c r="AS14" s="94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</row>
    <row r="15" spans="1:74" ht="24.75" customHeight="1" x14ac:dyDescent="0.25">
      <c r="A15" s="1">
        <v>3</v>
      </c>
      <c r="C15" s="1" t="s">
        <v>143</v>
      </c>
      <c r="D15" s="1" t="s">
        <v>58</v>
      </c>
      <c r="E15" s="17">
        <v>17064.37</v>
      </c>
      <c r="F15" s="17"/>
      <c r="G15" s="33">
        <v>0</v>
      </c>
      <c r="H15" s="17">
        <v>17064.37</v>
      </c>
      <c r="I15" s="34">
        <f>SUM(Tableau1[[#This Row],[FNADT]:[Agriculture]])</f>
        <v>7678.97</v>
      </c>
      <c r="J15" s="35">
        <f t="shared" si="0"/>
        <v>0</v>
      </c>
      <c r="K15" s="34">
        <v>0</v>
      </c>
      <c r="L15" s="3">
        <v>7678.97</v>
      </c>
      <c r="N15" s="34">
        <f t="shared" si="1"/>
        <v>4266.09</v>
      </c>
      <c r="O15" s="3">
        <v>4266.09</v>
      </c>
      <c r="U15" s="34">
        <f t="shared" si="2"/>
        <v>0</v>
      </c>
      <c r="AR15" s="87" t="s">
        <v>269</v>
      </c>
      <c r="AS15" s="94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</row>
    <row r="16" spans="1:74" ht="24.75" customHeight="1" x14ac:dyDescent="0.25">
      <c r="A16" s="1">
        <v>3</v>
      </c>
      <c r="C16" s="1" t="s">
        <v>127</v>
      </c>
      <c r="D16" s="1" t="s">
        <v>58</v>
      </c>
      <c r="E16" s="17">
        <v>19374.61</v>
      </c>
      <c r="F16" s="17"/>
      <c r="G16" s="33">
        <v>0</v>
      </c>
      <c r="H16" s="17">
        <v>19374.61</v>
      </c>
      <c r="I16" s="34">
        <f>SUM(Tableau1[[#This Row],[FNADT]:[Agriculture]])</f>
        <v>8718.58</v>
      </c>
      <c r="J16" s="35">
        <f t="shared" si="0"/>
        <v>0</v>
      </c>
      <c r="K16" s="34">
        <v>0</v>
      </c>
      <c r="L16" s="3">
        <v>8718.58</v>
      </c>
      <c r="N16" s="34">
        <f t="shared" si="1"/>
        <v>4843.6499999999996</v>
      </c>
      <c r="O16" s="3">
        <v>4843.6499999999996</v>
      </c>
      <c r="U16" s="34">
        <f t="shared" si="2"/>
        <v>0</v>
      </c>
      <c r="AR16" s="87" t="s">
        <v>269</v>
      </c>
      <c r="AS16" s="94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</row>
    <row r="17" spans="1:74" ht="24.75" customHeight="1" x14ac:dyDescent="0.25">
      <c r="A17" s="1">
        <v>3</v>
      </c>
      <c r="C17" s="1" t="s">
        <v>144</v>
      </c>
      <c r="D17" s="1" t="s">
        <v>58</v>
      </c>
      <c r="E17" s="17">
        <v>35644.959999999999</v>
      </c>
      <c r="F17" s="17"/>
      <c r="G17" s="33">
        <v>0</v>
      </c>
      <c r="H17" s="17">
        <v>35644.959999999999</v>
      </c>
      <c r="I17" s="34">
        <f>SUM(Tableau1[[#This Row],[FNADT]:[Agriculture]])</f>
        <v>24951.47</v>
      </c>
      <c r="J17" s="35">
        <f t="shared" si="0"/>
        <v>0</v>
      </c>
      <c r="K17" s="34">
        <v>0</v>
      </c>
      <c r="L17" s="3">
        <v>24951.47</v>
      </c>
      <c r="N17" s="34">
        <f t="shared" si="1"/>
        <v>4987.3</v>
      </c>
      <c r="R17" s="3">
        <v>4987.3</v>
      </c>
      <c r="U17" s="34">
        <f t="shared" si="2"/>
        <v>0</v>
      </c>
      <c r="AR17" s="87" t="s">
        <v>269</v>
      </c>
      <c r="AS17" s="94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</row>
    <row r="18" spans="1:74" ht="24.75" customHeight="1" x14ac:dyDescent="0.25">
      <c r="A18" s="1">
        <v>3</v>
      </c>
      <c r="C18" s="1" t="s">
        <v>145</v>
      </c>
      <c r="D18" s="1" t="s">
        <v>58</v>
      </c>
      <c r="E18" s="17">
        <v>226487.76</v>
      </c>
      <c r="F18" s="17"/>
      <c r="G18" s="33">
        <v>0</v>
      </c>
      <c r="H18" s="17">
        <v>226487.76</v>
      </c>
      <c r="I18" s="34">
        <f>SUM(Tableau1[[#This Row],[FNADT]:[Agriculture]])</f>
        <v>118541.43</v>
      </c>
      <c r="J18" s="35">
        <f t="shared" si="0"/>
        <v>0</v>
      </c>
      <c r="K18" s="34">
        <v>0</v>
      </c>
      <c r="L18" s="3">
        <v>118541.43</v>
      </c>
      <c r="N18" s="34">
        <f t="shared" si="1"/>
        <v>31689.25</v>
      </c>
      <c r="R18" s="3">
        <v>31689.25</v>
      </c>
      <c r="U18" s="34">
        <f t="shared" si="2"/>
        <v>0</v>
      </c>
      <c r="AR18" s="87" t="s">
        <v>269</v>
      </c>
      <c r="AS18" s="94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</row>
    <row r="19" spans="1:74" ht="24.75" customHeight="1" x14ac:dyDescent="0.25">
      <c r="A19" s="1">
        <v>3</v>
      </c>
      <c r="C19" s="1" t="s">
        <v>128</v>
      </c>
      <c r="D19" s="1" t="s">
        <v>58</v>
      </c>
      <c r="E19" s="17">
        <v>21425.48</v>
      </c>
      <c r="F19" s="17"/>
      <c r="G19" s="33">
        <v>0</v>
      </c>
      <c r="H19" s="17">
        <v>21425.48</v>
      </c>
      <c r="I19" s="34">
        <f>SUM(Tableau1[[#This Row],[FNADT]:[Agriculture]])</f>
        <v>9641.4599999999991</v>
      </c>
      <c r="J19" s="35">
        <f t="shared" si="0"/>
        <v>0</v>
      </c>
      <c r="K19" s="34">
        <v>0</v>
      </c>
      <c r="L19" s="3">
        <v>9641.4599999999991</v>
      </c>
      <c r="N19" s="34">
        <f t="shared" si="1"/>
        <v>5356.37</v>
      </c>
      <c r="O19" s="3">
        <v>5356.37</v>
      </c>
      <c r="U19" s="34">
        <f t="shared" si="2"/>
        <v>0</v>
      </c>
      <c r="AR19" s="87" t="s">
        <v>269</v>
      </c>
      <c r="AS19" s="94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</row>
    <row r="20" spans="1:74" ht="24.75" customHeight="1" x14ac:dyDescent="0.25">
      <c r="A20" s="1">
        <v>3</v>
      </c>
      <c r="C20" s="1" t="s">
        <v>129</v>
      </c>
      <c r="D20" s="1" t="s">
        <v>58</v>
      </c>
      <c r="E20" s="17">
        <v>23753.16</v>
      </c>
      <c r="F20" s="17"/>
      <c r="G20" s="33">
        <v>0</v>
      </c>
      <c r="H20" s="17">
        <v>23753.16</v>
      </c>
      <c r="I20" s="34">
        <f>SUM(Tableau1[[#This Row],[FNADT]:[Agriculture]])</f>
        <v>16627.21</v>
      </c>
      <c r="J20" s="35">
        <f t="shared" si="0"/>
        <v>0</v>
      </c>
      <c r="K20" s="34">
        <v>0</v>
      </c>
      <c r="L20" s="3">
        <v>16627.21</v>
      </c>
      <c r="N20" s="34">
        <f t="shared" si="1"/>
        <v>3323.45</v>
      </c>
      <c r="R20" s="3">
        <v>3323.45</v>
      </c>
      <c r="U20" s="34">
        <f t="shared" si="2"/>
        <v>0</v>
      </c>
      <c r="AR20" s="87" t="s">
        <v>269</v>
      </c>
      <c r="AS20" s="94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</row>
    <row r="21" spans="1:74" ht="24.75" customHeight="1" x14ac:dyDescent="0.25">
      <c r="A21" s="1">
        <v>3</v>
      </c>
      <c r="C21" s="1" t="s">
        <v>146</v>
      </c>
      <c r="D21" s="1" t="s">
        <v>58</v>
      </c>
      <c r="E21" s="17">
        <v>14334.82</v>
      </c>
      <c r="F21" s="17"/>
      <c r="G21" s="33">
        <v>0</v>
      </c>
      <c r="H21" s="17">
        <v>14334.82</v>
      </c>
      <c r="I21" s="34">
        <f>SUM(Tableau1[[#This Row],[FNADT]:[Agriculture]])</f>
        <v>10034</v>
      </c>
      <c r="J21" s="35">
        <f t="shared" si="0"/>
        <v>0</v>
      </c>
      <c r="K21" s="34">
        <v>0</v>
      </c>
      <c r="L21" s="3">
        <v>10034</v>
      </c>
      <c r="N21" s="34">
        <f t="shared" si="1"/>
        <v>0</v>
      </c>
      <c r="U21" s="34">
        <f t="shared" si="2"/>
        <v>0</v>
      </c>
      <c r="AR21" s="87" t="s">
        <v>269</v>
      </c>
      <c r="AS21" s="94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</row>
    <row r="22" spans="1:74" ht="24.75" customHeight="1" x14ac:dyDescent="0.25">
      <c r="A22" s="1">
        <v>3</v>
      </c>
      <c r="C22" s="1" t="s">
        <v>56</v>
      </c>
      <c r="D22" s="1" t="s">
        <v>58</v>
      </c>
      <c r="E22" s="17">
        <v>112593.44</v>
      </c>
      <c r="F22" s="17"/>
      <c r="G22" s="33">
        <v>0</v>
      </c>
      <c r="H22" s="17">
        <v>112593.44</v>
      </c>
      <c r="I22" s="34">
        <f>SUM(Tableau1[[#This Row],[FNADT]:[Agriculture]])</f>
        <v>78815.42</v>
      </c>
      <c r="J22" s="35">
        <f t="shared" si="0"/>
        <v>0</v>
      </c>
      <c r="K22" s="34">
        <v>0</v>
      </c>
      <c r="L22" s="3">
        <v>78815.42</v>
      </c>
      <c r="N22" s="34">
        <f t="shared" si="1"/>
        <v>0</v>
      </c>
      <c r="U22" s="34">
        <f t="shared" si="2"/>
        <v>0</v>
      </c>
      <c r="AR22" s="87" t="s">
        <v>269</v>
      </c>
      <c r="AS22" s="94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</row>
    <row r="23" spans="1:74" ht="24.75" customHeight="1" x14ac:dyDescent="0.25">
      <c r="A23" s="1">
        <v>3</v>
      </c>
      <c r="C23" s="1" t="s">
        <v>137</v>
      </c>
      <c r="D23" s="1" t="s">
        <v>58</v>
      </c>
      <c r="E23" s="17">
        <v>14335.66</v>
      </c>
      <c r="F23" s="17"/>
      <c r="G23" s="33">
        <v>0</v>
      </c>
      <c r="H23" s="17">
        <v>12505.58</v>
      </c>
      <c r="I23" s="34">
        <f>SUM(Tableau1[[#This Row],[FNADT]:[Agriculture]])</f>
        <v>7884.61</v>
      </c>
      <c r="J23" s="35">
        <f t="shared" si="0"/>
        <v>0</v>
      </c>
      <c r="K23" s="34">
        <v>0</v>
      </c>
      <c r="L23" s="3">
        <v>7884.61</v>
      </c>
      <c r="N23" s="34">
        <f t="shared" si="1"/>
        <v>2150.35</v>
      </c>
      <c r="O23" s="3">
        <v>2150.35</v>
      </c>
      <c r="U23" s="34">
        <f t="shared" si="2"/>
        <v>0</v>
      </c>
      <c r="AR23" s="87" t="s">
        <v>269</v>
      </c>
      <c r="AS23" s="94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</row>
    <row r="24" spans="1:74" s="12" customFormat="1" x14ac:dyDescent="0.25">
      <c r="A24" s="22"/>
      <c r="B24" s="22"/>
      <c r="C24" s="22" t="s">
        <v>196</v>
      </c>
      <c r="D24" s="22"/>
      <c r="E24" s="23">
        <f>SUM(E14:E23)</f>
        <v>521767.93999999994</v>
      </c>
      <c r="F24" s="23">
        <f>SUM(F14:F23)</f>
        <v>0</v>
      </c>
      <c r="G24" s="40">
        <f>SUM(G14:G23)</f>
        <v>0</v>
      </c>
      <c r="H24" s="23">
        <f>SUM(H14:H23)</f>
        <v>519937.86</v>
      </c>
      <c r="I24" s="41">
        <f>SUM(I14:I23)</f>
        <v>303107.67</v>
      </c>
      <c r="J24" s="42"/>
      <c r="K24" s="41">
        <f>SUM(K14:K23)</f>
        <v>0</v>
      </c>
      <c r="L24" s="41">
        <f>SUM(L14:L23)</f>
        <v>303107.67</v>
      </c>
      <c r="M24" s="37"/>
      <c r="N24" s="41">
        <f>SUM(N14:N23)</f>
        <v>62129.509999999995</v>
      </c>
      <c r="O24" s="37"/>
      <c r="P24" s="37"/>
      <c r="Q24" s="37"/>
      <c r="R24" s="37"/>
      <c r="S24" s="37"/>
      <c r="T24" s="37"/>
      <c r="U24" s="41">
        <f>SUM(U14:U23)</f>
        <v>0</v>
      </c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88"/>
      <c r="AS24" s="95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</row>
    <row r="25" spans="1:74" ht="28.5" customHeight="1" x14ac:dyDescent="0.25">
      <c r="A25" s="1">
        <v>2</v>
      </c>
      <c r="C25" s="1" t="s">
        <v>91</v>
      </c>
      <c r="D25" s="1" t="s">
        <v>103</v>
      </c>
      <c r="E25" s="19">
        <v>125740.22</v>
      </c>
      <c r="F25" s="19">
        <v>88018.15</v>
      </c>
      <c r="G25" s="33">
        <v>0</v>
      </c>
      <c r="H25" s="3">
        <v>125740.22</v>
      </c>
      <c r="I25" s="34">
        <f>SUM(Tableau1[[#This Row],[FNADT]:[Agriculture]])</f>
        <v>88018</v>
      </c>
      <c r="J25" s="35">
        <f t="shared" si="0"/>
        <v>0.69999877525265986</v>
      </c>
      <c r="K25" s="34">
        <v>88018</v>
      </c>
      <c r="N25" s="34">
        <f t="shared" si="1"/>
        <v>0</v>
      </c>
      <c r="O25" s="3">
        <v>0</v>
      </c>
      <c r="U25" s="34">
        <f t="shared" si="2"/>
        <v>0</v>
      </c>
      <c r="AR25" s="87" t="s">
        <v>269</v>
      </c>
      <c r="AS25" s="94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</row>
    <row r="26" spans="1:74" ht="28.5" customHeight="1" x14ac:dyDescent="0.25">
      <c r="A26" s="1">
        <v>2</v>
      </c>
      <c r="C26" s="5" t="s">
        <v>147</v>
      </c>
      <c r="D26" s="1" t="s">
        <v>103</v>
      </c>
      <c r="E26" s="7">
        <v>72429.789999999994</v>
      </c>
      <c r="F26" s="8">
        <v>50690.71</v>
      </c>
      <c r="G26" s="33">
        <v>0</v>
      </c>
      <c r="H26" s="3">
        <v>72429.789999999994</v>
      </c>
      <c r="I26" s="34">
        <f>SUM(Tableau1[[#This Row],[FNADT]:[Agriculture]])</f>
        <v>50700.85</v>
      </c>
      <c r="J26" s="35">
        <f t="shared" si="0"/>
        <v>0.69999995858057851</v>
      </c>
      <c r="K26" s="34">
        <v>50700.85</v>
      </c>
      <c r="N26" s="34">
        <f t="shared" si="1"/>
        <v>0</v>
      </c>
      <c r="U26" s="34">
        <f t="shared" si="2"/>
        <v>0</v>
      </c>
      <c r="AR26" s="87" t="s">
        <v>269</v>
      </c>
      <c r="AS26" s="94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</row>
    <row r="27" spans="1:74" ht="28.5" customHeight="1" x14ac:dyDescent="0.25">
      <c r="A27" s="1">
        <v>2</v>
      </c>
      <c r="C27" s="5" t="s">
        <v>148</v>
      </c>
      <c r="D27" s="1" t="s">
        <v>103</v>
      </c>
      <c r="E27" s="7">
        <v>37673.199999999997</v>
      </c>
      <c r="F27" s="8">
        <v>26371.24</v>
      </c>
      <c r="G27" s="33">
        <v>0</v>
      </c>
      <c r="H27" s="3">
        <v>37673.199999999997</v>
      </c>
      <c r="I27" s="34">
        <f>SUM(Tableau1[[#This Row],[FNADT]:[Agriculture]])</f>
        <v>26371</v>
      </c>
      <c r="J27" s="35">
        <f t="shared" si="0"/>
        <v>0.69999362942356902</v>
      </c>
      <c r="K27" s="34">
        <v>26371</v>
      </c>
      <c r="N27" s="34">
        <f t="shared" si="1"/>
        <v>0</v>
      </c>
      <c r="U27" s="34">
        <f t="shared" si="2"/>
        <v>0</v>
      </c>
      <c r="AR27" s="87" t="s">
        <v>269</v>
      </c>
      <c r="AS27" s="94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</row>
    <row r="28" spans="1:74" ht="28.5" customHeight="1" x14ac:dyDescent="0.25">
      <c r="A28" s="1">
        <v>2</v>
      </c>
      <c r="C28" s="5" t="s">
        <v>149</v>
      </c>
      <c r="D28" s="1" t="s">
        <v>103</v>
      </c>
      <c r="E28" s="7">
        <v>25458.63</v>
      </c>
      <c r="F28" s="8">
        <v>17821.05</v>
      </c>
      <c r="G28" s="33">
        <v>0</v>
      </c>
      <c r="H28" s="3">
        <v>25458.63</v>
      </c>
      <c r="I28" s="34">
        <f>SUM(Tableau1[[#This Row],[FNADT]:[Agriculture]])</f>
        <v>16930.05</v>
      </c>
      <c r="J28" s="35">
        <f t="shared" si="0"/>
        <v>0.66500239800806249</v>
      </c>
      <c r="K28" s="34">
        <v>16930.05</v>
      </c>
      <c r="N28" s="34">
        <f t="shared" si="1"/>
        <v>0</v>
      </c>
      <c r="U28" s="34">
        <f t="shared" si="2"/>
        <v>891</v>
      </c>
      <c r="AO28" s="3">
        <v>891</v>
      </c>
      <c r="AR28" s="87" t="s">
        <v>269</v>
      </c>
      <c r="AS28" s="94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</row>
    <row r="29" spans="1:74" ht="28.5" customHeight="1" x14ac:dyDescent="0.25">
      <c r="A29" s="1">
        <v>2</v>
      </c>
      <c r="C29" s="5" t="s">
        <v>150</v>
      </c>
      <c r="D29" s="1" t="s">
        <v>103</v>
      </c>
      <c r="E29" s="7">
        <v>17092.5</v>
      </c>
      <c r="F29" s="8">
        <v>11964.75</v>
      </c>
      <c r="G29" s="33">
        <v>0</v>
      </c>
      <c r="H29" s="3">
        <v>14863.04</v>
      </c>
      <c r="I29" s="34">
        <f>SUM(Tableau1[[#This Row],[FNADT]:[Agriculture]])</f>
        <v>10404</v>
      </c>
      <c r="J29" s="35">
        <f t="shared" si="0"/>
        <v>0.69999138803367278</v>
      </c>
      <c r="K29" s="34">
        <v>10404</v>
      </c>
      <c r="N29" s="34">
        <f t="shared" si="1"/>
        <v>0</v>
      </c>
      <c r="U29" s="34">
        <f t="shared" si="2"/>
        <v>0</v>
      </c>
      <c r="AR29" s="87" t="s">
        <v>269</v>
      </c>
      <c r="AS29" s="94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</row>
    <row r="30" spans="1:74" ht="28.5" customHeight="1" x14ac:dyDescent="0.25">
      <c r="A30" s="1">
        <v>2</v>
      </c>
      <c r="C30" s="5" t="s">
        <v>151</v>
      </c>
      <c r="D30" s="1" t="s">
        <v>103</v>
      </c>
      <c r="E30" s="7">
        <v>16998.48</v>
      </c>
      <c r="F30" s="8">
        <v>11898.94</v>
      </c>
      <c r="G30" s="33">
        <v>0</v>
      </c>
      <c r="H30" s="3">
        <v>14781.29</v>
      </c>
      <c r="I30" s="34">
        <f>SUM(Tableau1[[#This Row],[FNADT]:[Agriculture]])</f>
        <v>9751.4500000000007</v>
      </c>
      <c r="J30" s="35">
        <f t="shared" si="0"/>
        <v>0.65971576229138329</v>
      </c>
      <c r="K30" s="34">
        <v>9751.4500000000007</v>
      </c>
      <c r="N30" s="34">
        <f t="shared" si="1"/>
        <v>0</v>
      </c>
      <c r="U30" s="34">
        <f t="shared" si="2"/>
        <v>594.95000000000005</v>
      </c>
      <c r="AN30" s="3">
        <v>594.95000000000005</v>
      </c>
      <c r="AR30" s="87" t="s">
        <v>269</v>
      </c>
      <c r="AS30" s="94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</row>
    <row r="31" spans="1:74" ht="28.5" customHeight="1" x14ac:dyDescent="0.25">
      <c r="A31" s="1">
        <v>2</v>
      </c>
      <c r="C31" s="6" t="s">
        <v>152</v>
      </c>
      <c r="D31" s="1" t="s">
        <v>103</v>
      </c>
      <c r="E31" s="9">
        <v>17300.009999999998</v>
      </c>
      <c r="F31" s="10">
        <v>12110.01</v>
      </c>
      <c r="G31" s="33">
        <v>0</v>
      </c>
      <c r="H31" s="3">
        <v>17300</v>
      </c>
      <c r="I31" s="34">
        <f>SUM(Tableau1[[#This Row],[FNADT]:[Agriculture]])</f>
        <v>0</v>
      </c>
      <c r="J31" s="35">
        <f t="shared" si="0"/>
        <v>0</v>
      </c>
      <c r="K31" s="34">
        <v>0</v>
      </c>
      <c r="N31" s="34">
        <f t="shared" si="1"/>
        <v>0</v>
      </c>
      <c r="U31" s="34">
        <f t="shared" si="2"/>
        <v>0</v>
      </c>
      <c r="AR31" s="87" t="s">
        <v>261</v>
      </c>
      <c r="AS31" s="94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</row>
    <row r="32" spans="1:74" ht="28.5" customHeight="1" x14ac:dyDescent="0.25">
      <c r="A32" s="1">
        <v>2</v>
      </c>
      <c r="C32" s="5" t="s">
        <v>153</v>
      </c>
      <c r="D32" s="1" t="s">
        <v>103</v>
      </c>
      <c r="E32" s="7">
        <v>22932.35</v>
      </c>
      <c r="F32" s="8">
        <v>16052.64</v>
      </c>
      <c r="G32" s="33">
        <v>0</v>
      </c>
      <c r="H32" s="3">
        <v>22932.35</v>
      </c>
      <c r="I32" s="34">
        <f>SUM(Tableau1[[#This Row],[FNADT]:[Agriculture]])</f>
        <v>16052</v>
      </c>
      <c r="J32" s="35">
        <f t="shared" si="0"/>
        <v>0.69997187379400716</v>
      </c>
      <c r="K32" s="34">
        <v>16052</v>
      </c>
      <c r="N32" s="34">
        <f t="shared" si="1"/>
        <v>0</v>
      </c>
      <c r="U32" s="34">
        <f t="shared" si="2"/>
        <v>0</v>
      </c>
      <c r="AR32" s="87" t="s">
        <v>269</v>
      </c>
      <c r="AS32" s="94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</row>
    <row r="33" spans="1:74" ht="28.5" customHeight="1" x14ac:dyDescent="0.25">
      <c r="A33" s="1">
        <v>2</v>
      </c>
      <c r="C33" s="5" t="s">
        <v>154</v>
      </c>
      <c r="D33" s="1" t="s">
        <v>103</v>
      </c>
      <c r="E33" s="7">
        <v>91037.16</v>
      </c>
      <c r="F33" s="8">
        <v>63726.01</v>
      </c>
      <c r="G33" s="33">
        <v>0</v>
      </c>
      <c r="H33" s="3">
        <v>82762.080000000002</v>
      </c>
      <c r="I33" s="34">
        <f>SUM(Tableau1[[#This Row],[FNADT]:[Agriculture]])</f>
        <v>57933</v>
      </c>
      <c r="J33" s="35">
        <f t="shared" si="0"/>
        <v>0.69999449023030835</v>
      </c>
      <c r="K33" s="34">
        <v>57933</v>
      </c>
      <c r="N33" s="34">
        <f t="shared" si="1"/>
        <v>0</v>
      </c>
      <c r="U33" s="34">
        <f t="shared" si="2"/>
        <v>0</v>
      </c>
      <c r="AR33" s="87" t="s">
        <v>269</v>
      </c>
      <c r="AS33" s="94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</row>
    <row r="34" spans="1:74" ht="28.5" customHeight="1" x14ac:dyDescent="0.25">
      <c r="A34" s="1">
        <v>2</v>
      </c>
      <c r="C34" s="5" t="s">
        <v>65</v>
      </c>
      <c r="D34" s="1" t="s">
        <v>103</v>
      </c>
      <c r="E34" s="7">
        <v>36370</v>
      </c>
      <c r="F34" s="8">
        <v>25458.98</v>
      </c>
      <c r="G34" s="33">
        <v>0</v>
      </c>
      <c r="H34" s="3">
        <v>36370</v>
      </c>
      <c r="I34" s="34">
        <f>SUM(Tableau1[[#This Row],[FNADT]:[Agriculture]])</f>
        <v>25458.98</v>
      </c>
      <c r="J34" s="35">
        <f t="shared" si="0"/>
        <v>0.6999994500962331</v>
      </c>
      <c r="K34" s="34">
        <v>25458.98</v>
      </c>
      <c r="N34" s="34">
        <f t="shared" si="1"/>
        <v>0</v>
      </c>
      <c r="U34" s="34">
        <f t="shared" si="2"/>
        <v>0</v>
      </c>
      <c r="AR34" s="87" t="s">
        <v>269</v>
      </c>
      <c r="AS34" s="94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</row>
    <row r="35" spans="1:74" ht="28.5" customHeight="1" x14ac:dyDescent="0.25">
      <c r="A35" s="1">
        <v>2</v>
      </c>
      <c r="C35" s="5" t="s">
        <v>155</v>
      </c>
      <c r="D35" s="1" t="s">
        <v>103</v>
      </c>
      <c r="E35" s="7">
        <v>4418.3999999999996</v>
      </c>
      <c r="F35" s="8">
        <v>3092.88</v>
      </c>
      <c r="G35" s="33">
        <v>0</v>
      </c>
      <c r="H35" s="3">
        <v>4418.3999999999996</v>
      </c>
      <c r="I35" s="34">
        <f>SUM(Tableau1[[#This Row],[FNADT]:[Agriculture]])</f>
        <v>3092.6</v>
      </c>
      <c r="J35" s="35">
        <f t="shared" si="0"/>
        <v>0.69993662864385298</v>
      </c>
      <c r="K35" s="34">
        <v>3092.6</v>
      </c>
      <c r="N35" s="34">
        <f t="shared" si="1"/>
        <v>0</v>
      </c>
      <c r="U35" s="34">
        <f t="shared" si="2"/>
        <v>0</v>
      </c>
      <c r="AR35" s="87" t="s">
        <v>269</v>
      </c>
      <c r="AS35" s="94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</row>
    <row r="36" spans="1:74" ht="28.5" customHeight="1" x14ac:dyDescent="0.25">
      <c r="A36" s="1">
        <v>2</v>
      </c>
      <c r="C36" s="5" t="s">
        <v>67</v>
      </c>
      <c r="D36" s="1" t="s">
        <v>103</v>
      </c>
      <c r="E36" s="7">
        <v>27436.92</v>
      </c>
      <c r="F36" s="8">
        <v>19205.84</v>
      </c>
      <c r="G36" s="33">
        <v>0</v>
      </c>
      <c r="H36" s="3">
        <v>27436.92</v>
      </c>
      <c r="I36" s="34">
        <f>SUM(Tableau1[[#This Row],[FNADT]:[Agriculture]])</f>
        <v>19205</v>
      </c>
      <c r="J36" s="35">
        <f t="shared" si="0"/>
        <v>0.69996923852968929</v>
      </c>
      <c r="K36" s="34">
        <v>19205</v>
      </c>
      <c r="N36" s="34">
        <f t="shared" si="1"/>
        <v>0</v>
      </c>
      <c r="U36" s="34">
        <f t="shared" si="2"/>
        <v>0</v>
      </c>
      <c r="AR36" s="87" t="s">
        <v>269</v>
      </c>
      <c r="AS36" s="94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</row>
    <row r="37" spans="1:74" ht="28.5" customHeight="1" x14ac:dyDescent="0.25">
      <c r="A37" s="1">
        <v>2</v>
      </c>
      <c r="C37" s="18" t="s">
        <v>92</v>
      </c>
      <c r="D37" s="1" t="s">
        <v>103</v>
      </c>
      <c r="E37" s="9">
        <v>31369.11</v>
      </c>
      <c r="F37" s="20">
        <v>21958.35</v>
      </c>
      <c r="G37" s="33">
        <v>0</v>
      </c>
      <c r="H37" s="3">
        <v>31369.11</v>
      </c>
      <c r="I37" s="34">
        <f>SUM(Tableau1[[#This Row],[FNADT]:[Agriculture]])</f>
        <v>0</v>
      </c>
      <c r="J37" s="35">
        <f t="shared" si="0"/>
        <v>0</v>
      </c>
      <c r="K37" s="34">
        <v>0</v>
      </c>
      <c r="N37" s="34">
        <f t="shared" si="1"/>
        <v>0</v>
      </c>
      <c r="U37" s="34">
        <f t="shared" si="2"/>
        <v>0</v>
      </c>
      <c r="AR37" s="87" t="s">
        <v>261</v>
      </c>
      <c r="AS37" s="94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</row>
    <row r="38" spans="1:74" s="12" customFormat="1" x14ac:dyDescent="0.25">
      <c r="A38" s="22"/>
      <c r="B38" s="22"/>
      <c r="C38" s="24" t="s">
        <v>196</v>
      </c>
      <c r="D38" s="22"/>
      <c r="E38" s="25">
        <f>SUM(E25:E37)</f>
        <v>526256.77</v>
      </c>
      <c r="F38" s="25">
        <f>SUM(F25:F37)</f>
        <v>368369.55</v>
      </c>
      <c r="G38" s="40">
        <f>SUM(G25:G37)</f>
        <v>0</v>
      </c>
      <c r="H38" s="37">
        <f>SUM(H25:H37)</f>
        <v>513535.02999999997</v>
      </c>
      <c r="I38" s="41">
        <f>SUM(I25:I37)</f>
        <v>323916.92999999993</v>
      </c>
      <c r="J38" s="42"/>
      <c r="K38" s="41">
        <f>SUM(K25:K37)</f>
        <v>323916.92999999993</v>
      </c>
      <c r="L38" s="37"/>
      <c r="M38" s="37"/>
      <c r="N38" s="41">
        <f>SUM(N25:N37)</f>
        <v>0</v>
      </c>
      <c r="O38" s="37"/>
      <c r="P38" s="37"/>
      <c r="Q38" s="37"/>
      <c r="R38" s="37"/>
      <c r="S38" s="37"/>
      <c r="T38" s="37"/>
      <c r="U38" s="41">
        <f>SUM(U25:U37)</f>
        <v>1485.95</v>
      </c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88"/>
      <c r="AS38" s="95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</row>
    <row r="39" spans="1:74" ht="150" x14ac:dyDescent="0.25">
      <c r="A39" s="1">
        <v>2</v>
      </c>
      <c r="B39" s="1" t="s">
        <v>79</v>
      </c>
      <c r="C39" s="43" t="s">
        <v>138</v>
      </c>
      <c r="D39" s="1" t="s">
        <v>80</v>
      </c>
      <c r="E39" s="16">
        <v>63672.42</v>
      </c>
      <c r="F39" s="16">
        <v>31836.21</v>
      </c>
      <c r="G39" s="44">
        <v>15918.11</v>
      </c>
      <c r="H39" s="44">
        <v>31836.21</v>
      </c>
      <c r="I39" s="34">
        <f>SUM(Tableau1[[#This Row],[FNADT]:[Agriculture]])</f>
        <v>6367.24</v>
      </c>
      <c r="J39" s="35">
        <f t="shared" si="0"/>
        <v>0.19999993717845183</v>
      </c>
      <c r="K39" s="45">
        <v>6367.24</v>
      </c>
      <c r="L39" s="44"/>
      <c r="M39" s="44"/>
      <c r="N39" s="34">
        <f t="shared" si="1"/>
        <v>0</v>
      </c>
      <c r="O39" s="44"/>
      <c r="P39" s="44"/>
      <c r="Q39" s="44"/>
      <c r="R39" s="44"/>
      <c r="U39" s="34">
        <f t="shared" si="2"/>
        <v>0</v>
      </c>
      <c r="AR39" s="87" t="s">
        <v>269</v>
      </c>
      <c r="AS39" s="94" t="s">
        <v>294</v>
      </c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</row>
    <row r="40" spans="1:74" ht="150" x14ac:dyDescent="0.25">
      <c r="A40" s="1">
        <v>2</v>
      </c>
      <c r="B40" s="1" t="s">
        <v>81</v>
      </c>
      <c r="C40" s="1" t="s">
        <v>139</v>
      </c>
      <c r="D40" s="1" t="s">
        <v>80</v>
      </c>
      <c r="E40" s="3">
        <v>248440</v>
      </c>
      <c r="F40" s="3">
        <v>123323.97</v>
      </c>
      <c r="G40" s="44">
        <v>36262</v>
      </c>
      <c r="H40" s="44">
        <v>115703.97</v>
      </c>
      <c r="I40" s="34">
        <f>SUM(Tableau1[[#This Row],[FNADT]:[Agriculture]])</f>
        <v>37363</v>
      </c>
      <c r="J40" s="35">
        <f t="shared" si="0"/>
        <v>0.32291891107971488</v>
      </c>
      <c r="K40" s="45">
        <v>37363</v>
      </c>
      <c r="L40" s="44"/>
      <c r="M40" s="44"/>
      <c r="N40" s="34">
        <f t="shared" si="1"/>
        <v>12000</v>
      </c>
      <c r="O40" s="44">
        <v>6000</v>
      </c>
      <c r="P40" s="46"/>
      <c r="Q40" s="44"/>
      <c r="R40" s="44">
        <v>6000</v>
      </c>
      <c r="U40" s="34">
        <f t="shared" si="2"/>
        <v>0</v>
      </c>
      <c r="AR40" s="87" t="s">
        <v>269</v>
      </c>
      <c r="AS40" s="94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</row>
    <row r="41" spans="1:74" ht="150" x14ac:dyDescent="0.25">
      <c r="A41" s="1">
        <v>2</v>
      </c>
      <c r="B41" s="1" t="s">
        <v>82</v>
      </c>
      <c r="C41" s="1" t="s">
        <v>140</v>
      </c>
      <c r="D41" s="1" t="s">
        <v>80</v>
      </c>
      <c r="E41" s="3">
        <v>62992</v>
      </c>
      <c r="F41" s="3">
        <v>31047.95</v>
      </c>
      <c r="G41" s="44">
        <v>15523.98</v>
      </c>
      <c r="H41" s="44">
        <v>31047.95</v>
      </c>
      <c r="I41" s="34">
        <f>SUM(Tableau1[[#This Row],[FNADT]:[Agriculture]])</f>
        <v>6209.59</v>
      </c>
      <c r="J41" s="35">
        <f t="shared" si="0"/>
        <v>0.2</v>
      </c>
      <c r="K41" s="45">
        <v>6209.59</v>
      </c>
      <c r="L41" s="44"/>
      <c r="M41" s="44"/>
      <c r="N41" s="34">
        <f t="shared" si="1"/>
        <v>0</v>
      </c>
      <c r="O41" s="44"/>
      <c r="P41" s="44"/>
      <c r="Q41" s="44"/>
      <c r="R41" s="44"/>
      <c r="U41" s="34">
        <f t="shared" si="2"/>
        <v>0</v>
      </c>
      <c r="AR41" s="87" t="s">
        <v>269</v>
      </c>
      <c r="AS41" s="94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</row>
    <row r="42" spans="1:74" ht="150" x14ac:dyDescent="0.25">
      <c r="A42" s="1">
        <v>2</v>
      </c>
      <c r="B42" s="1" t="s">
        <v>83</v>
      </c>
      <c r="C42" s="1" t="s">
        <v>141</v>
      </c>
      <c r="D42" s="1" t="s">
        <v>80</v>
      </c>
      <c r="E42" s="3">
        <v>62992</v>
      </c>
      <c r="F42" s="3">
        <v>31047.82</v>
      </c>
      <c r="G42" s="44">
        <v>15523.91</v>
      </c>
      <c r="H42" s="44">
        <v>31047.82</v>
      </c>
      <c r="I42" s="34">
        <f>SUM(Tableau1[[#This Row],[FNADT]:[Agriculture]])</f>
        <v>6209.56</v>
      </c>
      <c r="J42" s="35">
        <f t="shared" si="0"/>
        <v>0.19999987116647805</v>
      </c>
      <c r="K42" s="45">
        <v>6209.56</v>
      </c>
      <c r="L42" s="44"/>
      <c r="M42" s="44"/>
      <c r="N42" s="34">
        <f t="shared" si="1"/>
        <v>0</v>
      </c>
      <c r="O42" s="44"/>
      <c r="P42" s="44"/>
      <c r="Q42" s="44"/>
      <c r="R42" s="44"/>
      <c r="U42" s="34">
        <f t="shared" si="2"/>
        <v>0</v>
      </c>
      <c r="AR42" s="87" t="s">
        <v>269</v>
      </c>
      <c r="AS42" s="94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</row>
    <row r="43" spans="1:74" ht="150" x14ac:dyDescent="0.25">
      <c r="A43" s="1">
        <v>2</v>
      </c>
      <c r="B43" s="1" t="s">
        <v>84</v>
      </c>
      <c r="C43" s="1" t="s">
        <v>142</v>
      </c>
      <c r="D43" s="1" t="s">
        <v>80</v>
      </c>
      <c r="E43" s="3">
        <v>62375</v>
      </c>
      <c r="F43" s="3">
        <v>31047.65</v>
      </c>
      <c r="G43" s="47">
        <v>15523.83</v>
      </c>
      <c r="H43" s="47">
        <v>31047.65</v>
      </c>
      <c r="I43" s="34">
        <f>SUM(Tableau1[[#This Row],[FNADT]:[Agriculture]])</f>
        <v>6209.53</v>
      </c>
      <c r="J43" s="35">
        <f t="shared" si="0"/>
        <v>0.19999999999999998</v>
      </c>
      <c r="K43" s="48">
        <v>6209.53</v>
      </c>
      <c r="L43" s="44"/>
      <c r="M43" s="44"/>
      <c r="N43" s="34">
        <f t="shared" si="1"/>
        <v>0</v>
      </c>
      <c r="O43" s="44"/>
      <c r="P43" s="44"/>
      <c r="Q43" s="44"/>
      <c r="R43" s="44"/>
      <c r="U43" s="34">
        <f t="shared" si="2"/>
        <v>0</v>
      </c>
      <c r="AR43" s="87" t="s">
        <v>269</v>
      </c>
      <c r="AS43" s="94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</row>
    <row r="44" spans="1:74" s="12" customFormat="1" x14ac:dyDescent="0.25">
      <c r="A44" s="22"/>
      <c r="B44" s="22"/>
      <c r="C44" s="22" t="s">
        <v>196</v>
      </c>
      <c r="D44" s="22"/>
      <c r="E44" s="37">
        <f>SUM(E39:E43)</f>
        <v>500471.42</v>
      </c>
      <c r="F44" s="37">
        <f>SUM(F39:F43)</f>
        <v>248303.6</v>
      </c>
      <c r="G44" s="49">
        <f>SUM(G39:G43)</f>
        <v>98751.83</v>
      </c>
      <c r="H44" s="49">
        <f>SUM(H39:H43)</f>
        <v>240683.6</v>
      </c>
      <c r="I44" s="41">
        <f>SUM(I39:I43)</f>
        <v>62358.92</v>
      </c>
      <c r="J44" s="42"/>
      <c r="K44" s="50">
        <f>SUM(K39:K43)</f>
        <v>62358.92</v>
      </c>
      <c r="L44" s="51"/>
      <c r="M44" s="51"/>
      <c r="N44" s="41">
        <f>SUM(N39:N43)</f>
        <v>12000</v>
      </c>
      <c r="O44" s="51"/>
      <c r="P44" s="51"/>
      <c r="Q44" s="51"/>
      <c r="R44" s="51"/>
      <c r="S44" s="37"/>
      <c r="T44" s="37"/>
      <c r="U44" s="41">
        <f>SUM(U39:U43)</f>
        <v>0</v>
      </c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88"/>
      <c r="AS44" s="95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</row>
    <row r="45" spans="1:74" ht="30" customHeight="1" x14ac:dyDescent="0.25">
      <c r="A45" s="1">
        <v>2</v>
      </c>
      <c r="B45" s="1" t="s">
        <v>17</v>
      </c>
      <c r="C45" s="1" t="s">
        <v>18</v>
      </c>
      <c r="D45" s="1" t="s">
        <v>19</v>
      </c>
      <c r="E45" s="3">
        <v>178308.45</v>
      </c>
      <c r="F45" s="3">
        <v>178308.45</v>
      </c>
      <c r="G45" s="3">
        <v>89154</v>
      </c>
      <c r="H45" s="58">
        <v>178308.45</v>
      </c>
      <c r="I45" s="34">
        <f>SUM(Tableau1[[#This Row],[FNADT]:[Agriculture]])</f>
        <v>35661.69</v>
      </c>
      <c r="J45" s="35">
        <f t="shared" si="0"/>
        <v>0.2</v>
      </c>
      <c r="K45" s="34">
        <v>35661.69</v>
      </c>
      <c r="N45" s="34">
        <f t="shared" si="1"/>
        <v>0</v>
      </c>
      <c r="P45" s="52"/>
      <c r="U45" s="34">
        <f t="shared" si="2"/>
        <v>0</v>
      </c>
      <c r="AR45" s="87" t="s">
        <v>269</v>
      </c>
      <c r="AS45" s="94" t="s">
        <v>309</v>
      </c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</row>
    <row r="46" spans="1:74" ht="45" x14ac:dyDescent="0.25">
      <c r="A46" s="1">
        <v>2</v>
      </c>
      <c r="B46" s="1" t="s">
        <v>20</v>
      </c>
      <c r="C46" s="1" t="s">
        <v>21</v>
      </c>
      <c r="D46" s="1" t="s">
        <v>19</v>
      </c>
      <c r="E46" s="3">
        <v>29951.95</v>
      </c>
      <c r="F46" s="3">
        <v>29951.95</v>
      </c>
      <c r="G46" s="3">
        <v>14976</v>
      </c>
      <c r="H46" s="58">
        <v>29951.95</v>
      </c>
      <c r="I46" s="34">
        <f>SUM(Tableau1[[#This Row],[FNADT]:[Agriculture]])</f>
        <v>5990.39</v>
      </c>
      <c r="J46" s="35">
        <f t="shared" si="0"/>
        <v>0.2</v>
      </c>
      <c r="K46" s="34">
        <v>5990.39</v>
      </c>
      <c r="N46" s="34">
        <f t="shared" si="1"/>
        <v>0</v>
      </c>
      <c r="U46" s="34">
        <f t="shared" si="2"/>
        <v>0</v>
      </c>
      <c r="AR46" s="87" t="s">
        <v>269</v>
      </c>
      <c r="AS46" s="94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</row>
    <row r="47" spans="1:74" ht="45" x14ac:dyDescent="0.25">
      <c r="A47" s="1">
        <v>2</v>
      </c>
      <c r="B47" s="1" t="s">
        <v>22</v>
      </c>
      <c r="C47" s="1" t="s">
        <v>23</v>
      </c>
      <c r="D47" s="1" t="s">
        <v>19</v>
      </c>
      <c r="E47" s="3">
        <v>143108.35</v>
      </c>
      <c r="F47" s="3">
        <v>143108.35</v>
      </c>
      <c r="G47" s="3">
        <v>71554</v>
      </c>
      <c r="H47" s="58">
        <v>143108.35</v>
      </c>
      <c r="I47" s="34">
        <f>SUM(Tableau1[[#This Row],[FNADT]:[Agriculture]])</f>
        <v>28621.67</v>
      </c>
      <c r="J47" s="35">
        <f t="shared" si="0"/>
        <v>0.19999999999999998</v>
      </c>
      <c r="K47" s="34">
        <v>28621.67</v>
      </c>
      <c r="N47" s="34"/>
      <c r="U47" s="34"/>
      <c r="AR47" s="87" t="s">
        <v>269</v>
      </c>
      <c r="AS47" s="94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</row>
    <row r="48" spans="1:74" ht="45" x14ac:dyDescent="0.25">
      <c r="A48" s="1">
        <v>2</v>
      </c>
      <c r="B48" s="1" t="s">
        <v>24</v>
      </c>
      <c r="C48" s="1" t="s">
        <v>27</v>
      </c>
      <c r="D48" s="1" t="s">
        <v>19</v>
      </c>
      <c r="E48" s="3">
        <v>500093.6</v>
      </c>
      <c r="F48" s="3">
        <v>500093.6</v>
      </c>
      <c r="G48" s="3">
        <v>250047</v>
      </c>
      <c r="H48" s="58">
        <v>500093.6</v>
      </c>
      <c r="I48" s="34">
        <f>SUM(Tableau1[[#This Row],[FNADT]:[Agriculture]])</f>
        <v>100018.72</v>
      </c>
      <c r="J48" s="35">
        <f t="shared" si="0"/>
        <v>0.2</v>
      </c>
      <c r="K48" s="34">
        <v>100018.72</v>
      </c>
      <c r="N48" s="34">
        <f t="shared" si="1"/>
        <v>0</v>
      </c>
      <c r="U48" s="34">
        <f t="shared" si="2"/>
        <v>0</v>
      </c>
      <c r="AR48" s="87" t="s">
        <v>269</v>
      </c>
      <c r="AS48" s="94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</row>
    <row r="49" spans="1:74" ht="45" x14ac:dyDescent="0.25">
      <c r="A49" s="1">
        <v>2</v>
      </c>
      <c r="B49" s="1" t="s">
        <v>25</v>
      </c>
      <c r="C49" s="1" t="s">
        <v>26</v>
      </c>
      <c r="D49" s="1" t="s">
        <v>19</v>
      </c>
      <c r="E49" s="3">
        <v>173075.92</v>
      </c>
      <c r="F49" s="3">
        <v>172475.92</v>
      </c>
      <c r="G49" s="3">
        <v>86238</v>
      </c>
      <c r="H49" s="58">
        <v>172475.92</v>
      </c>
      <c r="I49" s="34">
        <f>SUM(Tableau1[[#This Row],[FNADT]:[Agriculture]])</f>
        <v>34495.18</v>
      </c>
      <c r="J49" s="35">
        <f t="shared" si="0"/>
        <v>0.19999997680835677</v>
      </c>
      <c r="K49" s="34">
        <v>34495.18</v>
      </c>
      <c r="N49" s="34">
        <f t="shared" si="1"/>
        <v>0</v>
      </c>
      <c r="U49" s="34">
        <f t="shared" si="2"/>
        <v>0</v>
      </c>
      <c r="AR49" s="87" t="s">
        <v>269</v>
      </c>
      <c r="AS49" s="94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</row>
    <row r="50" spans="1:74" ht="45" x14ac:dyDescent="0.25">
      <c r="A50" s="1">
        <v>2</v>
      </c>
      <c r="B50" s="1" t="s">
        <v>28</v>
      </c>
      <c r="C50" s="1" t="s">
        <v>30</v>
      </c>
      <c r="D50" s="1" t="s">
        <v>19</v>
      </c>
      <c r="E50" s="3">
        <v>183186.38</v>
      </c>
      <c r="F50" s="3">
        <v>183186.38</v>
      </c>
      <c r="G50" s="3">
        <v>91593</v>
      </c>
      <c r="H50" s="58">
        <v>183186.38</v>
      </c>
      <c r="I50" s="34">
        <f>SUM(Tableau1[[#This Row],[FNADT]:[Agriculture]])</f>
        <v>36637.279999999999</v>
      </c>
      <c r="J50" s="35">
        <f t="shared" si="0"/>
        <v>0.20000002183568449</v>
      </c>
      <c r="K50" s="34">
        <v>36637.279999999999</v>
      </c>
      <c r="N50" s="34">
        <f t="shared" si="1"/>
        <v>0</v>
      </c>
      <c r="U50" s="34">
        <f t="shared" si="2"/>
        <v>0</v>
      </c>
      <c r="AR50" s="87" t="s">
        <v>269</v>
      </c>
      <c r="AS50" s="94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</row>
    <row r="51" spans="1:74" ht="45" x14ac:dyDescent="0.25">
      <c r="A51" s="1">
        <v>2</v>
      </c>
      <c r="B51" s="1" t="s">
        <v>29</v>
      </c>
      <c r="C51" s="1" t="s">
        <v>31</v>
      </c>
      <c r="D51" s="1" t="s">
        <v>19</v>
      </c>
      <c r="E51" s="3">
        <v>218685.06</v>
      </c>
      <c r="F51" s="3">
        <v>218250.06</v>
      </c>
      <c r="G51" s="3">
        <v>109125</v>
      </c>
      <c r="H51" s="58">
        <v>218250.06</v>
      </c>
      <c r="I51" s="34">
        <f>SUM(Tableau1[[#This Row],[FNADT]:[Agriculture]])</f>
        <v>43650.01</v>
      </c>
      <c r="J51" s="35">
        <f t="shared" si="0"/>
        <v>0.19999999083619954</v>
      </c>
      <c r="K51" s="34">
        <v>43650.01</v>
      </c>
      <c r="N51" s="34">
        <f t="shared" si="1"/>
        <v>0</v>
      </c>
      <c r="U51" s="34">
        <f t="shared" si="2"/>
        <v>0</v>
      </c>
      <c r="AR51" s="87" t="s">
        <v>269</v>
      </c>
      <c r="AS51" s="94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</row>
    <row r="52" spans="1:74" s="12" customFormat="1" x14ac:dyDescent="0.25">
      <c r="A52" s="22"/>
      <c r="B52" s="22"/>
      <c r="C52" s="22" t="s">
        <v>196</v>
      </c>
      <c r="D52" s="22"/>
      <c r="E52" s="37">
        <f>SUM(E45:E51)</f>
        <v>1426409.71</v>
      </c>
      <c r="F52" s="37">
        <f>SUM(F45:F51)</f>
        <v>1425374.71</v>
      </c>
      <c r="G52" s="37">
        <f>SUM(G45:G51)</f>
        <v>712687</v>
      </c>
      <c r="H52" s="37">
        <f>SUM(H45:H51)</f>
        <v>1425374.71</v>
      </c>
      <c r="I52" s="41">
        <f>SUM(I45:I51)</f>
        <v>285074.94</v>
      </c>
      <c r="J52" s="42"/>
      <c r="K52" s="41">
        <f>SUM(K45:K51)</f>
        <v>285074.94</v>
      </c>
      <c r="L52" s="41">
        <f>SUM(L45:L51)</f>
        <v>0</v>
      </c>
      <c r="M52" s="41"/>
      <c r="N52" s="41">
        <f>SUM(N48:N51)</f>
        <v>0</v>
      </c>
      <c r="O52" s="37"/>
      <c r="P52" s="37"/>
      <c r="Q52" s="37"/>
      <c r="R52" s="37"/>
      <c r="S52" s="37"/>
      <c r="T52" s="37"/>
      <c r="U52" s="41">
        <f>SUM(U48:U51)</f>
        <v>0</v>
      </c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88"/>
      <c r="AS52" s="95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</row>
    <row r="53" spans="1:74" x14ac:dyDescent="0.25">
      <c r="A53" s="1">
        <v>2</v>
      </c>
      <c r="B53" s="1" t="s">
        <v>105</v>
      </c>
      <c r="C53" s="1" t="s">
        <v>53</v>
      </c>
      <c r="D53" s="1" t="s">
        <v>54</v>
      </c>
      <c r="E53" s="3">
        <v>16687.88</v>
      </c>
      <c r="G53" s="3">
        <v>0</v>
      </c>
      <c r="H53" s="3">
        <v>15636.68</v>
      </c>
      <c r="I53" s="34">
        <f>Tableau1[[#This Row],[FNADT]]+Tableau1[[#This Row],[Agriculture]]</f>
        <v>9336.02</v>
      </c>
      <c r="J53" s="35">
        <f>Tableau1[[#This Row],[FNADT]]/Tableau1[[#This Row],[Coût éligible Etat]]</f>
        <v>0</v>
      </c>
      <c r="L53" s="3">
        <v>9336.02</v>
      </c>
      <c r="N53" s="34">
        <f t="shared" ref="N53:N65" si="3">SUM(O53:T53)</f>
        <v>2345.5</v>
      </c>
      <c r="O53" s="3">
        <v>2345.5</v>
      </c>
      <c r="U53" s="34"/>
      <c r="AR53" s="87" t="s">
        <v>269</v>
      </c>
      <c r="AS53" s="94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</row>
    <row r="54" spans="1:74" x14ac:dyDescent="0.25">
      <c r="A54" s="1">
        <v>2</v>
      </c>
      <c r="B54" s="1" t="s">
        <v>114</v>
      </c>
      <c r="C54" s="1" t="s">
        <v>48</v>
      </c>
      <c r="D54" s="1" t="s">
        <v>54</v>
      </c>
      <c r="E54" s="3">
        <v>27140.74</v>
      </c>
      <c r="G54" s="3">
        <v>0</v>
      </c>
      <c r="H54" s="3">
        <v>27140.75</v>
      </c>
      <c r="I54" s="34">
        <f>Tableau1[[#This Row],[FNADT]]+Tableau1[[#This Row],[Agriculture]]</f>
        <v>19316.189999999999</v>
      </c>
      <c r="J54" s="35">
        <f>Tableau1[[#This Row],[FNADT]]/Tableau1[[#This Row],[Coût éligible Etat]]</f>
        <v>0</v>
      </c>
      <c r="L54" s="3">
        <v>19316.189999999999</v>
      </c>
      <c r="N54" s="34">
        <f t="shared" si="3"/>
        <v>4071.11</v>
      </c>
      <c r="O54" s="3">
        <v>4071.11</v>
      </c>
      <c r="U54" s="34"/>
      <c r="AR54" s="87" t="s">
        <v>269</v>
      </c>
      <c r="AS54" s="94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</row>
    <row r="55" spans="1:74" x14ac:dyDescent="0.25">
      <c r="A55" s="1">
        <v>2</v>
      </c>
      <c r="B55" s="1" t="s">
        <v>115</v>
      </c>
      <c r="C55" s="1" t="s">
        <v>123</v>
      </c>
      <c r="D55" s="1" t="s">
        <v>54</v>
      </c>
      <c r="E55" s="3">
        <v>30077.59</v>
      </c>
      <c r="G55" s="3">
        <v>0</v>
      </c>
      <c r="H55" s="3">
        <v>30077.59</v>
      </c>
      <c r="I55" s="34">
        <f>Tableau1[[#This Row],[FNADT]]+Tableau1[[#This Row],[Agriculture]]</f>
        <v>13534.91</v>
      </c>
      <c r="J55" s="35">
        <f>Tableau1[[#This Row],[FNADT]]/Tableau1[[#This Row],[Coût éligible Etat]]</f>
        <v>0</v>
      </c>
      <c r="L55" s="3">
        <v>13534.91</v>
      </c>
      <c r="N55" s="34">
        <f t="shared" si="3"/>
        <v>7519.4</v>
      </c>
      <c r="O55" s="3">
        <v>7519.4</v>
      </c>
      <c r="U55" s="34"/>
      <c r="AR55" s="87" t="s">
        <v>269</v>
      </c>
      <c r="AS55" s="94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</row>
    <row r="56" spans="1:74" x14ac:dyDescent="0.25">
      <c r="A56" s="1">
        <v>2</v>
      </c>
      <c r="B56" s="1" t="s">
        <v>118</v>
      </c>
      <c r="C56" s="1" t="s">
        <v>124</v>
      </c>
      <c r="D56" s="1" t="s">
        <v>54</v>
      </c>
      <c r="E56" s="3">
        <v>5975.05</v>
      </c>
      <c r="G56" s="3">
        <v>0</v>
      </c>
      <c r="H56" s="3">
        <v>5975</v>
      </c>
      <c r="I56" s="34">
        <f>Tableau1[[#This Row],[FNADT]]+Tableau1[[#This Row],[Agriculture]]</f>
        <v>3286.28</v>
      </c>
      <c r="J56" s="35">
        <f>Tableau1[[#This Row],[FNADT]]/Tableau1[[#This Row],[Coût éligible Etat]]</f>
        <v>0</v>
      </c>
      <c r="L56" s="3">
        <v>3286.28</v>
      </c>
      <c r="N56" s="34">
        <f t="shared" si="3"/>
        <v>896.26</v>
      </c>
      <c r="O56" s="3">
        <v>896.26</v>
      </c>
      <c r="U56" s="34"/>
      <c r="AR56" s="87" t="s">
        <v>269</v>
      </c>
      <c r="AS56" s="94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</row>
    <row r="57" spans="1:74" x14ac:dyDescent="0.25">
      <c r="A57" s="1">
        <v>2</v>
      </c>
      <c r="B57" s="1" t="s">
        <v>116</v>
      </c>
      <c r="C57" s="1" t="s">
        <v>125</v>
      </c>
      <c r="D57" s="1" t="s">
        <v>54</v>
      </c>
      <c r="E57" s="3">
        <v>25153.99</v>
      </c>
      <c r="G57" s="3">
        <v>0</v>
      </c>
      <c r="H57" s="3">
        <v>25153.99</v>
      </c>
      <c r="I57" s="34">
        <f>Tableau1[[#This Row],[FNADT]]+Tableau1[[#This Row],[Agriculture]]</f>
        <v>17607.79</v>
      </c>
      <c r="J57" s="35">
        <f>Tableau1[[#This Row],[FNADT]]/Tableau1[[#This Row],[Coût éligible Etat]]</f>
        <v>0</v>
      </c>
      <c r="L57" s="3">
        <v>17607.79</v>
      </c>
      <c r="N57" s="34">
        <f t="shared" si="3"/>
        <v>0</v>
      </c>
      <c r="O57" s="3">
        <v>0</v>
      </c>
      <c r="U57" s="34"/>
      <c r="AR57" s="87" t="s">
        <v>269</v>
      </c>
      <c r="AS57" s="94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</row>
    <row r="58" spans="1:74" x14ac:dyDescent="0.25">
      <c r="A58" s="1">
        <v>2</v>
      </c>
      <c r="B58" s="1" t="s">
        <v>117</v>
      </c>
      <c r="C58" s="1" t="s">
        <v>126</v>
      </c>
      <c r="D58" s="1" t="s">
        <v>54</v>
      </c>
      <c r="E58" s="3">
        <v>16449.03</v>
      </c>
      <c r="G58" s="3">
        <v>0</v>
      </c>
      <c r="H58" s="3">
        <v>16449.03</v>
      </c>
      <c r="I58" s="34">
        <f>Tableau1[[#This Row],[FNADT]]+Tableau1[[#This Row],[Agriculture]]</f>
        <v>11514.32</v>
      </c>
      <c r="J58" s="35">
        <f>Tableau1[[#This Row],[FNADT]]/Tableau1[[#This Row],[Coût éligible Etat]]</f>
        <v>0</v>
      </c>
      <c r="L58" s="3">
        <v>11514.32</v>
      </c>
      <c r="N58" s="34">
        <f t="shared" si="3"/>
        <v>0</v>
      </c>
      <c r="O58" s="3">
        <v>0</v>
      </c>
      <c r="U58" s="34"/>
      <c r="AR58" s="87" t="s">
        <v>269</v>
      </c>
      <c r="AS58" s="94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</row>
    <row r="59" spans="1:74" x14ac:dyDescent="0.25">
      <c r="A59" s="1">
        <v>2</v>
      </c>
      <c r="B59" s="1" t="s">
        <v>119</v>
      </c>
      <c r="C59" s="1" t="s">
        <v>127</v>
      </c>
      <c r="D59" s="1" t="s">
        <v>54</v>
      </c>
      <c r="E59" s="3">
        <v>23124.25</v>
      </c>
      <c r="G59" s="3">
        <v>0</v>
      </c>
      <c r="H59" s="3">
        <v>23124.25</v>
      </c>
      <c r="I59" s="34">
        <f>Tableau1[[#This Row],[FNADT]]+Tableau1[[#This Row],[Agriculture]]</f>
        <v>10405.91</v>
      </c>
      <c r="J59" s="35">
        <f>Tableau1[[#This Row],[FNADT]]/Tableau1[[#This Row],[Coût éligible Etat]]</f>
        <v>0</v>
      </c>
      <c r="L59" s="3">
        <v>10405.91</v>
      </c>
      <c r="N59" s="34">
        <f t="shared" si="3"/>
        <v>5781.06</v>
      </c>
      <c r="O59" s="3">
        <v>5781.06</v>
      </c>
      <c r="U59" s="34"/>
      <c r="AR59" s="87" t="s">
        <v>269</v>
      </c>
      <c r="AS59" s="94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</row>
    <row r="60" spans="1:74" x14ac:dyDescent="0.25">
      <c r="A60" s="1">
        <v>2</v>
      </c>
      <c r="B60" s="1" t="s">
        <v>107</v>
      </c>
      <c r="C60" s="1" t="s">
        <v>56</v>
      </c>
      <c r="D60" s="1" t="s">
        <v>54</v>
      </c>
      <c r="E60" s="3">
        <v>41812.730000000003</v>
      </c>
      <c r="G60" s="3">
        <v>0</v>
      </c>
      <c r="H60" s="3">
        <v>41812.730000000003</v>
      </c>
      <c r="I60" s="34">
        <f>Tableau1[[#This Row],[FNADT]]+Tableau1[[#This Row],[Agriculture]]</f>
        <v>29268.91</v>
      </c>
      <c r="J60" s="35">
        <f>Tableau1[[#This Row],[FNADT]]/Tableau1[[#This Row],[Coût éligible Etat]]</f>
        <v>0</v>
      </c>
      <c r="L60" s="3">
        <v>29268.91</v>
      </c>
      <c r="N60" s="34">
        <f t="shared" si="3"/>
        <v>0</v>
      </c>
      <c r="O60" s="3">
        <v>0</v>
      </c>
      <c r="U60" s="34"/>
      <c r="AR60" s="87" t="s">
        <v>269</v>
      </c>
      <c r="AS60" s="94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</row>
    <row r="61" spans="1:74" x14ac:dyDescent="0.25">
      <c r="A61" s="1">
        <v>2</v>
      </c>
      <c r="B61" s="1" t="s">
        <v>108</v>
      </c>
      <c r="C61" s="1" t="s">
        <v>57</v>
      </c>
      <c r="D61" s="1" t="s">
        <v>54</v>
      </c>
      <c r="E61" s="3">
        <v>20490.14</v>
      </c>
      <c r="G61" s="3">
        <v>0</v>
      </c>
      <c r="H61" s="3">
        <v>20490.13</v>
      </c>
      <c r="I61" s="34">
        <f>Tableau1[[#This Row],[FNADT]]+Tableau1[[#This Row],[Agriculture]]</f>
        <v>14343.1</v>
      </c>
      <c r="J61" s="35">
        <f>Tableau1[[#This Row],[FNADT]]/Tableau1[[#This Row],[Coût éligible Etat]]</f>
        <v>0</v>
      </c>
      <c r="L61" s="3">
        <v>14343.1</v>
      </c>
      <c r="N61" s="34">
        <f t="shared" si="3"/>
        <v>0</v>
      </c>
      <c r="O61" s="3">
        <v>0</v>
      </c>
      <c r="U61" s="34"/>
      <c r="AR61" s="87" t="s">
        <v>269</v>
      </c>
      <c r="AS61" s="94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</row>
    <row r="62" spans="1:74" x14ac:dyDescent="0.25">
      <c r="A62" s="1">
        <v>2</v>
      </c>
      <c r="B62" s="1" t="s">
        <v>106</v>
      </c>
      <c r="C62" s="1" t="s">
        <v>55</v>
      </c>
      <c r="D62" s="1" t="s">
        <v>54</v>
      </c>
      <c r="E62" s="3">
        <v>34246.22</v>
      </c>
      <c r="G62" s="3">
        <v>0</v>
      </c>
      <c r="H62" s="3">
        <v>34246.22</v>
      </c>
      <c r="I62" s="34">
        <f>Tableau1[[#This Row],[FNADT]]+Tableau1[[#This Row],[Agriculture]]</f>
        <v>23972.36</v>
      </c>
      <c r="J62" s="35">
        <f>Tableau1[[#This Row],[FNADT]]/Tableau1[[#This Row],[Coût éligible Etat]]</f>
        <v>0</v>
      </c>
      <c r="L62" s="3">
        <v>23972.36</v>
      </c>
      <c r="N62" s="34">
        <f t="shared" si="3"/>
        <v>0</v>
      </c>
      <c r="O62" s="3">
        <v>0</v>
      </c>
      <c r="U62" s="34"/>
      <c r="AR62" s="87" t="s">
        <v>269</v>
      </c>
      <c r="AS62" s="94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</row>
    <row r="63" spans="1:74" x14ac:dyDescent="0.25">
      <c r="A63" s="1">
        <v>2</v>
      </c>
      <c r="B63" s="1" t="s">
        <v>120</v>
      </c>
      <c r="C63" s="1" t="s">
        <v>68</v>
      </c>
      <c r="D63" s="1" t="s">
        <v>54</v>
      </c>
      <c r="E63" s="3">
        <v>5617.81</v>
      </c>
      <c r="G63" s="3">
        <v>0</v>
      </c>
      <c r="H63" s="3">
        <v>5617.81</v>
      </c>
      <c r="I63" s="34">
        <f>Tableau1[[#This Row],[FNADT]]+Tableau1[[#This Row],[Agriculture]]</f>
        <v>3932.47</v>
      </c>
      <c r="J63" s="35">
        <f>Tableau1[[#This Row],[FNADT]]/Tableau1[[#This Row],[Coût éligible Etat]]</f>
        <v>0</v>
      </c>
      <c r="L63" s="3">
        <v>3932.47</v>
      </c>
      <c r="N63" s="34">
        <f t="shared" si="3"/>
        <v>0</v>
      </c>
      <c r="O63" s="3">
        <v>0</v>
      </c>
      <c r="U63" s="34"/>
      <c r="AR63" s="87" t="s">
        <v>269</v>
      </c>
      <c r="AS63" s="94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</row>
    <row r="64" spans="1:74" x14ac:dyDescent="0.25">
      <c r="A64" s="1">
        <v>2</v>
      </c>
      <c r="B64" s="1" t="s">
        <v>121</v>
      </c>
      <c r="C64" s="1" t="s">
        <v>128</v>
      </c>
      <c r="D64" s="1" t="s">
        <v>54</v>
      </c>
      <c r="E64" s="3">
        <v>31573.65</v>
      </c>
      <c r="G64" s="3">
        <v>0</v>
      </c>
      <c r="H64" s="3">
        <v>31573.65</v>
      </c>
      <c r="I64" s="34">
        <f>Tableau1[[#This Row],[FNADT]]+Tableau1[[#This Row],[Agriculture]]</f>
        <v>14208.14</v>
      </c>
      <c r="J64" s="35">
        <f>Tableau1[[#This Row],[FNADT]]/Tableau1[[#This Row],[Coût éligible Etat]]</f>
        <v>0</v>
      </c>
      <c r="L64" s="3">
        <v>14208.14</v>
      </c>
      <c r="N64" s="34">
        <f t="shared" si="3"/>
        <v>7893.41</v>
      </c>
      <c r="O64" s="3">
        <v>7893.41</v>
      </c>
      <c r="U64" s="34"/>
      <c r="AR64" s="87" t="s">
        <v>269</v>
      </c>
      <c r="AS64" s="94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</row>
    <row r="65" spans="1:74" x14ac:dyDescent="0.25">
      <c r="A65" s="1">
        <v>2</v>
      </c>
      <c r="B65" s="1" t="s">
        <v>122</v>
      </c>
      <c r="C65" s="1" t="s">
        <v>66</v>
      </c>
      <c r="D65" s="1" t="s">
        <v>54</v>
      </c>
      <c r="E65" s="3">
        <v>129403.02</v>
      </c>
      <c r="G65" s="3">
        <v>0</v>
      </c>
      <c r="H65" s="3">
        <v>129403.02</v>
      </c>
      <c r="I65" s="34">
        <f>Tableau1[[#This Row],[FNADT]]+Tableau1[[#This Row],[Agriculture]]</f>
        <v>71171.66</v>
      </c>
      <c r="J65" s="35">
        <f>Tableau1[[#This Row],[FNADT]]/Tableau1[[#This Row],[Coût éligible Etat]]</f>
        <v>0</v>
      </c>
      <c r="L65" s="3">
        <v>71171.66</v>
      </c>
      <c r="N65" s="34">
        <f t="shared" si="3"/>
        <v>19410.45</v>
      </c>
      <c r="O65" s="3">
        <v>19410.45</v>
      </c>
      <c r="U65" s="34"/>
      <c r="AR65" s="87" t="s">
        <v>269</v>
      </c>
      <c r="AS65" s="94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</row>
    <row r="66" spans="1:74" x14ac:dyDescent="0.25">
      <c r="A66" s="26"/>
      <c r="B66" s="26"/>
      <c r="C66" s="26" t="s">
        <v>196</v>
      </c>
      <c r="D66" s="77"/>
      <c r="E66" s="78">
        <f>SUM(E53:E65)</f>
        <v>407752.10000000003</v>
      </c>
      <c r="F66" s="78">
        <f t="shared" ref="F66:U66" si="4">SUM(F53:F65)</f>
        <v>0</v>
      </c>
      <c r="G66" s="78">
        <f t="shared" si="4"/>
        <v>0</v>
      </c>
      <c r="H66" s="78">
        <f t="shared" si="4"/>
        <v>406700.85000000003</v>
      </c>
      <c r="I66" s="79">
        <f t="shared" si="4"/>
        <v>241898.06000000003</v>
      </c>
      <c r="J66" s="80"/>
      <c r="K66" s="79">
        <f t="shared" si="4"/>
        <v>0</v>
      </c>
      <c r="L66" s="78">
        <f t="shared" si="4"/>
        <v>241898.06000000003</v>
      </c>
      <c r="M66" s="78"/>
      <c r="N66" s="79">
        <f t="shared" si="4"/>
        <v>47917.19</v>
      </c>
      <c r="O66" s="78">
        <f t="shared" si="4"/>
        <v>47917.19</v>
      </c>
      <c r="P66" s="78">
        <f t="shared" si="4"/>
        <v>0</v>
      </c>
      <c r="Q66" s="78">
        <f t="shared" si="4"/>
        <v>0</v>
      </c>
      <c r="R66" s="78">
        <f t="shared" si="4"/>
        <v>0</v>
      </c>
      <c r="S66" s="78">
        <f t="shared" si="4"/>
        <v>0</v>
      </c>
      <c r="T66" s="78">
        <f t="shared" si="4"/>
        <v>0</v>
      </c>
      <c r="U66" s="78">
        <f t="shared" si="4"/>
        <v>0</v>
      </c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81"/>
      <c r="AR66" s="89"/>
      <c r="AS66" s="9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</row>
    <row r="67" spans="1:74" s="5" customFormat="1" ht="105" x14ac:dyDescent="0.25">
      <c r="A67" s="71">
        <v>2</v>
      </c>
      <c r="B67" s="71" t="s">
        <v>299</v>
      </c>
      <c r="C67" s="71" t="s">
        <v>303</v>
      </c>
      <c r="D67" s="71" t="s">
        <v>304</v>
      </c>
      <c r="E67" s="101">
        <v>82880</v>
      </c>
      <c r="F67" s="101">
        <v>82880</v>
      </c>
      <c r="G67" s="101">
        <v>41304</v>
      </c>
      <c r="H67" s="101"/>
      <c r="I67" s="45"/>
      <c r="J67" s="102"/>
      <c r="K67" s="116">
        <v>16576</v>
      </c>
      <c r="L67" s="101"/>
      <c r="M67" s="101"/>
      <c r="N67" s="45"/>
      <c r="O67" s="101"/>
      <c r="P67" s="101"/>
      <c r="Q67" s="101"/>
      <c r="R67" s="101"/>
      <c r="S67" s="101"/>
      <c r="T67" s="101"/>
      <c r="U67" s="45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8"/>
      <c r="AR67" s="98" t="s">
        <v>269</v>
      </c>
      <c r="AS67" s="99" t="s">
        <v>310</v>
      </c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  <c r="BE67" s="100"/>
      <c r="BF67" s="100"/>
      <c r="BG67" s="100"/>
      <c r="BH67" s="100"/>
      <c r="BI67" s="100"/>
      <c r="BJ67" s="100"/>
      <c r="BK67" s="100"/>
      <c r="BL67" s="100"/>
      <c r="BM67" s="100"/>
      <c r="BN67" s="100"/>
      <c r="BO67" s="100"/>
      <c r="BP67" s="100"/>
      <c r="BQ67" s="100"/>
      <c r="BR67" s="100"/>
      <c r="BS67" s="100"/>
      <c r="BT67" s="100"/>
      <c r="BU67" s="100"/>
      <c r="BV67" s="100"/>
    </row>
    <row r="68" spans="1:74" s="5" customFormat="1" ht="105" x14ac:dyDescent="0.25">
      <c r="A68" s="71">
        <v>2</v>
      </c>
      <c r="B68" s="71" t="s">
        <v>300</v>
      </c>
      <c r="C68" s="71" t="s">
        <v>305</v>
      </c>
      <c r="D68" s="71" t="s">
        <v>304</v>
      </c>
      <c r="E68" s="101">
        <v>260000</v>
      </c>
      <c r="F68" s="101">
        <v>262696.65000000002</v>
      </c>
      <c r="G68" s="101">
        <v>65674</v>
      </c>
      <c r="H68" s="101"/>
      <c r="I68" s="45"/>
      <c r="J68" s="102"/>
      <c r="K68" s="116">
        <v>65000</v>
      </c>
      <c r="L68" s="101"/>
      <c r="M68" s="101"/>
      <c r="N68" s="45"/>
      <c r="O68" s="101"/>
      <c r="P68" s="101"/>
      <c r="Q68" s="101"/>
      <c r="R68" s="101"/>
      <c r="S68" s="101"/>
      <c r="T68" s="101"/>
      <c r="U68" s="45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8"/>
      <c r="AR68" s="98" t="s">
        <v>269</v>
      </c>
      <c r="AS68" s="99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0"/>
      <c r="BM68" s="100"/>
      <c r="BN68" s="100"/>
      <c r="BO68" s="100"/>
      <c r="BP68" s="100"/>
      <c r="BQ68" s="100"/>
      <c r="BR68" s="100"/>
      <c r="BS68" s="100"/>
      <c r="BT68" s="100"/>
      <c r="BU68" s="100"/>
      <c r="BV68" s="100"/>
    </row>
    <row r="69" spans="1:74" s="5" customFormat="1" ht="105" x14ac:dyDescent="0.25">
      <c r="A69" s="71">
        <v>2</v>
      </c>
      <c r="B69" s="71" t="s">
        <v>301</v>
      </c>
      <c r="C69" s="71" t="s">
        <v>306</v>
      </c>
      <c r="D69" s="71" t="s">
        <v>304</v>
      </c>
      <c r="E69" s="101">
        <v>172000</v>
      </c>
      <c r="F69" s="101">
        <v>159975.03</v>
      </c>
      <c r="G69" s="101">
        <v>79987</v>
      </c>
      <c r="H69" s="101"/>
      <c r="I69" s="45"/>
      <c r="J69" s="102"/>
      <c r="K69" s="116">
        <v>34400</v>
      </c>
      <c r="L69" s="101"/>
      <c r="M69" s="101"/>
      <c r="N69" s="45"/>
      <c r="O69" s="101"/>
      <c r="P69" s="101"/>
      <c r="Q69" s="101"/>
      <c r="R69" s="101"/>
      <c r="S69" s="101"/>
      <c r="T69" s="101"/>
      <c r="U69" s="45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8"/>
      <c r="AR69" s="98" t="s">
        <v>269</v>
      </c>
      <c r="AS69" s="99" t="s">
        <v>325</v>
      </c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  <c r="BE69" s="100"/>
      <c r="BF69" s="100"/>
      <c r="BG69" s="100"/>
      <c r="BH69" s="100"/>
      <c r="BI69" s="100"/>
      <c r="BJ69" s="100"/>
      <c r="BK69" s="100"/>
      <c r="BL69" s="100"/>
      <c r="BM69" s="100"/>
      <c r="BN69" s="100"/>
      <c r="BO69" s="100"/>
      <c r="BP69" s="100"/>
      <c r="BQ69" s="100"/>
      <c r="BR69" s="100"/>
      <c r="BS69" s="100"/>
      <c r="BT69" s="100"/>
      <c r="BU69" s="100"/>
      <c r="BV69" s="100"/>
    </row>
    <row r="70" spans="1:74" s="5" customFormat="1" ht="41.25" customHeight="1" x14ac:dyDescent="0.25">
      <c r="A70" s="71">
        <v>2</v>
      </c>
      <c r="B70" s="71" t="s">
        <v>302</v>
      </c>
      <c r="C70" s="71" t="s">
        <v>307</v>
      </c>
      <c r="D70" s="71" t="s">
        <v>304</v>
      </c>
      <c r="E70" s="101">
        <v>172000</v>
      </c>
      <c r="F70" s="101">
        <v>166218.20000000001</v>
      </c>
      <c r="G70" s="101">
        <v>83109.100000000006</v>
      </c>
      <c r="H70" s="101"/>
      <c r="I70" s="45"/>
      <c r="J70" s="102"/>
      <c r="K70" s="116">
        <v>34400</v>
      </c>
      <c r="L70" s="101"/>
      <c r="M70" s="101"/>
      <c r="N70" s="45"/>
      <c r="O70" s="101"/>
      <c r="P70" s="101"/>
      <c r="Q70" s="101"/>
      <c r="R70" s="101"/>
      <c r="S70" s="101"/>
      <c r="T70" s="101"/>
      <c r="U70" s="45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8"/>
      <c r="AR70" s="98" t="s">
        <v>269</v>
      </c>
      <c r="AS70" s="99"/>
      <c r="AT70" s="100"/>
      <c r="AU70" s="100"/>
      <c r="AV70" s="100"/>
      <c r="AW70" s="100"/>
      <c r="AX70" s="100"/>
      <c r="AY70" s="100"/>
      <c r="AZ70" s="100"/>
      <c r="BA70" s="100"/>
      <c r="BB70" s="100"/>
      <c r="BC70" s="100"/>
      <c r="BD70" s="100"/>
      <c r="BE70" s="100"/>
      <c r="BF70" s="100"/>
      <c r="BG70" s="100"/>
      <c r="BH70" s="100"/>
      <c r="BI70" s="100"/>
      <c r="BJ70" s="100"/>
      <c r="BK70" s="100"/>
      <c r="BL70" s="100"/>
      <c r="BM70" s="100"/>
      <c r="BN70" s="100"/>
      <c r="BO70" s="100"/>
      <c r="BP70" s="100"/>
      <c r="BQ70" s="100"/>
      <c r="BR70" s="100"/>
      <c r="BS70" s="100"/>
      <c r="BT70" s="100"/>
      <c r="BU70" s="100"/>
      <c r="BV70" s="100"/>
    </row>
    <row r="71" spans="1:74" s="12" customFormat="1" x14ac:dyDescent="0.25">
      <c r="A71" s="65"/>
      <c r="B71" s="65"/>
      <c r="C71" s="65" t="s">
        <v>196</v>
      </c>
      <c r="D71" s="65"/>
      <c r="E71" s="113">
        <f>SUM(E67:E70)</f>
        <v>686880</v>
      </c>
      <c r="F71" s="113">
        <f t="shared" ref="F71:AQ71" si="5">SUM(F67:F70)</f>
        <v>671769.88000000012</v>
      </c>
      <c r="G71" s="113">
        <f t="shared" si="5"/>
        <v>270074.09999999998</v>
      </c>
      <c r="H71" s="113">
        <f t="shared" si="5"/>
        <v>0</v>
      </c>
      <c r="I71" s="113">
        <f t="shared" si="5"/>
        <v>0</v>
      </c>
      <c r="J71" s="113">
        <f t="shared" si="5"/>
        <v>0</v>
      </c>
      <c r="K71" s="117">
        <f t="shared" si="5"/>
        <v>150376</v>
      </c>
      <c r="L71" s="113">
        <f t="shared" si="5"/>
        <v>0</v>
      </c>
      <c r="M71" s="113">
        <f t="shared" si="5"/>
        <v>0</v>
      </c>
      <c r="N71" s="113">
        <f t="shared" si="5"/>
        <v>0</v>
      </c>
      <c r="O71" s="113">
        <f t="shared" si="5"/>
        <v>0</v>
      </c>
      <c r="P71" s="113">
        <f t="shared" si="5"/>
        <v>0</v>
      </c>
      <c r="Q71" s="113">
        <f t="shared" si="5"/>
        <v>0</v>
      </c>
      <c r="R71" s="113">
        <f t="shared" si="5"/>
        <v>0</v>
      </c>
      <c r="S71" s="113">
        <f t="shared" si="5"/>
        <v>0</v>
      </c>
      <c r="T71" s="113">
        <f t="shared" si="5"/>
        <v>0</v>
      </c>
      <c r="U71" s="113">
        <f t="shared" si="5"/>
        <v>0</v>
      </c>
      <c r="V71" s="113">
        <f t="shared" si="5"/>
        <v>0</v>
      </c>
      <c r="W71" s="113">
        <f t="shared" si="5"/>
        <v>0</v>
      </c>
      <c r="X71" s="113">
        <f t="shared" si="5"/>
        <v>0</v>
      </c>
      <c r="Y71" s="113">
        <f t="shared" si="5"/>
        <v>0</v>
      </c>
      <c r="Z71" s="113">
        <f t="shared" si="5"/>
        <v>0</v>
      </c>
      <c r="AA71" s="113">
        <f t="shared" si="5"/>
        <v>0</v>
      </c>
      <c r="AB71" s="113">
        <f t="shared" si="5"/>
        <v>0</v>
      </c>
      <c r="AC71" s="113">
        <f t="shared" si="5"/>
        <v>0</v>
      </c>
      <c r="AD71" s="113">
        <f t="shared" si="5"/>
        <v>0</v>
      </c>
      <c r="AE71" s="113">
        <f t="shared" si="5"/>
        <v>0</v>
      </c>
      <c r="AF71" s="113">
        <f t="shared" si="5"/>
        <v>0</v>
      </c>
      <c r="AG71" s="113">
        <f t="shared" si="5"/>
        <v>0</v>
      </c>
      <c r="AH71" s="113">
        <f t="shared" si="5"/>
        <v>0</v>
      </c>
      <c r="AI71" s="113">
        <f t="shared" si="5"/>
        <v>0</v>
      </c>
      <c r="AJ71" s="113">
        <f t="shared" si="5"/>
        <v>0</v>
      </c>
      <c r="AK71" s="113">
        <f t="shared" si="5"/>
        <v>0</v>
      </c>
      <c r="AL71" s="113">
        <f t="shared" si="5"/>
        <v>0</v>
      </c>
      <c r="AM71" s="113">
        <f t="shared" si="5"/>
        <v>0</v>
      </c>
      <c r="AN71" s="113">
        <f t="shared" si="5"/>
        <v>0</v>
      </c>
      <c r="AO71" s="113">
        <f t="shared" si="5"/>
        <v>0</v>
      </c>
      <c r="AP71" s="113">
        <f t="shared" si="5"/>
        <v>0</v>
      </c>
      <c r="AQ71" s="113">
        <f t="shared" si="5"/>
        <v>0</v>
      </c>
      <c r="AR71" s="114"/>
      <c r="AS71" s="114"/>
    </row>
    <row r="72" spans="1:74" ht="75" x14ac:dyDescent="0.25">
      <c r="A72" s="1">
        <v>2</v>
      </c>
      <c r="B72" s="1" t="s">
        <v>32</v>
      </c>
      <c r="C72" s="1" t="s">
        <v>33</v>
      </c>
      <c r="D72" s="1" t="s">
        <v>34</v>
      </c>
      <c r="E72" s="3">
        <v>94800</v>
      </c>
      <c r="F72" s="3">
        <v>90590.58</v>
      </c>
      <c r="G72" s="3">
        <v>30813.41</v>
      </c>
      <c r="H72" s="3">
        <v>94098.6</v>
      </c>
      <c r="I72" s="34">
        <f>SUM(Tableau1[[#This Row],[FNADT]:[Agriculture]])</f>
        <v>7600</v>
      </c>
      <c r="J72" s="35">
        <f>(K72/H72)</f>
        <v>8.0766345089087394E-2</v>
      </c>
      <c r="K72" s="34">
        <v>7600</v>
      </c>
      <c r="N72" s="34">
        <f t="shared" si="1"/>
        <v>25000</v>
      </c>
      <c r="O72" s="3">
        <v>0</v>
      </c>
      <c r="T72" s="3">
        <v>25000</v>
      </c>
      <c r="U72" s="34">
        <f t="shared" si="2"/>
        <v>0</v>
      </c>
      <c r="AR72" s="87" t="s">
        <v>269</v>
      </c>
      <c r="AS72" s="94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</row>
    <row r="73" spans="1:74" ht="30" x14ac:dyDescent="0.25">
      <c r="A73" s="1">
        <v>4</v>
      </c>
      <c r="C73" s="1" t="s">
        <v>245</v>
      </c>
      <c r="D73" s="1" t="s">
        <v>246</v>
      </c>
      <c r="E73" s="3">
        <v>1249561</v>
      </c>
      <c r="G73" s="3">
        <v>0</v>
      </c>
      <c r="H73" s="3">
        <v>1249561</v>
      </c>
      <c r="I73" s="34">
        <f>SUM(Tableau1[[#This Row],[FNADT]:[Agriculture]])</f>
        <v>625000</v>
      </c>
      <c r="J73" s="35">
        <f>(K73/H73)</f>
        <v>0.50017566169238636</v>
      </c>
      <c r="K73" s="34">
        <v>625000</v>
      </c>
      <c r="N73" s="34">
        <v>0</v>
      </c>
      <c r="U73" s="34"/>
      <c r="AR73" s="87" t="s">
        <v>269</v>
      </c>
      <c r="AS73" s="94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</row>
    <row r="74" spans="1:74" ht="45" x14ac:dyDescent="0.25">
      <c r="A74" s="1">
        <v>4</v>
      </c>
      <c r="C74" s="1" t="s">
        <v>245</v>
      </c>
      <c r="D74" s="1" t="s">
        <v>247</v>
      </c>
      <c r="E74" s="3">
        <f>1606179</f>
        <v>1606179</v>
      </c>
      <c r="G74" s="3">
        <v>0</v>
      </c>
      <c r="H74" s="3">
        <v>1606179</v>
      </c>
      <c r="I74" s="34">
        <v>800000</v>
      </c>
      <c r="J74" s="35">
        <f t="shared" si="0"/>
        <v>0.49807649085189137</v>
      </c>
      <c r="K74" s="34">
        <v>800000</v>
      </c>
      <c r="N74" s="34"/>
      <c r="U74" s="34"/>
      <c r="AR74" s="87" t="s">
        <v>269</v>
      </c>
      <c r="AS74" s="94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</row>
    <row r="75" spans="1:74" ht="45.75" customHeight="1" x14ac:dyDescent="0.25">
      <c r="A75" s="1">
        <v>2</v>
      </c>
      <c r="C75" s="1" t="s">
        <v>59</v>
      </c>
      <c r="D75" s="1" t="s">
        <v>60</v>
      </c>
      <c r="E75" s="16">
        <v>416949.56</v>
      </c>
      <c r="F75" s="16"/>
      <c r="G75" s="82">
        <v>0</v>
      </c>
      <c r="H75" s="3">
        <v>376949.56</v>
      </c>
      <c r="I75" s="34">
        <f>SUM(Tableau1[[#This Row],[FNADT]:[Agriculture]])</f>
        <v>175936</v>
      </c>
      <c r="J75" s="35">
        <f>(K75/H75)</f>
        <v>0.46673618613588513</v>
      </c>
      <c r="K75" s="34">
        <v>175936</v>
      </c>
      <c r="N75" s="34">
        <f t="shared" ref="N75:N81" si="6">SUM(O75:T75)</f>
        <v>37500</v>
      </c>
      <c r="O75" s="3">
        <v>37500</v>
      </c>
      <c r="U75" s="34">
        <f t="shared" ref="U75:U88" si="7">SUM(V75:AQ75)</f>
        <v>30450.879999999997</v>
      </c>
      <c r="Y75" s="3">
        <v>7281.74</v>
      </c>
      <c r="Z75" s="3">
        <v>2347</v>
      </c>
      <c r="AA75" s="3">
        <v>2500</v>
      </c>
      <c r="AG75" s="3">
        <v>13344</v>
      </c>
      <c r="AI75" s="3">
        <v>978.14</v>
      </c>
      <c r="AK75" s="3">
        <v>4000</v>
      </c>
      <c r="AR75" s="87" t="s">
        <v>269</v>
      </c>
      <c r="AS75" s="94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</row>
    <row r="76" spans="1:74" ht="135" x14ac:dyDescent="0.25">
      <c r="A76" s="1">
        <v>2</v>
      </c>
      <c r="C76" s="1" t="s">
        <v>38</v>
      </c>
      <c r="D76" s="1" t="s">
        <v>37</v>
      </c>
      <c r="E76" s="3">
        <v>216657.6</v>
      </c>
      <c r="G76" s="82">
        <v>0</v>
      </c>
      <c r="H76" s="3">
        <v>216657.6</v>
      </c>
      <c r="I76" s="34">
        <f>SUM(Tableau1[[#This Row],[FNADT]:[Agriculture]])</f>
        <v>100000</v>
      </c>
      <c r="J76" s="35">
        <f>(K76/H76)</f>
        <v>0.4615577759561631</v>
      </c>
      <c r="K76" s="34">
        <v>100000</v>
      </c>
      <c r="N76" s="34">
        <f t="shared" si="6"/>
        <v>0</v>
      </c>
      <c r="U76" s="34">
        <f t="shared" si="7"/>
        <v>0</v>
      </c>
      <c r="AR76" s="87" t="s">
        <v>269</v>
      </c>
      <c r="AS76" s="94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</row>
    <row r="77" spans="1:74" ht="75" x14ac:dyDescent="0.25">
      <c r="A77" s="1">
        <v>2</v>
      </c>
      <c r="C77" s="1" t="s">
        <v>39</v>
      </c>
      <c r="D77" s="1" t="s">
        <v>40</v>
      </c>
      <c r="E77" s="3">
        <v>287244.5</v>
      </c>
      <c r="G77" s="82">
        <v>0</v>
      </c>
      <c r="H77" s="3">
        <v>287244.5</v>
      </c>
      <c r="I77" s="34">
        <f>SUM(Tableau1[[#This Row],[FNADT]:[Agriculture]])</f>
        <v>57448</v>
      </c>
      <c r="J77" s="35">
        <f>(K77/H77)</f>
        <v>0.19999686678073905</v>
      </c>
      <c r="K77" s="34">
        <v>57448</v>
      </c>
      <c r="N77" s="34">
        <f t="shared" si="6"/>
        <v>126000</v>
      </c>
      <c r="O77" s="3">
        <v>90000</v>
      </c>
      <c r="R77" s="3">
        <v>9000</v>
      </c>
      <c r="T77" s="3">
        <v>27000</v>
      </c>
      <c r="U77" s="34">
        <f t="shared" si="7"/>
        <v>0</v>
      </c>
      <c r="AR77" s="87" t="s">
        <v>269</v>
      </c>
      <c r="AS77" s="94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</row>
    <row r="78" spans="1:74" ht="105" x14ac:dyDescent="0.25">
      <c r="A78" s="1">
        <v>1</v>
      </c>
      <c r="B78" s="1" t="s">
        <v>93</v>
      </c>
      <c r="C78" s="1" t="s">
        <v>94</v>
      </c>
      <c r="D78" s="1" t="s">
        <v>95</v>
      </c>
      <c r="E78" s="3">
        <v>1108000</v>
      </c>
      <c r="G78" s="3">
        <v>0</v>
      </c>
      <c r="H78" s="3">
        <v>0</v>
      </c>
      <c r="I78" s="34">
        <f>SUM(Tableau1[[#This Row],[FNADT]:[Agriculture]])</f>
        <v>0</v>
      </c>
      <c r="J78" s="35"/>
      <c r="K78" s="34">
        <v>0</v>
      </c>
      <c r="N78" s="34">
        <f t="shared" si="6"/>
        <v>0</v>
      </c>
      <c r="Q78" s="3">
        <v>0</v>
      </c>
      <c r="R78" s="3">
        <v>0</v>
      </c>
      <c r="U78" s="34">
        <f t="shared" si="7"/>
        <v>0</v>
      </c>
      <c r="AR78" s="87" t="s">
        <v>270</v>
      </c>
      <c r="AS78" s="94" t="s">
        <v>296</v>
      </c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</row>
    <row r="79" spans="1:74" ht="45" x14ac:dyDescent="0.25">
      <c r="A79" s="1">
        <v>1</v>
      </c>
      <c r="B79" s="1" t="s">
        <v>111</v>
      </c>
      <c r="C79" s="1" t="s">
        <v>112</v>
      </c>
      <c r="D79" s="1" t="s">
        <v>113</v>
      </c>
      <c r="E79" s="3">
        <v>84000</v>
      </c>
      <c r="F79" s="3">
        <v>60266.58</v>
      </c>
      <c r="G79" s="3">
        <v>21719.79</v>
      </c>
      <c r="H79" s="3">
        <v>0</v>
      </c>
      <c r="I79" s="34">
        <f>SUM(Tableau1[[#This Row],[FNADT]:[Agriculture]])</f>
        <v>0</v>
      </c>
      <c r="J79" s="35"/>
      <c r="K79" s="34">
        <v>0</v>
      </c>
      <c r="M79" s="3">
        <v>18492.580000000002</v>
      </c>
      <c r="N79" s="34">
        <f t="shared" si="6"/>
        <v>6500</v>
      </c>
      <c r="Q79" s="3">
        <v>6500</v>
      </c>
      <c r="U79" s="34">
        <v>1500</v>
      </c>
      <c r="AI79" s="3">
        <v>1500</v>
      </c>
      <c r="AR79" s="87" t="s">
        <v>269</v>
      </c>
      <c r="AS79" s="94" t="s">
        <v>297</v>
      </c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</row>
    <row r="80" spans="1:74" ht="75" x14ac:dyDescent="0.25">
      <c r="A80" s="1">
        <v>1</v>
      </c>
      <c r="B80" s="1" t="s">
        <v>50</v>
      </c>
      <c r="C80" s="1" t="s">
        <v>51</v>
      </c>
      <c r="D80" s="1" t="s">
        <v>52</v>
      </c>
      <c r="E80" s="3">
        <v>200731.84</v>
      </c>
      <c r="G80" s="3">
        <v>0</v>
      </c>
      <c r="H80" s="3">
        <v>172131.84</v>
      </c>
      <c r="I80" s="34">
        <f>SUM(Tableau1[[#This Row],[FNADT]:[Agriculture]])</f>
        <v>51000</v>
      </c>
      <c r="J80" s="35">
        <f>(K80/H80)</f>
        <v>0.29628452237540714</v>
      </c>
      <c r="K80" s="34">
        <v>51000</v>
      </c>
      <c r="M80" s="3">
        <v>8000</v>
      </c>
      <c r="N80" s="34">
        <f t="shared" si="6"/>
        <v>42500</v>
      </c>
      <c r="R80" s="3">
        <v>17500</v>
      </c>
      <c r="T80" s="3">
        <v>25000</v>
      </c>
      <c r="U80" s="34">
        <f t="shared" si="7"/>
        <v>0</v>
      </c>
      <c r="W80" s="3">
        <v>0</v>
      </c>
      <c r="AR80" s="87" t="s">
        <v>269</v>
      </c>
      <c r="AS80" s="94" t="s">
        <v>298</v>
      </c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</row>
    <row r="81" spans="1:74" ht="75" x14ac:dyDescent="0.25">
      <c r="A81" s="1">
        <v>1</v>
      </c>
      <c r="B81" s="1" t="s">
        <v>101</v>
      </c>
      <c r="C81" s="1" t="s">
        <v>5</v>
      </c>
      <c r="D81" s="1" t="s">
        <v>102</v>
      </c>
      <c r="E81" s="3">
        <v>110978.95</v>
      </c>
      <c r="F81" s="3">
        <v>110978.84</v>
      </c>
      <c r="G81" s="3">
        <v>44391.58</v>
      </c>
      <c r="H81" s="3">
        <v>110978.95</v>
      </c>
      <c r="I81" s="34">
        <f>SUM(Tableau1[[#This Row],[FNADT]:[Agriculture]])</f>
        <v>24000</v>
      </c>
      <c r="J81" s="35">
        <f>(K81/H81)</f>
        <v>0.2162572271588441</v>
      </c>
      <c r="K81" s="34">
        <v>24000</v>
      </c>
      <c r="N81" s="34">
        <f t="shared" si="6"/>
        <v>4000</v>
      </c>
      <c r="O81" s="3">
        <v>4000</v>
      </c>
      <c r="S81" s="3">
        <v>0</v>
      </c>
      <c r="U81" s="34">
        <f t="shared" si="7"/>
        <v>2000</v>
      </c>
      <c r="V81" s="3">
        <v>2000</v>
      </c>
      <c r="Y81" s="3">
        <v>0</v>
      </c>
      <c r="AD81" s="3">
        <v>0</v>
      </c>
      <c r="AR81" s="87" t="s">
        <v>269</v>
      </c>
      <c r="AS81" s="94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</row>
    <row r="82" spans="1:74" ht="56.25" x14ac:dyDescent="0.25">
      <c r="A82" s="1">
        <v>1</v>
      </c>
      <c r="B82" s="1" t="s">
        <v>4</v>
      </c>
      <c r="C82" s="1" t="s">
        <v>5</v>
      </c>
      <c r="D82" s="1" t="s">
        <v>16</v>
      </c>
      <c r="E82" s="3">
        <v>134361.31</v>
      </c>
      <c r="G82" s="3">
        <v>0</v>
      </c>
      <c r="H82" s="3">
        <v>0</v>
      </c>
      <c r="I82" s="34">
        <f>SUM(Tableau1[[#This Row],[FNADT]:[Agriculture]])</f>
        <v>0</v>
      </c>
      <c r="J82" s="35"/>
      <c r="K82" s="34">
        <v>0</v>
      </c>
      <c r="N82" s="34">
        <v>0</v>
      </c>
      <c r="O82" s="3">
        <v>0</v>
      </c>
      <c r="P82" s="3">
        <v>0</v>
      </c>
      <c r="R82" s="3">
        <v>0</v>
      </c>
      <c r="S82" s="3">
        <v>0</v>
      </c>
      <c r="U82" s="34">
        <f t="shared" si="7"/>
        <v>0</v>
      </c>
      <c r="AR82" s="87" t="s">
        <v>261</v>
      </c>
      <c r="AS82" s="94" t="s">
        <v>308</v>
      </c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</row>
    <row r="83" spans="1:74" ht="27.75" customHeight="1" x14ac:dyDescent="0.25">
      <c r="A83" s="1">
        <v>4</v>
      </c>
      <c r="B83" s="1" t="s">
        <v>329</v>
      </c>
      <c r="C83" s="1" t="s">
        <v>244</v>
      </c>
      <c r="D83" s="21" t="s">
        <v>197</v>
      </c>
      <c r="E83" s="3">
        <v>125000</v>
      </c>
      <c r="F83" s="3">
        <v>125000</v>
      </c>
      <c r="G83" s="3">
        <v>55000</v>
      </c>
      <c r="H83" s="3">
        <v>125000</v>
      </c>
      <c r="I83" s="34">
        <f>SUM(Tableau1[[#This Row],[FNADT]:[Agriculture]])</f>
        <v>25000</v>
      </c>
      <c r="J83" s="35">
        <f t="shared" ref="J83:J88" si="8">(K83/H83)</f>
        <v>0.2</v>
      </c>
      <c r="K83" s="34">
        <v>25000</v>
      </c>
      <c r="N83" s="34"/>
      <c r="U83" s="34">
        <f t="shared" si="7"/>
        <v>0</v>
      </c>
      <c r="AR83" s="87" t="s">
        <v>269</v>
      </c>
      <c r="AS83" s="94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</row>
    <row r="84" spans="1:74" ht="120" x14ac:dyDescent="0.25">
      <c r="A84" s="1">
        <v>4</v>
      </c>
      <c r="B84" s="1" t="s">
        <v>252</v>
      </c>
      <c r="C84" s="1" t="s">
        <v>254</v>
      </c>
      <c r="D84" s="75" t="s">
        <v>197</v>
      </c>
      <c r="E84" s="3">
        <v>5500</v>
      </c>
      <c r="F84" s="3">
        <v>5500</v>
      </c>
      <c r="G84" s="3">
        <v>4400</v>
      </c>
      <c r="H84" s="3">
        <v>0</v>
      </c>
      <c r="I84" s="34"/>
      <c r="J84" s="35"/>
      <c r="K84" s="34">
        <v>0</v>
      </c>
      <c r="N84" s="34"/>
      <c r="U84" s="34"/>
      <c r="AR84" s="87" t="s">
        <v>269</v>
      </c>
      <c r="AS84" s="94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</row>
    <row r="85" spans="1:74" s="12" customFormat="1" ht="120" x14ac:dyDescent="0.25">
      <c r="A85" s="1">
        <v>4</v>
      </c>
      <c r="B85" s="1" t="s">
        <v>253</v>
      </c>
      <c r="C85" s="1" t="s">
        <v>255</v>
      </c>
      <c r="D85" s="75" t="s">
        <v>197</v>
      </c>
      <c r="E85" s="3">
        <v>19500</v>
      </c>
      <c r="F85" s="3">
        <v>19500</v>
      </c>
      <c r="G85" s="3">
        <v>15600</v>
      </c>
      <c r="H85" s="3">
        <v>0</v>
      </c>
      <c r="I85" s="34"/>
      <c r="J85" s="35"/>
      <c r="K85" s="34">
        <v>0</v>
      </c>
      <c r="L85" s="3"/>
      <c r="M85" s="3"/>
      <c r="N85" s="34"/>
      <c r="O85" s="3"/>
      <c r="P85" s="3"/>
      <c r="Q85" s="3"/>
      <c r="R85" s="3"/>
      <c r="S85" s="3"/>
      <c r="T85" s="3"/>
      <c r="U85" s="34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87" t="s">
        <v>269</v>
      </c>
      <c r="AS85" s="94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</row>
    <row r="86" spans="1:74" ht="45" x14ac:dyDescent="0.25">
      <c r="A86" s="1">
        <v>4</v>
      </c>
      <c r="C86" s="1" t="s">
        <v>243</v>
      </c>
      <c r="D86" s="1" t="s">
        <v>173</v>
      </c>
      <c r="E86" s="3">
        <v>25900</v>
      </c>
      <c r="F86" s="3">
        <v>25900</v>
      </c>
      <c r="G86" s="3">
        <v>0</v>
      </c>
      <c r="H86" s="3">
        <v>25900</v>
      </c>
      <c r="I86" s="34">
        <f>SUM(Tableau1[[#This Row],[FNADT]:[Agriculture]])</f>
        <v>25900</v>
      </c>
      <c r="J86" s="35">
        <f t="shared" si="8"/>
        <v>1</v>
      </c>
      <c r="K86" s="34">
        <v>25900</v>
      </c>
      <c r="N86" s="34">
        <f>SUM(O86:T86)</f>
        <v>0</v>
      </c>
      <c r="O86" s="58"/>
      <c r="U86" s="34">
        <f t="shared" si="7"/>
        <v>0</v>
      </c>
      <c r="AR86" s="87" t="s">
        <v>269</v>
      </c>
      <c r="AS86" s="94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</row>
    <row r="87" spans="1:74" ht="24.75" customHeight="1" x14ac:dyDescent="0.25">
      <c r="A87" s="1">
        <v>3</v>
      </c>
      <c r="B87" s="1" t="s">
        <v>69</v>
      </c>
      <c r="C87" s="1" t="s">
        <v>311</v>
      </c>
      <c r="D87" s="1" t="s">
        <v>312</v>
      </c>
      <c r="E87" s="3">
        <v>479421.42</v>
      </c>
      <c r="F87" s="3">
        <v>464297.77</v>
      </c>
      <c r="G87" s="3">
        <v>232148.52</v>
      </c>
      <c r="H87" s="3">
        <v>479421.42</v>
      </c>
      <c r="I87" s="34">
        <f>SUM(Tableau1[[#This Row],[FNADT]:[Agriculture]])</f>
        <v>48900.36</v>
      </c>
      <c r="J87" s="35">
        <f t="shared" si="8"/>
        <v>0.10199869667900946</v>
      </c>
      <c r="K87" s="34">
        <v>48900.36</v>
      </c>
      <c r="L87" s="58"/>
      <c r="M87" s="58">
        <v>56900</v>
      </c>
      <c r="N87" s="34">
        <f>SUM(O87:T87)</f>
        <v>14000</v>
      </c>
      <c r="Q87" s="3">
        <v>7000</v>
      </c>
      <c r="S87" s="3">
        <v>7000</v>
      </c>
      <c r="U87" s="34">
        <f t="shared" si="7"/>
        <v>21000</v>
      </c>
      <c r="Y87" s="3">
        <v>21000</v>
      </c>
      <c r="AR87" s="87" t="s">
        <v>269</v>
      </c>
      <c r="AS87" s="94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</row>
    <row r="88" spans="1:74" ht="30" x14ac:dyDescent="0.25">
      <c r="A88" s="1">
        <v>1</v>
      </c>
      <c r="B88" s="1" t="s">
        <v>70</v>
      </c>
      <c r="C88" s="1" t="s">
        <v>71</v>
      </c>
      <c r="D88" s="1" t="s">
        <v>72</v>
      </c>
      <c r="E88" s="3">
        <v>243825.96</v>
      </c>
      <c r="F88" s="3">
        <v>170678</v>
      </c>
      <c r="G88" s="3">
        <v>0</v>
      </c>
      <c r="H88" s="3">
        <v>243825.96</v>
      </c>
      <c r="I88" s="34">
        <f>SUM(Tableau1[[#This Row],[FNADT]:[Agriculture]])</f>
        <v>105678</v>
      </c>
      <c r="J88" s="35">
        <f t="shared" si="8"/>
        <v>0.43341570356167164</v>
      </c>
      <c r="K88" s="34">
        <v>105678</v>
      </c>
      <c r="N88" s="34">
        <f>SUM(O88:T88)</f>
        <v>50000</v>
      </c>
      <c r="O88" s="3">
        <v>20000</v>
      </c>
      <c r="R88" s="3">
        <v>10000</v>
      </c>
      <c r="S88" s="3">
        <v>20000</v>
      </c>
      <c r="U88" s="34">
        <f t="shared" si="7"/>
        <v>9000</v>
      </c>
      <c r="Y88" s="3">
        <v>4000</v>
      </c>
      <c r="AK88" s="3">
        <v>5000</v>
      </c>
      <c r="AR88" s="87" t="s">
        <v>269</v>
      </c>
      <c r="AS88" s="94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</row>
    <row r="89" spans="1:74" x14ac:dyDescent="0.25">
      <c r="A89" s="12"/>
      <c r="B89" s="12"/>
      <c r="C89" t="s">
        <v>241</v>
      </c>
      <c r="D89" s="61"/>
      <c r="E89" s="29">
        <f>SUM(E72:E88)+E71+E66+E52+E44+E38+E24+E13</f>
        <v>10815128.359999998</v>
      </c>
      <c r="F89" s="29">
        <f t="shared" ref="F89:U89" si="9">SUM(F72:F88)+F71+F66+F52+F44+F38+F24+F13</f>
        <v>3786529.5100000002</v>
      </c>
      <c r="G89" s="29">
        <f t="shared" si="9"/>
        <v>1485586.23</v>
      </c>
      <c r="H89" s="29">
        <f t="shared" si="9"/>
        <v>8431159.7599999998</v>
      </c>
      <c r="I89" s="29">
        <f t="shared" si="9"/>
        <v>3262818.88</v>
      </c>
      <c r="J89" s="29">
        <f t="shared" si="9"/>
        <v>4.4552654762810855</v>
      </c>
      <c r="K89" s="29">
        <f t="shared" si="9"/>
        <v>2868189.1500000004</v>
      </c>
      <c r="L89" s="29">
        <f t="shared" si="9"/>
        <v>545005.73</v>
      </c>
      <c r="M89" s="29">
        <f t="shared" si="9"/>
        <v>83392.58</v>
      </c>
      <c r="N89" s="29">
        <f t="shared" si="9"/>
        <v>427546.7</v>
      </c>
      <c r="O89" s="29">
        <f t="shared" si="9"/>
        <v>199417.19</v>
      </c>
      <c r="P89" s="29">
        <f t="shared" si="9"/>
        <v>0</v>
      </c>
      <c r="Q89" s="29">
        <f t="shared" si="9"/>
        <v>13500</v>
      </c>
      <c r="R89" s="29">
        <f t="shared" si="9"/>
        <v>36500</v>
      </c>
      <c r="S89" s="29">
        <f t="shared" si="9"/>
        <v>27000</v>
      </c>
      <c r="T89" s="29">
        <f t="shared" si="9"/>
        <v>77000</v>
      </c>
      <c r="U89" s="29">
        <f t="shared" si="9"/>
        <v>65436.829999999994</v>
      </c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 s="90"/>
      <c r="AS89" s="97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</row>
    <row r="90" spans="1:74" x14ac:dyDescent="0.25">
      <c r="D90" s="21"/>
      <c r="I90" s="34"/>
      <c r="J90" s="35"/>
      <c r="N90" s="34"/>
      <c r="AR90" s="87"/>
      <c r="AS90" s="87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</row>
    <row r="91" spans="1:74" x14ac:dyDescent="0.25">
      <c r="D91" s="21"/>
      <c r="I91" s="34"/>
      <c r="J91" s="35"/>
      <c r="N91" s="34"/>
      <c r="AR91" s="87"/>
      <c r="AS91" s="87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</row>
    <row r="92" spans="1:74" x14ac:dyDescent="0.25">
      <c r="D92" s="21"/>
      <c r="I92" s="34"/>
      <c r="J92" s="35"/>
      <c r="N92" s="34"/>
      <c r="AR92" s="87"/>
      <c r="AS92" s="87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</row>
    <row r="93" spans="1:74" x14ac:dyDescent="0.25">
      <c r="D93" s="21"/>
      <c r="I93" s="34"/>
      <c r="J93" s="35"/>
      <c r="N93" s="34"/>
      <c r="AR93" s="87"/>
      <c r="AS93" s="87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</row>
    <row r="94" spans="1:74" x14ac:dyDescent="0.25">
      <c r="D94" s="21"/>
      <c r="I94" s="34"/>
      <c r="J94" s="35"/>
      <c r="N94" s="34"/>
      <c r="AR94" s="87"/>
      <c r="AS94" s="87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</row>
    <row r="95" spans="1:74" x14ac:dyDescent="0.25">
      <c r="D95" s="21"/>
      <c r="I95" s="34"/>
      <c r="J95" s="35"/>
      <c r="N95" s="34"/>
      <c r="AR95" s="87"/>
      <c r="AS95" s="87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</row>
    <row r="96" spans="1:74" x14ac:dyDescent="0.25">
      <c r="D96" s="21"/>
      <c r="I96" s="34"/>
      <c r="J96" s="35"/>
      <c r="N96" s="34"/>
      <c r="AR96" s="87"/>
      <c r="AS96" s="87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</row>
    <row r="97" spans="1:74" x14ac:dyDescent="0.25">
      <c r="D97" s="21"/>
      <c r="I97" s="34"/>
      <c r="J97" s="35"/>
      <c r="N97" s="34"/>
      <c r="AR97" s="87"/>
      <c r="AS97" s="87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</row>
    <row r="98" spans="1:74" x14ac:dyDescent="0.25">
      <c r="D98" s="21"/>
      <c r="I98" s="34"/>
      <c r="J98" s="35"/>
      <c r="N98" s="34"/>
      <c r="AR98" s="87"/>
      <c r="AS98" s="87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</row>
    <row r="99" spans="1:74" x14ac:dyDescent="0.25">
      <c r="D99" s="21"/>
      <c r="I99" s="34"/>
      <c r="J99" s="35"/>
      <c r="N99" s="34"/>
      <c r="AR99" s="87"/>
      <c r="AS99" s="87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</row>
    <row r="100" spans="1:74" x14ac:dyDescent="0.25">
      <c r="D100" s="21"/>
      <c r="I100" s="34"/>
      <c r="J100" s="35"/>
      <c r="N100" s="34"/>
      <c r="AR100" s="87"/>
      <c r="AS100" s="87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</row>
    <row r="101" spans="1:74" x14ac:dyDescent="0.25">
      <c r="D101" s="21"/>
      <c r="I101" s="34"/>
      <c r="J101" s="35"/>
      <c r="N101" s="34"/>
      <c r="AR101" s="87"/>
      <c r="AS101" s="87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</row>
    <row r="102" spans="1:74" x14ac:dyDescent="0.25">
      <c r="D102" s="21"/>
      <c r="I102" s="34"/>
      <c r="J102" s="35"/>
      <c r="N102" s="34"/>
      <c r="AR102" s="87"/>
      <c r="AS102" s="87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</row>
    <row r="103" spans="1:74" x14ac:dyDescent="0.25">
      <c r="D103" s="21"/>
      <c r="I103" s="34"/>
      <c r="J103" s="35"/>
      <c r="N103" s="34"/>
      <c r="AR103" s="87"/>
      <c r="AS103" s="87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</row>
    <row r="104" spans="1:74" x14ac:dyDescent="0.25">
      <c r="D104" s="21"/>
      <c r="I104" s="34"/>
      <c r="J104" s="35"/>
      <c r="N104" s="34"/>
      <c r="AR104" s="87"/>
      <c r="AS104" s="87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</row>
    <row r="105" spans="1:74" x14ac:dyDescent="0.25">
      <c r="D105" s="21"/>
      <c r="I105" s="34"/>
      <c r="J105" s="35"/>
      <c r="N105" s="34"/>
      <c r="AR105" s="87"/>
      <c r="AS105" s="87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</row>
    <row r="106" spans="1:74" x14ac:dyDescent="0.25">
      <c r="D106" s="21"/>
      <c r="I106" s="34"/>
      <c r="J106" s="35"/>
      <c r="N106" s="34"/>
      <c r="AR106" s="87"/>
      <c r="AS106" s="87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</row>
    <row r="107" spans="1:74" x14ac:dyDescent="0.25">
      <c r="D107" s="21"/>
      <c r="I107" s="34"/>
      <c r="J107" s="35"/>
      <c r="N107" s="34"/>
      <c r="AR107" s="87"/>
      <c r="AS107" s="87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</row>
    <row r="108" spans="1:74" x14ac:dyDescent="0.25">
      <c r="D108" s="21"/>
      <c r="I108" s="34"/>
      <c r="J108" s="35"/>
      <c r="N108" s="34"/>
      <c r="AR108" s="87"/>
      <c r="AS108" s="87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</row>
    <row r="109" spans="1:74" s="12" customFormat="1" x14ac:dyDescent="0.25">
      <c r="A109" s="1"/>
      <c r="B109" s="1"/>
      <c r="C109" s="1"/>
      <c r="D109" s="21"/>
      <c r="E109" s="3"/>
      <c r="F109" s="3"/>
      <c r="G109" s="3"/>
      <c r="H109" s="3"/>
      <c r="I109" s="34"/>
      <c r="J109" s="35"/>
      <c r="K109" s="34"/>
      <c r="L109" s="3"/>
      <c r="M109" s="3"/>
      <c r="N109" s="34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87"/>
      <c r="AS109" s="87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</row>
    <row r="110" spans="1:74" x14ac:dyDescent="0.25">
      <c r="D110" s="21"/>
      <c r="I110" s="34"/>
      <c r="J110" s="35"/>
      <c r="N110" s="34"/>
      <c r="AR110" s="87"/>
      <c r="AS110" s="87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</row>
    <row r="111" spans="1:74" x14ac:dyDescent="0.25">
      <c r="D111" s="21"/>
      <c r="I111" s="34"/>
      <c r="J111" s="35"/>
      <c r="N111" s="34"/>
      <c r="AR111" s="87"/>
      <c r="AS111" s="87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</row>
    <row r="112" spans="1:74" x14ac:dyDescent="0.25">
      <c r="D112" s="21"/>
      <c r="I112" s="34"/>
      <c r="J112" s="35"/>
      <c r="N112" s="34"/>
      <c r="AR112" s="87"/>
      <c r="AS112" s="87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</row>
    <row r="113" spans="4:74" x14ac:dyDescent="0.25">
      <c r="D113" s="21"/>
      <c r="I113" s="34"/>
      <c r="J113" s="35"/>
      <c r="N113" s="34"/>
      <c r="AQ113" s="54">
        <f>SUM(AQ72:AQ83)+AQ52+AQ44+AQ38+AQ24+AQ13</f>
        <v>0</v>
      </c>
      <c r="AR113" s="90"/>
      <c r="AS113" s="90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</row>
    <row r="114" spans="4:74" x14ac:dyDescent="0.25">
      <c r="D114" s="21"/>
      <c r="I114" s="34"/>
      <c r="J114" s="35"/>
      <c r="N114" s="34"/>
      <c r="AR114" s="87"/>
      <c r="AS114" s="87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</row>
    <row r="115" spans="4:74" x14ac:dyDescent="0.25">
      <c r="D115" s="21"/>
      <c r="I115" s="34"/>
      <c r="J115" s="35"/>
      <c r="N115" s="34"/>
      <c r="AR115" s="87"/>
      <c r="AS115" s="87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</row>
    <row r="116" spans="4:74" x14ac:dyDescent="0.25">
      <c r="D116" s="21"/>
      <c r="I116" s="34"/>
      <c r="J116" s="35"/>
      <c r="N116" s="34"/>
      <c r="AR116" s="87"/>
      <c r="AS116" s="87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</row>
    <row r="117" spans="4:74" x14ac:dyDescent="0.25">
      <c r="D117" s="21"/>
      <c r="I117" s="34"/>
      <c r="J117" s="35"/>
      <c r="N117" s="34"/>
      <c r="AR117" s="87"/>
      <c r="AS117" s="87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</row>
    <row r="118" spans="4:74" x14ac:dyDescent="0.25">
      <c r="D118" s="21"/>
      <c r="I118" s="34"/>
      <c r="J118" s="35"/>
      <c r="N118" s="34"/>
      <c r="AR118" s="87"/>
      <c r="AS118" s="87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</row>
    <row r="119" spans="4:74" x14ac:dyDescent="0.25">
      <c r="D119" s="21"/>
      <c r="I119" s="34"/>
      <c r="J119" s="35"/>
      <c r="N119" s="34"/>
      <c r="AR119" s="87"/>
      <c r="AS119" s="87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</row>
    <row r="120" spans="4:74" x14ac:dyDescent="0.25">
      <c r="D120" s="21"/>
      <c r="I120" s="34"/>
      <c r="J120" s="35"/>
      <c r="N120" s="34"/>
      <c r="AR120" s="87"/>
      <c r="AS120" s="87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</row>
    <row r="121" spans="4:74" x14ac:dyDescent="0.25">
      <c r="D121" s="21"/>
      <c r="I121" s="34"/>
      <c r="J121" s="35"/>
      <c r="N121" s="34"/>
      <c r="AR121" s="87"/>
      <c r="AS121" s="87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</row>
    <row r="122" spans="4:74" x14ac:dyDescent="0.25">
      <c r="D122" s="21"/>
      <c r="I122" s="34"/>
      <c r="J122" s="35"/>
      <c r="N122" s="34"/>
      <c r="AR122" s="87"/>
      <c r="AS122" s="87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</row>
    <row r="123" spans="4:74" x14ac:dyDescent="0.25">
      <c r="D123" s="21"/>
      <c r="I123" s="34"/>
      <c r="J123" s="35"/>
      <c r="N123" s="34"/>
      <c r="AR123" s="87"/>
      <c r="AS123" s="87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</row>
    <row r="124" spans="4:74" x14ac:dyDescent="0.25">
      <c r="D124" s="21"/>
      <c r="I124" s="34"/>
      <c r="J124" s="35"/>
      <c r="N124" s="34"/>
      <c r="AR124" s="87"/>
      <c r="AS124" s="87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</row>
    <row r="125" spans="4:74" x14ac:dyDescent="0.25">
      <c r="D125" s="21"/>
      <c r="I125" s="34"/>
      <c r="J125" s="35"/>
      <c r="N125" s="34"/>
      <c r="AR125" s="87"/>
      <c r="AS125" s="87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</row>
    <row r="126" spans="4:74" x14ac:dyDescent="0.25">
      <c r="D126" s="21"/>
      <c r="I126" s="34"/>
      <c r="J126" s="35"/>
      <c r="N126" s="34"/>
      <c r="AR126" s="87"/>
      <c r="AS126" s="87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</row>
    <row r="127" spans="4:74" x14ac:dyDescent="0.25">
      <c r="D127" s="21"/>
      <c r="I127" s="34"/>
      <c r="J127" s="35"/>
      <c r="N127" s="34"/>
      <c r="AR127" s="87"/>
      <c r="AS127" s="87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</row>
    <row r="128" spans="4:74" x14ac:dyDescent="0.25">
      <c r="D128" s="21"/>
      <c r="I128" s="34"/>
      <c r="J128" s="35"/>
      <c r="N128" s="34"/>
      <c r="AR128" s="87"/>
      <c r="AS128" s="87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</row>
    <row r="129" spans="1:74" x14ac:dyDescent="0.25">
      <c r="D129" s="21"/>
      <c r="I129" s="34"/>
      <c r="J129" s="35"/>
      <c r="N129" s="34"/>
      <c r="AR129" s="87"/>
      <c r="AS129" s="87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</row>
    <row r="130" spans="1:74" x14ac:dyDescent="0.25">
      <c r="D130" s="21"/>
      <c r="I130" s="34"/>
      <c r="J130" s="35"/>
      <c r="N130" s="34"/>
      <c r="AR130" s="87"/>
      <c r="AS130" s="87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</row>
    <row r="131" spans="1:74" x14ac:dyDescent="0.25">
      <c r="D131" s="21"/>
      <c r="I131" s="34"/>
      <c r="J131" s="35"/>
      <c r="N131" s="34"/>
      <c r="AR131" s="87"/>
      <c r="AS131" s="87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</row>
    <row r="132" spans="1:74" x14ac:dyDescent="0.25">
      <c r="D132" s="21"/>
      <c r="I132" s="34"/>
      <c r="J132" s="35"/>
      <c r="N132" s="34"/>
      <c r="AR132" s="87"/>
      <c r="AS132" s="87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</row>
    <row r="133" spans="1:74" x14ac:dyDescent="0.25">
      <c r="D133" s="21"/>
      <c r="I133" s="34"/>
      <c r="J133" s="35"/>
      <c r="N133" s="34"/>
      <c r="AR133" s="87"/>
      <c r="AS133" s="87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  <c r="BT133" s="36"/>
      <c r="BU133" s="36"/>
      <c r="BV133" s="36"/>
    </row>
    <row r="134" spans="1:74" x14ac:dyDescent="0.25">
      <c r="D134" s="21"/>
      <c r="I134" s="34"/>
      <c r="J134" s="35"/>
      <c r="N134" s="34"/>
      <c r="AR134" s="87"/>
      <c r="AS134" s="87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  <c r="BT134" s="36"/>
      <c r="BU134" s="36"/>
      <c r="BV134" s="36"/>
    </row>
    <row r="135" spans="1:74" x14ac:dyDescent="0.25">
      <c r="D135" s="21"/>
      <c r="I135" s="34"/>
      <c r="J135" s="35"/>
      <c r="N135" s="34"/>
      <c r="AR135" s="87"/>
      <c r="AS135" s="87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  <c r="BT135" s="36"/>
      <c r="BU135" s="36"/>
      <c r="BV135" s="36"/>
    </row>
    <row r="136" spans="1:74" x14ac:dyDescent="0.25">
      <c r="D136" s="21"/>
      <c r="I136" s="34"/>
      <c r="J136" s="35"/>
      <c r="N136" s="34"/>
      <c r="AR136" s="87"/>
      <c r="AS136" s="87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36"/>
      <c r="BV136" s="36"/>
    </row>
    <row r="137" spans="1:74" x14ac:dyDescent="0.25">
      <c r="D137" s="21"/>
      <c r="I137" s="34"/>
      <c r="J137" s="35"/>
      <c r="N137" s="34"/>
      <c r="AR137" s="87"/>
      <c r="AS137" s="87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  <c r="BT137" s="36"/>
      <c r="BU137" s="36"/>
      <c r="BV137" s="36"/>
    </row>
    <row r="138" spans="1:74" x14ac:dyDescent="0.25">
      <c r="D138" s="21"/>
      <c r="I138" s="34"/>
      <c r="J138" s="35"/>
      <c r="N138" s="34"/>
      <c r="AR138" s="87"/>
      <c r="AS138" s="87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  <c r="BU138" s="36"/>
      <c r="BV138" s="36"/>
    </row>
    <row r="139" spans="1:74" x14ac:dyDescent="0.25">
      <c r="D139" s="21"/>
      <c r="I139" s="34"/>
      <c r="J139" s="35"/>
      <c r="N139" s="34"/>
      <c r="AR139" s="87"/>
      <c r="AS139" s="87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  <c r="BU139" s="36"/>
      <c r="BV139" s="36"/>
    </row>
    <row r="140" spans="1:74" x14ac:dyDescent="0.25">
      <c r="A140" s="12"/>
      <c r="B140" s="12"/>
      <c r="C140" s="12"/>
      <c r="D140" s="12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R140" s="87"/>
      <c r="AS140" s="87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  <c r="BO140" s="36"/>
      <c r="BP140" s="36"/>
      <c r="BQ140" s="36"/>
      <c r="BR140" s="36"/>
      <c r="BS140" s="36"/>
      <c r="BT140" s="36"/>
      <c r="BU140" s="36"/>
      <c r="BV140" s="36"/>
    </row>
    <row r="141" spans="1:74" x14ac:dyDescent="0.25">
      <c r="AR141" s="87"/>
      <c r="AS141" s="87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  <c r="BQ141" s="36"/>
      <c r="BR141" s="36"/>
      <c r="BS141" s="36"/>
      <c r="BT141" s="36"/>
      <c r="BU141" s="36"/>
      <c r="BV141" s="36"/>
    </row>
    <row r="142" spans="1:74" x14ac:dyDescent="0.25">
      <c r="AR142" s="87"/>
      <c r="AS142" s="87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6"/>
      <c r="BR142" s="36"/>
      <c r="BS142" s="36"/>
      <c r="BT142" s="36"/>
      <c r="BU142" s="36"/>
      <c r="BV142" s="36"/>
    </row>
    <row r="143" spans="1:74" x14ac:dyDescent="0.25">
      <c r="AR143" s="87"/>
      <c r="AS143" s="87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  <c r="BQ143" s="36"/>
      <c r="BR143" s="36"/>
      <c r="BS143" s="36"/>
      <c r="BT143" s="36"/>
      <c r="BU143" s="36"/>
      <c r="BV143" s="36"/>
    </row>
    <row r="144" spans="1:74" x14ac:dyDescent="0.25">
      <c r="AR144" s="87"/>
      <c r="AS144" s="87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  <c r="BT144" s="36"/>
      <c r="BU144" s="36"/>
      <c r="BV144" s="36"/>
    </row>
    <row r="145" spans="44:74" x14ac:dyDescent="0.25">
      <c r="AR145" s="87"/>
      <c r="AS145" s="87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  <c r="BT145" s="36"/>
      <c r="BU145" s="36"/>
      <c r="BV145" s="36"/>
    </row>
    <row r="146" spans="44:74" x14ac:dyDescent="0.25">
      <c r="AR146" s="87"/>
      <c r="AS146" s="87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  <c r="BR146" s="36"/>
      <c r="BS146" s="36"/>
      <c r="BT146" s="36"/>
      <c r="BU146" s="36"/>
      <c r="BV146" s="36"/>
    </row>
    <row r="147" spans="44:74" x14ac:dyDescent="0.25">
      <c r="AR147" s="87"/>
      <c r="AS147" s="87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  <c r="BT147" s="36"/>
      <c r="BU147" s="36"/>
      <c r="BV147" s="36"/>
    </row>
    <row r="148" spans="44:74" x14ac:dyDescent="0.25">
      <c r="AR148" s="87"/>
      <c r="AS148" s="87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  <c r="BT148" s="36"/>
      <c r="BU148" s="36"/>
      <c r="BV148" s="36"/>
    </row>
    <row r="149" spans="44:74" x14ac:dyDescent="0.25">
      <c r="AR149" s="87"/>
      <c r="AS149" s="87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  <c r="BQ149" s="36"/>
      <c r="BR149" s="36"/>
      <c r="BS149" s="36"/>
      <c r="BT149" s="36"/>
      <c r="BU149" s="36"/>
      <c r="BV149" s="36"/>
    </row>
    <row r="150" spans="44:74" x14ac:dyDescent="0.25">
      <c r="AR150" s="87"/>
      <c r="AS150" s="87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  <c r="BT150" s="36"/>
      <c r="BU150" s="36"/>
      <c r="BV150" s="36"/>
    </row>
    <row r="151" spans="44:74" x14ac:dyDescent="0.25">
      <c r="AR151" s="87"/>
      <c r="AS151" s="87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</row>
    <row r="152" spans="44:74" x14ac:dyDescent="0.25">
      <c r="AR152" s="87"/>
      <c r="AS152" s="87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  <c r="BT152" s="36"/>
      <c r="BU152" s="36"/>
      <c r="BV152" s="36"/>
    </row>
    <row r="153" spans="44:74" x14ac:dyDescent="0.25">
      <c r="AR153" s="87"/>
      <c r="AS153" s="87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  <c r="BT153" s="36"/>
      <c r="BU153" s="36"/>
      <c r="BV153" s="36"/>
    </row>
    <row r="154" spans="44:74" x14ac:dyDescent="0.25">
      <c r="AR154" s="87"/>
      <c r="AS154" s="87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  <c r="BT154" s="36"/>
      <c r="BU154" s="36"/>
      <c r="BV154" s="36"/>
    </row>
    <row r="155" spans="44:74" x14ac:dyDescent="0.25">
      <c r="AR155" s="87"/>
      <c r="AS155" s="87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</row>
    <row r="156" spans="44:74" x14ac:dyDescent="0.25">
      <c r="AR156" s="87"/>
      <c r="AS156" s="87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  <c r="BT156" s="36"/>
      <c r="BU156" s="36"/>
      <c r="BV156" s="36"/>
    </row>
    <row r="157" spans="44:74" x14ac:dyDescent="0.25">
      <c r="AR157" s="87"/>
      <c r="AS157" s="87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  <c r="BQ157" s="36"/>
      <c r="BR157" s="36"/>
      <c r="BS157" s="36"/>
      <c r="BT157" s="36"/>
      <c r="BU157" s="36"/>
      <c r="BV157" s="36"/>
    </row>
    <row r="158" spans="44:74" x14ac:dyDescent="0.25">
      <c r="AR158" s="87"/>
      <c r="AS158" s="87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  <c r="BR158" s="36"/>
      <c r="BS158" s="36"/>
      <c r="BT158" s="36"/>
      <c r="BU158" s="36"/>
      <c r="BV158" s="36"/>
    </row>
    <row r="159" spans="44:74" x14ac:dyDescent="0.25">
      <c r="AR159" s="87"/>
      <c r="AS159" s="87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  <c r="BP159" s="36"/>
      <c r="BQ159" s="36"/>
      <c r="BR159" s="36"/>
      <c r="BS159" s="36"/>
      <c r="BT159" s="36"/>
      <c r="BU159" s="36"/>
      <c r="BV159" s="36"/>
    </row>
    <row r="160" spans="44:74" x14ac:dyDescent="0.25">
      <c r="AR160" s="87"/>
      <c r="AS160" s="87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  <c r="BP160" s="36"/>
      <c r="BQ160" s="36"/>
      <c r="BR160" s="36"/>
      <c r="BS160" s="36"/>
      <c r="BT160" s="36"/>
      <c r="BU160" s="36"/>
      <c r="BV160" s="36"/>
    </row>
    <row r="161" spans="44:74" x14ac:dyDescent="0.25">
      <c r="AR161" s="87"/>
      <c r="AS161" s="87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  <c r="BT161" s="36"/>
      <c r="BU161" s="36"/>
      <c r="BV161" s="36"/>
    </row>
    <row r="162" spans="44:74" x14ac:dyDescent="0.25">
      <c r="AR162" s="87"/>
      <c r="AS162" s="87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</row>
    <row r="163" spans="44:74" x14ac:dyDescent="0.25">
      <c r="AR163" s="87"/>
      <c r="AS163" s="87"/>
    </row>
    <row r="164" spans="44:74" x14ac:dyDescent="0.25">
      <c r="AR164" s="87"/>
      <c r="AS164" s="87"/>
    </row>
    <row r="165" spans="44:74" x14ac:dyDescent="0.25">
      <c r="AR165" s="87"/>
      <c r="AS165" s="87"/>
    </row>
    <row r="166" spans="44:74" x14ac:dyDescent="0.25">
      <c r="AR166" s="87"/>
      <c r="AS166" s="87"/>
    </row>
    <row r="225" spans="11:11" x14ac:dyDescent="0.25">
      <c r="K225" s="15"/>
    </row>
  </sheetData>
  <sheetProtection sort="0" autoFilter="0"/>
  <conditionalFormatting sqref="AR2:AR89">
    <cfRule type="containsText" dxfId="442" priority="7" operator="containsText" text="Ajournement">
      <formula>NOT(ISERROR(SEARCH("Ajournement",AR2)))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:AR1048576">
    <cfRule type="cellIs" dxfId="441" priority="1" operator="equal">
      <formula>"Défavorable"</formula>
    </cfRule>
    <cfRule type="containsText" dxfId="440" priority="2" operator="containsText" text="Ajournement">
      <formula>NOT(ISERROR(SEARCH("Ajournement",AR1)))</formula>
    </cfRule>
    <cfRule type="containsText" dxfId="439" priority="3" operator="containsText" text="Favorable">
      <formula>NOT(ISERROR(SEARCH("Favorable",AR1)))</formula>
    </cfRule>
    <cfRule type="containsText" dxfId="438" priority="4" operator="containsText" text="Favorable">
      <formula>NOT(ISERROR(SEARCH("Favorable",AR1)))</formula>
    </cfRule>
    <cfRule type="containsText" dxfId="437" priority="5" operator="containsText" text="Ajournement">
      <formula>NOT(ISERROR(SEARCH("Ajournement",AR1)))</formula>
    </cfRule>
    <cfRule type="cellIs" dxfId="436" priority="6" operator="equal">
      <formula>"Favorable"</formula>
    </cfRule>
  </conditionalFormatting>
  <pageMargins left="0.70866141732283472" right="0.70866141732283472" top="0.74803149606299213" bottom="0.74803149606299213" header="0.31496062992125984" footer="0.31496062992125984"/>
  <pageSetup paperSize="8" scale="64" fitToHeight="0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8"/>
  <sheetViews>
    <sheetView view="pageBreakPreview" topLeftCell="D1" zoomScale="60" zoomScaleNormal="130" workbookViewId="0">
      <selection activeCell="H2" sqref="H2"/>
    </sheetView>
  </sheetViews>
  <sheetFormatPr baseColWidth="10" defaultRowHeight="15" outlineLevelCol="1" x14ac:dyDescent="0.25"/>
  <cols>
    <col min="1" max="2" width="11.42578125" style="13"/>
    <col min="3" max="3" width="27.140625" style="13" customWidth="1"/>
    <col min="4" max="4" width="30.7109375" style="13" customWidth="1"/>
    <col min="5" max="5" width="18.140625" style="13" customWidth="1"/>
    <col min="6" max="6" width="16.42578125" style="13" customWidth="1"/>
    <col min="7" max="7" width="14.28515625" style="13" customWidth="1"/>
    <col min="8" max="8" width="18.28515625" style="13" customWidth="1"/>
    <col min="9" max="9" width="14" style="13" customWidth="1"/>
    <col min="10" max="10" width="13.140625" style="13" customWidth="1"/>
    <col min="11" max="11" width="12.85546875" style="13" customWidth="1"/>
    <col min="12" max="12" width="14.5703125" style="13" customWidth="1"/>
    <col min="13" max="13" width="11.7109375" style="13" hidden="1" customWidth="1" outlineLevel="1"/>
    <col min="14" max="14" width="12.7109375" style="13" hidden="1" customWidth="1" outlineLevel="1"/>
    <col min="15" max="18" width="0" style="13" hidden="1" customWidth="1" outlineLevel="1"/>
    <col min="19" max="19" width="12.85546875" style="13" customWidth="1" collapsed="1"/>
    <col min="20" max="41" width="11.42578125" style="13" hidden="1" customWidth="1" outlineLevel="1"/>
    <col min="42" max="42" width="16.140625" style="13" customWidth="1" collapsed="1"/>
    <col min="43" max="16384" width="11.42578125" style="13"/>
  </cols>
  <sheetData>
    <row r="1" spans="1:42" s="11" customFormat="1" ht="45" x14ac:dyDescent="0.25">
      <c r="A1" s="11" t="s">
        <v>3</v>
      </c>
      <c r="B1" s="11" t="s">
        <v>0</v>
      </c>
      <c r="C1" s="11" t="s">
        <v>1</v>
      </c>
      <c r="D1" s="11" t="s">
        <v>2</v>
      </c>
      <c r="E1" s="15" t="s">
        <v>256</v>
      </c>
      <c r="F1" s="15" t="s">
        <v>257</v>
      </c>
      <c r="G1" s="15" t="s">
        <v>8</v>
      </c>
      <c r="H1" s="15" t="s">
        <v>179</v>
      </c>
      <c r="I1" s="15" t="s">
        <v>175</v>
      </c>
      <c r="J1" s="15" t="s">
        <v>9</v>
      </c>
      <c r="K1" s="15" t="s">
        <v>250</v>
      </c>
      <c r="L1" s="15" t="s">
        <v>176</v>
      </c>
      <c r="M1" s="15" t="s">
        <v>10</v>
      </c>
      <c r="N1" s="15" t="s">
        <v>11</v>
      </c>
      <c r="O1" s="15" t="s">
        <v>12</v>
      </c>
      <c r="P1" s="15" t="s">
        <v>13</v>
      </c>
      <c r="Q1" s="15" t="s">
        <v>14</v>
      </c>
      <c r="R1" s="15" t="s">
        <v>15</v>
      </c>
      <c r="S1" s="15" t="s">
        <v>177</v>
      </c>
      <c r="T1" s="31" t="s">
        <v>208</v>
      </c>
      <c r="U1" s="31" t="s">
        <v>209</v>
      </c>
      <c r="V1" s="31" t="s">
        <v>210</v>
      </c>
      <c r="W1" s="31" t="s">
        <v>211</v>
      </c>
      <c r="X1" s="31" t="s">
        <v>212</v>
      </c>
      <c r="Y1" s="31" t="s">
        <v>213</v>
      </c>
      <c r="Z1" s="31" t="s">
        <v>214</v>
      </c>
      <c r="AA1" s="31" t="s">
        <v>215</v>
      </c>
      <c r="AB1" s="31" t="s">
        <v>216</v>
      </c>
      <c r="AC1" s="31" t="s">
        <v>217</v>
      </c>
      <c r="AD1" s="31" t="s">
        <v>218</v>
      </c>
      <c r="AE1" s="31" t="s">
        <v>219</v>
      </c>
      <c r="AF1" s="31" t="s">
        <v>220</v>
      </c>
      <c r="AG1" s="31" t="s">
        <v>221</v>
      </c>
      <c r="AH1" s="31" t="s">
        <v>222</v>
      </c>
      <c r="AI1" s="31" t="s">
        <v>223</v>
      </c>
      <c r="AJ1" s="31" t="s">
        <v>224</v>
      </c>
      <c r="AK1" s="31" t="s">
        <v>225</v>
      </c>
      <c r="AL1" s="31" t="s">
        <v>226</v>
      </c>
      <c r="AM1" s="31" t="s">
        <v>227</v>
      </c>
      <c r="AN1" s="31" t="s">
        <v>228</v>
      </c>
      <c r="AO1" s="31" t="s">
        <v>229</v>
      </c>
      <c r="AP1" s="31" t="s">
        <v>260</v>
      </c>
    </row>
    <row r="2" spans="1:42" s="1" customFormat="1" x14ac:dyDescent="0.25">
      <c r="A2" s="1">
        <v>2</v>
      </c>
      <c r="B2" s="1" t="s">
        <v>157</v>
      </c>
      <c r="C2" s="1" t="s">
        <v>159</v>
      </c>
      <c r="D2" s="1" t="s">
        <v>158</v>
      </c>
      <c r="E2" s="3">
        <v>408393.06</v>
      </c>
      <c r="F2" s="3">
        <v>408393.06</v>
      </c>
      <c r="G2" s="3">
        <v>163357.22</v>
      </c>
      <c r="H2" s="3">
        <v>115090.56</v>
      </c>
      <c r="I2" s="3">
        <f>J2+K2</f>
        <v>34527.17</v>
      </c>
      <c r="J2" s="34">
        <v>34527.17</v>
      </c>
      <c r="K2" s="3"/>
      <c r="L2" s="3">
        <f>SUM(Tableau2[[#This Row],[Auvergne]:[RA]])</f>
        <v>34497.69</v>
      </c>
      <c r="M2" s="3"/>
      <c r="N2" s="3"/>
      <c r="O2" s="3">
        <v>21997.69</v>
      </c>
      <c r="P2" s="3"/>
      <c r="Q2" s="3">
        <v>12500</v>
      </c>
      <c r="R2" s="3"/>
      <c r="S2" s="3">
        <f>SUM(T2:AO2)</f>
        <v>0</v>
      </c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103" t="s">
        <v>269</v>
      </c>
    </row>
    <row r="3" spans="1:42" s="1" customFormat="1" ht="45" x14ac:dyDescent="0.25">
      <c r="A3" s="1">
        <v>2</v>
      </c>
      <c r="B3" s="1" t="s">
        <v>35</v>
      </c>
      <c r="C3" s="1" t="s">
        <v>313</v>
      </c>
      <c r="D3" s="1" t="s">
        <v>36</v>
      </c>
      <c r="E3" s="3">
        <v>260439.79</v>
      </c>
      <c r="F3" s="3">
        <v>258758.82</v>
      </c>
      <c r="G3" s="3">
        <v>102859</v>
      </c>
      <c r="H3" s="3">
        <v>260439.79</v>
      </c>
      <c r="I3" s="3">
        <f>J3+K3</f>
        <v>25925</v>
      </c>
      <c r="J3" s="34">
        <v>25925</v>
      </c>
      <c r="K3" s="3"/>
      <c r="L3" s="3">
        <f>SUM(Tableau2[[#This Row],[Auvergne]:[RA]])</f>
        <v>22655</v>
      </c>
      <c r="M3" s="3">
        <v>9655</v>
      </c>
      <c r="N3" s="3"/>
      <c r="O3" s="3">
        <v>13000</v>
      </c>
      <c r="P3" s="3"/>
      <c r="Q3" s="3"/>
      <c r="R3" s="3"/>
      <c r="S3" s="3">
        <f>SUM(T3:AO3)</f>
        <v>28420</v>
      </c>
      <c r="T3" s="3"/>
      <c r="U3" s="3"/>
      <c r="V3" s="3"/>
      <c r="W3" s="3"/>
      <c r="X3" s="3"/>
      <c r="Y3" s="3"/>
      <c r="Z3" s="3"/>
      <c r="AA3" s="3"/>
      <c r="AB3" s="3">
        <v>9000</v>
      </c>
      <c r="AC3" s="3"/>
      <c r="AD3" s="3"/>
      <c r="AE3" s="3">
        <v>10920</v>
      </c>
      <c r="AF3" s="3"/>
      <c r="AG3" s="3">
        <v>8500</v>
      </c>
      <c r="AH3" s="3"/>
      <c r="AI3" s="3"/>
      <c r="AJ3" s="3"/>
      <c r="AK3" s="3"/>
      <c r="AL3" s="3"/>
      <c r="AM3" s="3"/>
      <c r="AN3" s="3"/>
      <c r="AO3" s="3"/>
      <c r="AP3" s="103" t="s">
        <v>269</v>
      </c>
    </row>
    <row r="4" spans="1:42" s="12" customFormat="1" x14ac:dyDescent="0.25">
      <c r="A4" s="12" t="s">
        <v>156</v>
      </c>
      <c r="E4" s="54">
        <f t="shared" ref="E4:AO4" si="0">SUM(E2:E3)</f>
        <v>668832.85</v>
      </c>
      <c r="F4" s="54">
        <f t="shared" si="0"/>
        <v>667151.88</v>
      </c>
      <c r="G4" s="54">
        <f t="shared" si="0"/>
        <v>266216.21999999997</v>
      </c>
      <c r="H4" s="54">
        <f t="shared" si="0"/>
        <v>375530.35</v>
      </c>
      <c r="I4" s="54">
        <f t="shared" si="0"/>
        <v>60452.17</v>
      </c>
      <c r="J4" s="54">
        <f t="shared" si="0"/>
        <v>60452.17</v>
      </c>
      <c r="K4" s="54">
        <f t="shared" si="0"/>
        <v>0</v>
      </c>
      <c r="L4" s="54">
        <f t="shared" si="0"/>
        <v>57152.69</v>
      </c>
      <c r="M4" s="54">
        <f t="shared" si="0"/>
        <v>9655</v>
      </c>
      <c r="N4" s="54">
        <f t="shared" si="0"/>
        <v>0</v>
      </c>
      <c r="O4" s="54">
        <f t="shared" si="0"/>
        <v>34997.69</v>
      </c>
      <c r="P4" s="54">
        <f t="shared" si="0"/>
        <v>0</v>
      </c>
      <c r="Q4" s="54">
        <f t="shared" si="0"/>
        <v>12500</v>
      </c>
      <c r="R4" s="54">
        <f t="shared" si="0"/>
        <v>0</v>
      </c>
      <c r="S4" s="54">
        <f t="shared" si="0"/>
        <v>28420</v>
      </c>
      <c r="T4" s="54">
        <f t="shared" si="0"/>
        <v>0</v>
      </c>
      <c r="U4" s="54">
        <f t="shared" si="0"/>
        <v>0</v>
      </c>
      <c r="V4" s="54">
        <f t="shared" si="0"/>
        <v>0</v>
      </c>
      <c r="W4" s="54">
        <f t="shared" si="0"/>
        <v>0</v>
      </c>
      <c r="X4" s="54">
        <f t="shared" si="0"/>
        <v>0</v>
      </c>
      <c r="Y4" s="54">
        <f t="shared" si="0"/>
        <v>0</v>
      </c>
      <c r="Z4" s="54">
        <f t="shared" si="0"/>
        <v>0</v>
      </c>
      <c r="AA4" s="54">
        <f t="shared" si="0"/>
        <v>0</v>
      </c>
      <c r="AB4" s="54">
        <f t="shared" si="0"/>
        <v>9000</v>
      </c>
      <c r="AC4" s="54">
        <f t="shared" si="0"/>
        <v>0</v>
      </c>
      <c r="AD4" s="54">
        <f t="shared" si="0"/>
        <v>0</v>
      </c>
      <c r="AE4" s="54">
        <f t="shared" si="0"/>
        <v>10920</v>
      </c>
      <c r="AF4" s="54">
        <f t="shared" si="0"/>
        <v>0</v>
      </c>
      <c r="AG4" s="54">
        <f t="shared" si="0"/>
        <v>8500</v>
      </c>
      <c r="AH4" s="54">
        <f t="shared" si="0"/>
        <v>0</v>
      </c>
      <c r="AI4" s="54">
        <f t="shared" si="0"/>
        <v>0</v>
      </c>
      <c r="AJ4" s="54">
        <f t="shared" si="0"/>
        <v>0</v>
      </c>
      <c r="AK4" s="54">
        <f t="shared" si="0"/>
        <v>0</v>
      </c>
      <c r="AL4" s="54">
        <f t="shared" si="0"/>
        <v>0</v>
      </c>
      <c r="AM4" s="54">
        <f t="shared" si="0"/>
        <v>0</v>
      </c>
      <c r="AN4" s="54">
        <f t="shared" si="0"/>
        <v>0</v>
      </c>
      <c r="AO4" s="54">
        <f t="shared" si="0"/>
        <v>0</v>
      </c>
    </row>
    <row r="8" spans="1:42" x14ac:dyDescent="0.25">
      <c r="E8" s="64"/>
    </row>
  </sheetData>
  <sheetProtection sort="0" autoFilter="0"/>
  <pageMargins left="0.7" right="0.7" top="0.75" bottom="0.75" header="0.3" footer="0.3"/>
  <pageSetup paperSize="8" scale="83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6"/>
  <sheetViews>
    <sheetView zoomScale="80" zoomScaleNormal="80" workbookViewId="0">
      <pane xSplit="4" ySplit="1" topLeftCell="H2" activePane="bottomRight" state="frozen"/>
      <selection pane="topRight" activeCell="E1" sqref="E1"/>
      <selection pane="bottomLeft" activeCell="A2" sqref="A2"/>
      <selection pane="bottomRight" activeCell="D6" sqref="D6"/>
    </sheetView>
  </sheetViews>
  <sheetFormatPr baseColWidth="10" defaultRowHeight="15" outlineLevelCol="1" x14ac:dyDescent="0.25"/>
  <cols>
    <col min="1" max="2" width="11.42578125" style="13"/>
    <col min="3" max="3" width="22.85546875" style="13" customWidth="1"/>
    <col min="4" max="4" width="37.5703125" style="13" customWidth="1"/>
    <col min="5" max="5" width="18.28515625" style="13" customWidth="1"/>
    <col min="6" max="6" width="11.7109375" style="13" hidden="1" customWidth="1"/>
    <col min="7" max="7" width="0" style="13" hidden="1" customWidth="1"/>
    <col min="8" max="8" width="19.42578125" style="13" customWidth="1"/>
    <col min="9" max="9" width="15.85546875" style="13" customWidth="1"/>
    <col min="10" max="10" width="19.28515625" style="13" customWidth="1"/>
    <col min="11" max="11" width="13.5703125" style="13" customWidth="1"/>
    <col min="12" max="12" width="14.7109375" style="13" customWidth="1"/>
    <col min="13" max="13" width="12.85546875" style="13" customWidth="1"/>
    <col min="14" max="14" width="14.5703125" style="13" customWidth="1"/>
    <col min="15" max="15" width="13.42578125" style="13" customWidth="1" outlineLevel="1"/>
    <col min="16" max="16" width="12.7109375" style="13" customWidth="1" outlineLevel="1"/>
    <col min="17" max="18" width="11.42578125" style="13" customWidth="1" outlineLevel="1"/>
    <col min="19" max="19" width="14.28515625" style="13" customWidth="1" outlineLevel="1"/>
    <col min="20" max="20" width="13.28515625" style="13" customWidth="1" outlineLevel="1"/>
    <col min="21" max="21" width="13.140625" style="13" customWidth="1"/>
    <col min="22" max="43" width="11.42578125" style="13" hidden="1" customWidth="1" outlineLevel="1"/>
    <col min="44" max="44" width="14.85546875" style="105" customWidth="1" collapsed="1"/>
    <col min="45" max="45" width="22.140625" style="13" customWidth="1"/>
    <col min="46" max="16384" width="11.42578125" style="13"/>
  </cols>
  <sheetData>
    <row r="1" spans="1:45" s="11" customFormat="1" ht="45" x14ac:dyDescent="0.25">
      <c r="A1" s="11" t="s">
        <v>3</v>
      </c>
      <c r="B1" s="11" t="s">
        <v>0</v>
      </c>
      <c r="C1" s="11" t="s">
        <v>1</v>
      </c>
      <c r="D1" s="11" t="s">
        <v>2</v>
      </c>
      <c r="E1" s="15" t="s">
        <v>256</v>
      </c>
      <c r="F1" s="15" t="s">
        <v>7</v>
      </c>
      <c r="G1" s="30" t="s">
        <v>110</v>
      </c>
      <c r="H1" s="76" t="s">
        <v>249</v>
      </c>
      <c r="I1" s="15" t="s">
        <v>8</v>
      </c>
      <c r="J1" s="15" t="s">
        <v>179</v>
      </c>
      <c r="K1" s="15" t="s">
        <v>175</v>
      </c>
      <c r="L1" s="15" t="s">
        <v>9</v>
      </c>
      <c r="M1" s="15" t="s">
        <v>250</v>
      </c>
      <c r="N1" s="15" t="s">
        <v>176</v>
      </c>
      <c r="O1" s="15" t="s">
        <v>10</v>
      </c>
      <c r="P1" s="15" t="s">
        <v>11</v>
      </c>
      <c r="Q1" s="15" t="s">
        <v>12</v>
      </c>
      <c r="R1" s="15" t="s">
        <v>13</v>
      </c>
      <c r="S1" s="15" t="s">
        <v>14</v>
      </c>
      <c r="T1" s="15" t="s">
        <v>15</v>
      </c>
      <c r="U1" s="15" t="s">
        <v>177</v>
      </c>
      <c r="V1" s="31" t="s">
        <v>208</v>
      </c>
      <c r="W1" s="31" t="s">
        <v>209</v>
      </c>
      <c r="X1" s="31" t="s">
        <v>210</v>
      </c>
      <c r="Y1" s="31" t="s">
        <v>211</v>
      </c>
      <c r="Z1" s="31" t="s">
        <v>212</v>
      </c>
      <c r="AA1" s="31" t="s">
        <v>213</v>
      </c>
      <c r="AB1" s="31" t="s">
        <v>214</v>
      </c>
      <c r="AC1" s="31" t="s">
        <v>215</v>
      </c>
      <c r="AD1" s="31" t="s">
        <v>216</v>
      </c>
      <c r="AE1" s="31" t="s">
        <v>217</v>
      </c>
      <c r="AF1" s="31" t="s">
        <v>218</v>
      </c>
      <c r="AG1" s="31" t="s">
        <v>219</v>
      </c>
      <c r="AH1" s="31" t="s">
        <v>220</v>
      </c>
      <c r="AI1" s="31" t="s">
        <v>221</v>
      </c>
      <c r="AJ1" s="31" t="s">
        <v>222</v>
      </c>
      <c r="AK1" s="31" t="s">
        <v>223</v>
      </c>
      <c r="AL1" s="31" t="s">
        <v>224</v>
      </c>
      <c r="AM1" s="31" t="s">
        <v>225</v>
      </c>
      <c r="AN1" s="31" t="s">
        <v>226</v>
      </c>
      <c r="AO1" s="31" t="s">
        <v>227</v>
      </c>
      <c r="AP1" s="31" t="s">
        <v>228</v>
      </c>
      <c r="AQ1" s="31" t="s">
        <v>229</v>
      </c>
      <c r="AR1" s="11" t="s">
        <v>260</v>
      </c>
      <c r="AS1" s="31" t="s">
        <v>293</v>
      </c>
    </row>
    <row r="2" spans="1:45" s="1" customFormat="1" ht="60" x14ac:dyDescent="0.25">
      <c r="B2" s="1" t="s">
        <v>262</v>
      </c>
      <c r="C2" s="1" t="s">
        <v>265</v>
      </c>
      <c r="D2" s="1" t="s">
        <v>268</v>
      </c>
      <c r="E2" s="3">
        <v>258318.87</v>
      </c>
      <c r="F2" s="3"/>
      <c r="G2" s="32">
        <f>(I2+K2+N2+U2)-F2</f>
        <v>154833</v>
      </c>
      <c r="H2" s="32">
        <v>258056.07</v>
      </c>
      <c r="I2" s="3">
        <v>154833</v>
      </c>
      <c r="J2" s="3"/>
      <c r="K2" s="3">
        <f>Tableau3[[#This Row],[FNADT]]</f>
        <v>0</v>
      </c>
      <c r="L2" s="45"/>
      <c r="M2" s="3"/>
      <c r="N2" s="3">
        <f>SUM(O2:T2)</f>
        <v>0</v>
      </c>
      <c r="O2" s="3"/>
      <c r="P2" s="3"/>
      <c r="Q2" s="3"/>
      <c r="R2" s="3"/>
      <c r="S2" s="3"/>
      <c r="T2" s="3"/>
      <c r="U2" s="3">
        <f>SUM(V2:AQ2)</f>
        <v>0</v>
      </c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91" t="s">
        <v>269</v>
      </c>
      <c r="AS2" s="72"/>
    </row>
    <row r="3" spans="1:45" s="1" customFormat="1" ht="30" x14ac:dyDescent="0.25">
      <c r="B3" s="1" t="s">
        <v>263</v>
      </c>
      <c r="C3" s="1" t="s">
        <v>266</v>
      </c>
      <c r="D3" s="1" t="s">
        <v>268</v>
      </c>
      <c r="E3" s="3">
        <v>329512.99</v>
      </c>
      <c r="F3" s="3"/>
      <c r="G3" s="32">
        <f>(I3+K3+N3+U3)-F3</f>
        <v>198515</v>
      </c>
      <c r="H3" s="32">
        <v>330859.93</v>
      </c>
      <c r="I3" s="3">
        <v>198515</v>
      </c>
      <c r="J3" s="3"/>
      <c r="K3" s="3">
        <f>Tableau3[[#This Row],[FNADT]]</f>
        <v>0</v>
      </c>
      <c r="L3" s="45"/>
      <c r="M3" s="3"/>
      <c r="N3" s="3">
        <f>SUM(O3:T3)</f>
        <v>0</v>
      </c>
      <c r="O3" s="3"/>
      <c r="P3" s="3"/>
      <c r="Q3" s="3"/>
      <c r="R3" s="3"/>
      <c r="S3" s="3"/>
      <c r="T3" s="3"/>
      <c r="U3" s="3">
        <f>SUM(V3:AQ3)</f>
        <v>0</v>
      </c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91" t="s">
        <v>269</v>
      </c>
      <c r="AS3" s="72"/>
    </row>
    <row r="4" spans="1:45" s="1" customFormat="1" ht="60" x14ac:dyDescent="0.25">
      <c r="B4" s="1" t="s">
        <v>264</v>
      </c>
      <c r="C4" s="1" t="s">
        <v>267</v>
      </c>
      <c r="D4" s="1" t="s">
        <v>268</v>
      </c>
      <c r="E4" s="3">
        <v>128537</v>
      </c>
      <c r="F4" s="3"/>
      <c r="G4" s="32">
        <f>(I4+K4+N4+U4)-F4</f>
        <v>77000</v>
      </c>
      <c r="H4" s="32">
        <v>128556.79</v>
      </c>
      <c r="I4" s="3">
        <v>77000</v>
      </c>
      <c r="J4" s="3"/>
      <c r="K4" s="3">
        <f>Tableau3[[#This Row],[FNADT]]</f>
        <v>0</v>
      </c>
      <c r="L4" s="45"/>
      <c r="M4" s="3"/>
      <c r="N4" s="3">
        <f>SUM(O4:T4)</f>
        <v>0</v>
      </c>
      <c r="O4" s="3"/>
      <c r="P4" s="3"/>
      <c r="Q4" s="3"/>
      <c r="R4" s="3"/>
      <c r="S4" s="3"/>
      <c r="T4" s="3"/>
      <c r="U4" s="3">
        <f>SUM(V4:AQ4)</f>
        <v>0</v>
      </c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91" t="s">
        <v>269</v>
      </c>
      <c r="AS4" s="72"/>
    </row>
    <row r="5" spans="1:45" s="12" customFormat="1" x14ac:dyDescent="0.25">
      <c r="A5" s="65"/>
      <c r="B5" s="65"/>
      <c r="C5" s="65" t="s">
        <v>196</v>
      </c>
      <c r="D5" s="65"/>
      <c r="E5" s="113">
        <f>SUM(E2:E4)</f>
        <v>716368.86</v>
      </c>
      <c r="F5" s="113">
        <f t="shared" ref="F5:U5" si="0">SUM(F2:F4)</f>
        <v>0</v>
      </c>
      <c r="G5" s="113">
        <f t="shared" si="0"/>
        <v>430348</v>
      </c>
      <c r="H5" s="113">
        <f t="shared" si="0"/>
        <v>717472.79</v>
      </c>
      <c r="I5" s="113">
        <f t="shared" si="0"/>
        <v>430348</v>
      </c>
      <c r="J5" s="113">
        <f t="shared" si="0"/>
        <v>0</v>
      </c>
      <c r="K5" s="113">
        <f t="shared" si="0"/>
        <v>0</v>
      </c>
      <c r="L5" s="113">
        <f t="shared" si="0"/>
        <v>0</v>
      </c>
      <c r="M5" s="113">
        <f t="shared" si="0"/>
        <v>0</v>
      </c>
      <c r="N5" s="113">
        <f t="shared" si="0"/>
        <v>0</v>
      </c>
      <c r="O5" s="113">
        <f t="shared" si="0"/>
        <v>0</v>
      </c>
      <c r="P5" s="113">
        <f t="shared" si="0"/>
        <v>0</v>
      </c>
      <c r="Q5" s="113">
        <f t="shared" si="0"/>
        <v>0</v>
      </c>
      <c r="R5" s="113">
        <f t="shared" si="0"/>
        <v>0</v>
      </c>
      <c r="S5" s="113">
        <f t="shared" si="0"/>
        <v>0</v>
      </c>
      <c r="T5" s="113">
        <f t="shared" si="0"/>
        <v>0</v>
      </c>
      <c r="U5" s="113">
        <f t="shared" si="0"/>
        <v>0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4"/>
      <c r="AS5" s="115"/>
    </row>
    <row r="6" spans="1:45" s="1" customFormat="1" ht="75" x14ac:dyDescent="0.25">
      <c r="A6" s="1">
        <v>3</v>
      </c>
      <c r="B6" s="1" t="s">
        <v>96</v>
      </c>
      <c r="C6" s="1" t="s">
        <v>97</v>
      </c>
      <c r="D6" s="1" t="s">
        <v>98</v>
      </c>
      <c r="E6" s="3">
        <v>774652.79</v>
      </c>
      <c r="F6" s="3">
        <v>319837.02</v>
      </c>
      <c r="G6" s="32">
        <f>(I6+K6+N6+U6)-F6</f>
        <v>-0.34000000002561137</v>
      </c>
      <c r="H6" s="32">
        <v>608123.35</v>
      </c>
      <c r="I6" s="3">
        <v>304061.68</v>
      </c>
      <c r="J6" s="3">
        <v>318896</v>
      </c>
      <c r="K6" s="3">
        <f>L6</f>
        <v>15775</v>
      </c>
      <c r="L6" s="55">
        <v>15775</v>
      </c>
      <c r="M6" s="3"/>
      <c r="N6" s="3">
        <f>SUM(O6:T6)</f>
        <v>0</v>
      </c>
      <c r="O6" s="3"/>
      <c r="P6" s="3"/>
      <c r="Q6" s="3"/>
      <c r="R6" s="3"/>
      <c r="S6" s="3"/>
      <c r="T6" s="3"/>
      <c r="U6" s="3">
        <f>SUM(V6:AQ6)</f>
        <v>0</v>
      </c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91" t="s">
        <v>269</v>
      </c>
      <c r="AS6" s="72" t="s">
        <v>324</v>
      </c>
    </row>
    <row r="7" spans="1:45" s="1" customFormat="1" ht="30" x14ac:dyDescent="0.25">
      <c r="A7" s="1">
        <v>3</v>
      </c>
      <c r="B7" s="1" t="s">
        <v>166</v>
      </c>
      <c r="C7" s="1" t="s">
        <v>167</v>
      </c>
      <c r="D7" s="1" t="s">
        <v>98</v>
      </c>
      <c r="E7" s="3">
        <v>166529.43</v>
      </c>
      <c r="F7" s="3">
        <v>116570.6</v>
      </c>
      <c r="G7" s="32">
        <f>(I7+K7+N7+U7)-F7</f>
        <v>-9811.2300000000105</v>
      </c>
      <c r="H7" s="32">
        <v>166529.43</v>
      </c>
      <c r="I7" s="3">
        <v>83265.72</v>
      </c>
      <c r="J7" s="3">
        <v>164529.43</v>
      </c>
      <c r="K7" s="3">
        <f>L7</f>
        <v>23493.65</v>
      </c>
      <c r="L7" s="45">
        <v>23493.65</v>
      </c>
      <c r="M7" s="3"/>
      <c r="N7" s="3">
        <f>SUM(O7:T7)</f>
        <v>0</v>
      </c>
      <c r="O7" s="3"/>
      <c r="P7" s="3"/>
      <c r="Q7" s="3"/>
      <c r="R7" s="3"/>
      <c r="S7" s="3"/>
      <c r="T7" s="3"/>
      <c r="U7" s="3">
        <f>SUM(V7:AQ7)</f>
        <v>0</v>
      </c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91" t="s">
        <v>269</v>
      </c>
      <c r="AS7" s="72"/>
    </row>
    <row r="8" spans="1:45" s="12" customFormat="1" x14ac:dyDescent="0.25">
      <c r="A8" s="65"/>
      <c r="B8" s="65"/>
      <c r="C8" s="65" t="s">
        <v>196</v>
      </c>
      <c r="D8" s="65"/>
      <c r="E8" s="113">
        <f>SUM(E6:E7)</f>
        <v>941182.22</v>
      </c>
      <c r="F8" s="113">
        <f t="shared" ref="F8:U8" si="1">SUM(F6:F7)</f>
        <v>436407.62</v>
      </c>
      <c r="G8" s="113">
        <f t="shared" si="1"/>
        <v>-9811.5700000000361</v>
      </c>
      <c r="H8" s="113">
        <f t="shared" si="1"/>
        <v>774652.78</v>
      </c>
      <c r="I8" s="113">
        <f t="shared" si="1"/>
        <v>387327.4</v>
      </c>
      <c r="J8" s="113">
        <f t="shared" si="1"/>
        <v>483425.43</v>
      </c>
      <c r="K8" s="113">
        <f t="shared" si="1"/>
        <v>39268.65</v>
      </c>
      <c r="L8" s="113">
        <f t="shared" si="1"/>
        <v>39268.65</v>
      </c>
      <c r="M8" s="113">
        <f t="shared" si="1"/>
        <v>0</v>
      </c>
      <c r="N8" s="113">
        <f t="shared" si="1"/>
        <v>0</v>
      </c>
      <c r="O8" s="113">
        <f t="shared" si="1"/>
        <v>0</v>
      </c>
      <c r="P8" s="113">
        <f t="shared" si="1"/>
        <v>0</v>
      </c>
      <c r="Q8" s="113">
        <f t="shared" si="1"/>
        <v>0</v>
      </c>
      <c r="R8" s="113">
        <f t="shared" si="1"/>
        <v>0</v>
      </c>
      <c r="S8" s="113">
        <f t="shared" si="1"/>
        <v>0</v>
      </c>
      <c r="T8" s="113">
        <f t="shared" si="1"/>
        <v>0</v>
      </c>
      <c r="U8" s="113">
        <f t="shared" si="1"/>
        <v>0</v>
      </c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4"/>
      <c r="AS8" s="115"/>
    </row>
    <row r="9" spans="1:45" s="1" customFormat="1" ht="53.25" customHeight="1" x14ac:dyDescent="0.25">
      <c r="A9" s="71">
        <v>3</v>
      </c>
      <c r="B9" s="1" t="s">
        <v>41</v>
      </c>
      <c r="C9" s="1" t="s">
        <v>42</v>
      </c>
      <c r="D9" s="1" t="s">
        <v>43</v>
      </c>
      <c r="E9" s="3">
        <v>230000</v>
      </c>
      <c r="F9" s="3">
        <v>230000</v>
      </c>
      <c r="G9" s="32">
        <f t="shared" ref="G9:G15" si="2">(I9+K9+N9+U9)-F9</f>
        <v>-4499</v>
      </c>
      <c r="H9" s="32">
        <v>230041</v>
      </c>
      <c r="I9" s="3">
        <v>113691</v>
      </c>
      <c r="J9" s="3"/>
      <c r="K9" s="3">
        <f>L9</f>
        <v>0</v>
      </c>
      <c r="L9" s="34">
        <v>0</v>
      </c>
      <c r="M9" s="3">
        <v>0</v>
      </c>
      <c r="N9" s="3">
        <f t="shared" ref="N9:N15" si="3">SUM(O9:T9)</f>
        <v>80000</v>
      </c>
      <c r="O9" s="3"/>
      <c r="P9" s="3"/>
      <c r="Q9" s="3"/>
      <c r="R9" s="3"/>
      <c r="S9" s="3"/>
      <c r="T9" s="3">
        <v>80000</v>
      </c>
      <c r="U9" s="3">
        <f t="shared" ref="U9:U15" si="4">SUM(V9:AQ9)</f>
        <v>31810</v>
      </c>
      <c r="V9" s="3"/>
      <c r="W9" s="3"/>
      <c r="X9" s="3"/>
      <c r="Y9" s="3"/>
      <c r="Z9" s="3"/>
      <c r="AA9" s="3"/>
      <c r="AB9" s="3"/>
      <c r="AC9" s="3"/>
      <c r="AD9" s="3"/>
      <c r="AE9" s="3"/>
      <c r="AF9" s="3">
        <v>25000</v>
      </c>
      <c r="AG9" s="3"/>
      <c r="AH9" s="3"/>
      <c r="AI9" s="3"/>
      <c r="AJ9" s="3"/>
      <c r="AK9" s="3"/>
      <c r="AL9" s="3">
        <v>6810</v>
      </c>
      <c r="AM9" s="3"/>
      <c r="AN9" s="3"/>
      <c r="AO9" s="3"/>
      <c r="AP9" s="3"/>
      <c r="AQ9" s="3"/>
      <c r="AR9" s="91" t="s">
        <v>269</v>
      </c>
      <c r="AS9" s="72"/>
    </row>
    <row r="10" spans="1:45" s="1" customFormat="1" ht="30" x14ac:dyDescent="0.25">
      <c r="A10" s="1">
        <v>3</v>
      </c>
      <c r="B10" s="1" t="s">
        <v>47</v>
      </c>
      <c r="C10" s="1" t="s">
        <v>48</v>
      </c>
      <c r="D10" s="1" t="s">
        <v>49</v>
      </c>
      <c r="E10" s="3">
        <v>113184.2</v>
      </c>
      <c r="F10" s="3">
        <v>101418.2</v>
      </c>
      <c r="G10" s="32">
        <f t="shared" si="2"/>
        <v>3418.8300000000017</v>
      </c>
      <c r="H10" s="32">
        <v>113303.72</v>
      </c>
      <c r="I10" s="3">
        <v>56651.86</v>
      </c>
      <c r="J10" s="3">
        <v>113303.72</v>
      </c>
      <c r="K10" s="3">
        <f t="shared" ref="K10:K15" si="5">L10</f>
        <v>28836</v>
      </c>
      <c r="L10" s="34">
        <v>28836</v>
      </c>
      <c r="M10" s="3"/>
      <c r="N10" s="3">
        <f t="shared" si="3"/>
        <v>14469.17</v>
      </c>
      <c r="O10" s="3">
        <v>10005</v>
      </c>
      <c r="P10" s="3"/>
      <c r="Q10" s="3"/>
      <c r="R10" s="3"/>
      <c r="S10" s="3"/>
      <c r="T10" s="3">
        <v>4464.17</v>
      </c>
      <c r="U10" s="3">
        <f t="shared" si="4"/>
        <v>4880</v>
      </c>
      <c r="V10" s="3">
        <v>4880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91" t="s">
        <v>269</v>
      </c>
      <c r="AS10" s="72"/>
    </row>
    <row r="11" spans="1:45" s="1" customFormat="1" ht="102" x14ac:dyDescent="0.2">
      <c r="A11" s="1">
        <v>3</v>
      </c>
      <c r="B11" s="1" t="s">
        <v>163</v>
      </c>
      <c r="C11" s="1" t="s">
        <v>164</v>
      </c>
      <c r="D11" s="1" t="s">
        <v>165</v>
      </c>
      <c r="E11" s="3">
        <v>47562.400000000001</v>
      </c>
      <c r="F11" s="3">
        <v>33293.68</v>
      </c>
      <c r="G11" s="32">
        <f t="shared" si="2"/>
        <v>-33293.68</v>
      </c>
      <c r="H11" s="32"/>
      <c r="I11" s="3">
        <v>0</v>
      </c>
      <c r="J11" s="3"/>
      <c r="K11" s="3">
        <f t="shared" si="5"/>
        <v>0</v>
      </c>
      <c r="L11" s="34">
        <v>0</v>
      </c>
      <c r="M11" s="3"/>
      <c r="N11" s="3">
        <f t="shared" si="3"/>
        <v>0</v>
      </c>
      <c r="O11" s="3"/>
      <c r="P11" s="3"/>
      <c r="Q11" s="3"/>
      <c r="R11" s="3"/>
      <c r="S11" s="3"/>
      <c r="T11" s="3"/>
      <c r="U11" s="3">
        <f t="shared" si="4"/>
        <v>0</v>
      </c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91" t="s">
        <v>261</v>
      </c>
      <c r="AS11" s="124" t="s">
        <v>327</v>
      </c>
    </row>
    <row r="12" spans="1:45" s="1" customFormat="1" ht="60" x14ac:dyDescent="0.25">
      <c r="A12" s="1">
        <v>3</v>
      </c>
      <c r="B12" s="1" t="s">
        <v>161</v>
      </c>
      <c r="C12" s="1" t="s">
        <v>160</v>
      </c>
      <c r="D12" s="1" t="s">
        <v>162</v>
      </c>
      <c r="E12" s="3">
        <v>287903.82</v>
      </c>
      <c r="F12" s="3">
        <v>248087.73</v>
      </c>
      <c r="G12" s="32">
        <f t="shared" si="2"/>
        <v>-104135.82</v>
      </c>
      <c r="H12" s="32">
        <v>287903.82</v>
      </c>
      <c r="I12" s="3">
        <v>143951.91</v>
      </c>
      <c r="J12" s="3"/>
      <c r="K12" s="3">
        <f t="shared" si="5"/>
        <v>0</v>
      </c>
      <c r="L12" s="55">
        <v>0</v>
      </c>
      <c r="M12" s="3"/>
      <c r="N12" s="3">
        <f t="shared" si="3"/>
        <v>0</v>
      </c>
      <c r="O12" s="3"/>
      <c r="P12" s="3"/>
      <c r="Q12" s="3"/>
      <c r="R12" s="3"/>
      <c r="S12" s="3"/>
      <c r="T12" s="3"/>
      <c r="U12" s="3">
        <f t="shared" si="4"/>
        <v>0</v>
      </c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91" t="s">
        <v>269</v>
      </c>
      <c r="AS12" s="13"/>
    </row>
    <row r="13" spans="1:45" s="1" customFormat="1" ht="45" x14ac:dyDescent="0.25">
      <c r="A13" s="1">
        <v>3</v>
      </c>
      <c r="B13" s="1" t="s">
        <v>168</v>
      </c>
      <c r="C13" s="1" t="s">
        <v>169</v>
      </c>
      <c r="D13" s="1" t="s">
        <v>170</v>
      </c>
      <c r="E13" s="3">
        <v>122334.2</v>
      </c>
      <c r="F13" s="3">
        <v>73052.52</v>
      </c>
      <c r="G13" s="32">
        <f t="shared" si="2"/>
        <v>-24350.840000000004</v>
      </c>
      <c r="H13" s="32"/>
      <c r="I13" s="3">
        <v>48701.68</v>
      </c>
      <c r="J13" s="3"/>
      <c r="K13" s="3">
        <f t="shared" si="5"/>
        <v>0</v>
      </c>
      <c r="L13" s="34">
        <v>0</v>
      </c>
      <c r="M13" s="3">
        <v>24350.84</v>
      </c>
      <c r="N13" s="3">
        <f t="shared" si="3"/>
        <v>0</v>
      </c>
      <c r="O13" s="3"/>
      <c r="P13" s="3"/>
      <c r="Q13" s="3"/>
      <c r="R13" s="3"/>
      <c r="S13" s="3"/>
      <c r="T13" s="3"/>
      <c r="U13" s="3">
        <f t="shared" si="4"/>
        <v>0</v>
      </c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91" t="s">
        <v>269</v>
      </c>
      <c r="AS13" s="72"/>
    </row>
    <row r="14" spans="1:45" s="1" customFormat="1" ht="102" x14ac:dyDescent="0.2">
      <c r="A14" s="1">
        <v>3</v>
      </c>
      <c r="B14" s="1" t="s">
        <v>171</v>
      </c>
      <c r="C14" s="1" t="s">
        <v>169</v>
      </c>
      <c r="D14" s="1" t="s">
        <v>172</v>
      </c>
      <c r="E14" s="3">
        <v>112000</v>
      </c>
      <c r="F14" s="3">
        <v>78400</v>
      </c>
      <c r="G14" s="32">
        <f t="shared" si="2"/>
        <v>-78400</v>
      </c>
      <c r="H14" s="32"/>
      <c r="I14" s="3">
        <v>0</v>
      </c>
      <c r="J14" s="3"/>
      <c r="K14" s="3">
        <f t="shared" si="5"/>
        <v>0</v>
      </c>
      <c r="L14" s="55">
        <v>0</v>
      </c>
      <c r="M14" s="3"/>
      <c r="N14" s="3">
        <f t="shared" si="3"/>
        <v>0</v>
      </c>
      <c r="O14" s="3"/>
      <c r="P14" s="3"/>
      <c r="Q14" s="3"/>
      <c r="R14" s="3"/>
      <c r="S14" s="3"/>
      <c r="T14" s="3"/>
      <c r="U14" s="3">
        <f t="shared" si="4"/>
        <v>0</v>
      </c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91" t="s">
        <v>261</v>
      </c>
      <c r="AS14" s="124" t="s">
        <v>328</v>
      </c>
    </row>
    <row r="15" spans="1:45" s="1" customFormat="1" ht="60" x14ac:dyDescent="0.25">
      <c r="A15" s="1">
        <v>3</v>
      </c>
      <c r="B15" s="1" t="s">
        <v>99</v>
      </c>
      <c r="C15" s="1" t="s">
        <v>5</v>
      </c>
      <c r="D15" s="1" t="s">
        <v>100</v>
      </c>
      <c r="E15" s="3">
        <v>180850.77</v>
      </c>
      <c r="F15" s="3">
        <v>161256.78</v>
      </c>
      <c r="G15" s="32">
        <f t="shared" si="2"/>
        <v>393.99000000001979</v>
      </c>
      <c r="H15" s="32">
        <v>180850.77</v>
      </c>
      <c r="I15" s="3">
        <v>90425.3</v>
      </c>
      <c r="J15" s="3">
        <v>180850.77</v>
      </c>
      <c r="K15" s="3">
        <f t="shared" si="5"/>
        <v>20286.97</v>
      </c>
      <c r="L15" s="45">
        <v>20286.97</v>
      </c>
      <c r="M15" s="3"/>
      <c r="N15" s="3">
        <f t="shared" si="3"/>
        <v>50938.5</v>
      </c>
      <c r="O15" s="3">
        <v>12810</v>
      </c>
      <c r="P15" s="3">
        <v>4520</v>
      </c>
      <c r="Q15" s="3">
        <v>8756</v>
      </c>
      <c r="R15" s="3">
        <v>3000</v>
      </c>
      <c r="S15" s="3">
        <v>12810</v>
      </c>
      <c r="T15" s="3">
        <v>9042.5</v>
      </c>
      <c r="U15" s="3">
        <f t="shared" si="4"/>
        <v>0</v>
      </c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91" t="s">
        <v>269</v>
      </c>
      <c r="AS15" s="72"/>
    </row>
    <row r="16" spans="1:45" s="56" customFormat="1" x14ac:dyDescent="0.25">
      <c r="E16" s="57">
        <f>SUM(E9:E15)+E8+E5</f>
        <v>2751386.4699999997</v>
      </c>
      <c r="F16" s="57">
        <f t="shared" ref="F16:U16" si="6">SUM(F9:F15)+F8+F5</f>
        <v>1361916.53</v>
      </c>
      <c r="G16" s="57">
        <f t="shared" si="6"/>
        <v>179669.90999999997</v>
      </c>
      <c r="H16" s="57">
        <f t="shared" si="6"/>
        <v>2304224.88</v>
      </c>
      <c r="I16" s="57">
        <f t="shared" si="6"/>
        <v>1271097.1499999999</v>
      </c>
      <c r="J16" s="57">
        <f t="shared" si="6"/>
        <v>777579.91999999993</v>
      </c>
      <c r="K16" s="57">
        <f t="shared" si="6"/>
        <v>88391.62</v>
      </c>
      <c r="L16" s="57">
        <f t="shared" si="6"/>
        <v>88391.62</v>
      </c>
      <c r="M16" s="57">
        <f t="shared" si="6"/>
        <v>24350.84</v>
      </c>
      <c r="N16" s="57">
        <f t="shared" si="6"/>
        <v>145407.66999999998</v>
      </c>
      <c r="O16" s="57">
        <f t="shared" si="6"/>
        <v>22815</v>
      </c>
      <c r="P16" s="57">
        <f t="shared" si="6"/>
        <v>4520</v>
      </c>
      <c r="Q16" s="57">
        <f t="shared" si="6"/>
        <v>8756</v>
      </c>
      <c r="R16" s="57">
        <f t="shared" si="6"/>
        <v>3000</v>
      </c>
      <c r="S16" s="57">
        <f t="shared" si="6"/>
        <v>12810</v>
      </c>
      <c r="T16" s="57">
        <f t="shared" si="6"/>
        <v>93506.67</v>
      </c>
      <c r="U16" s="57">
        <f t="shared" si="6"/>
        <v>36690</v>
      </c>
      <c r="V16" s="112">
        <f t="shared" ref="V16:AQ16" si="7">SUM(V2:V15)</f>
        <v>4880</v>
      </c>
      <c r="W16" s="112">
        <f t="shared" si="7"/>
        <v>0</v>
      </c>
      <c r="X16" s="112">
        <f t="shared" si="7"/>
        <v>0</v>
      </c>
      <c r="Y16" s="112">
        <f t="shared" si="7"/>
        <v>0</v>
      </c>
      <c r="Z16" s="112">
        <f t="shared" si="7"/>
        <v>0</v>
      </c>
      <c r="AA16" s="112">
        <f t="shared" si="7"/>
        <v>0</v>
      </c>
      <c r="AB16" s="112">
        <f t="shared" si="7"/>
        <v>0</v>
      </c>
      <c r="AC16" s="112">
        <f t="shared" si="7"/>
        <v>0</v>
      </c>
      <c r="AD16" s="112">
        <f t="shared" si="7"/>
        <v>0</v>
      </c>
      <c r="AE16" s="112">
        <f t="shared" si="7"/>
        <v>0</v>
      </c>
      <c r="AF16" s="112">
        <f t="shared" si="7"/>
        <v>25000</v>
      </c>
      <c r="AG16" s="112">
        <f t="shared" si="7"/>
        <v>0</v>
      </c>
      <c r="AH16" s="112">
        <f t="shared" si="7"/>
        <v>0</v>
      </c>
      <c r="AI16" s="112">
        <f t="shared" si="7"/>
        <v>0</v>
      </c>
      <c r="AJ16" s="112">
        <f t="shared" si="7"/>
        <v>0</v>
      </c>
      <c r="AK16" s="112">
        <f t="shared" si="7"/>
        <v>0</v>
      </c>
      <c r="AL16" s="112">
        <f t="shared" si="7"/>
        <v>6810</v>
      </c>
      <c r="AM16" s="112">
        <f t="shared" si="7"/>
        <v>0</v>
      </c>
      <c r="AN16" s="112">
        <f t="shared" si="7"/>
        <v>0</v>
      </c>
      <c r="AO16" s="112">
        <f t="shared" si="7"/>
        <v>0</v>
      </c>
      <c r="AP16" s="112">
        <f t="shared" si="7"/>
        <v>0</v>
      </c>
      <c r="AQ16" s="112">
        <f t="shared" si="7"/>
        <v>0</v>
      </c>
      <c r="AR16" s="104"/>
    </row>
  </sheetData>
  <sheetProtection sort="0" autoFilter="0"/>
  <conditionalFormatting sqref="AR1:AR7 AR9:AR1048576 AS1">
    <cfRule type="containsText" dxfId="322" priority="4" operator="containsText" text="Ajournement">
      <formula>NOT(ISERROR(SEARCH("Ajournement",AR1)))</formula>
    </cfRule>
    <cfRule type="containsText" dxfId="321" priority="5" operator="containsText" text="Défavorable">
      <formula>NOT(ISERROR(SEARCH("Défavorable",AR1)))</formula>
    </cfRule>
    <cfRule type="containsText" dxfId="320" priority="6" operator="containsText" text="Favorable">
      <formula>NOT(ISERROR(SEARCH("Favorable",AR1)))</formula>
    </cfRule>
  </conditionalFormatting>
  <conditionalFormatting sqref="AR8">
    <cfRule type="containsText" dxfId="319" priority="1" operator="containsText" text="Ajournement">
      <formula>NOT(ISERROR(SEARCH("Ajournement",AR8)))</formula>
    </cfRule>
    <cfRule type="containsText" dxfId="318" priority="2" operator="containsText" text="Défavorable">
      <formula>NOT(ISERROR(SEARCH("Défavorable",AR8)))</formula>
    </cfRule>
    <cfRule type="containsText" dxfId="317" priority="3" operator="containsText" text="Favorable">
      <formula>NOT(ISERROR(SEARCH("Favorable",AR8)))</formula>
    </cfRule>
  </conditionalFormatting>
  <pageMargins left="0.70866141732283472" right="0.70866141732283472" top="0.74803149606299213" bottom="0.74803149606299213" header="0.31496062992125984" footer="0.31496062992125984"/>
  <pageSetup paperSize="8" scale="57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"/>
  <sheetViews>
    <sheetView view="pageBreakPreview" zoomScale="60" zoomScaleNormal="11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E21" sqref="E21"/>
    </sheetView>
  </sheetViews>
  <sheetFormatPr baseColWidth="10" defaultRowHeight="32.25" customHeight="1" outlineLevelCol="1" x14ac:dyDescent="0.25"/>
  <cols>
    <col min="1" max="2" width="11.42578125" style="13"/>
    <col min="3" max="3" width="24.5703125" style="13" customWidth="1"/>
    <col min="4" max="4" width="41.42578125" style="13" customWidth="1"/>
    <col min="5" max="5" width="16.42578125" style="13" customWidth="1"/>
    <col min="6" max="6" width="14.28515625" style="13" customWidth="1"/>
    <col min="7" max="7" width="16" style="13" customWidth="1"/>
    <col min="8" max="8" width="18.28515625" style="13" customWidth="1"/>
    <col min="9" max="9" width="13.85546875" style="13" customWidth="1"/>
    <col min="10" max="10" width="15.7109375" style="13" customWidth="1"/>
    <col min="11" max="11" width="12.85546875" style="13" customWidth="1"/>
    <col min="12" max="12" width="14.5703125" style="13" customWidth="1"/>
    <col min="13" max="13" width="11.7109375" style="13" hidden="1" customWidth="1" outlineLevel="1"/>
    <col min="14" max="14" width="12.7109375" style="13" hidden="1" customWidth="1" outlineLevel="1"/>
    <col min="15" max="18" width="0" style="13" hidden="1" customWidth="1" outlineLevel="1"/>
    <col min="19" max="19" width="14.7109375" style="13" customWidth="1" collapsed="1"/>
    <col min="20" max="41" width="11.42578125" style="13" hidden="1" customWidth="1" outlineLevel="1"/>
    <col min="42" max="42" width="15.5703125" style="13" customWidth="1" collapsed="1"/>
    <col min="43" max="16384" width="11.42578125" style="13"/>
  </cols>
  <sheetData>
    <row r="1" spans="1:42" s="11" customFormat="1" ht="45" x14ac:dyDescent="0.25">
      <c r="A1" s="11" t="s">
        <v>3</v>
      </c>
      <c r="B1" s="11" t="s">
        <v>0</v>
      </c>
      <c r="C1" s="11" t="s">
        <v>1</v>
      </c>
      <c r="D1" s="11" t="s">
        <v>2</v>
      </c>
      <c r="E1" s="15" t="s">
        <v>256</v>
      </c>
      <c r="F1" s="15" t="s">
        <v>257</v>
      </c>
      <c r="G1" s="15" t="s">
        <v>8</v>
      </c>
      <c r="H1" s="15" t="s">
        <v>179</v>
      </c>
      <c r="I1" s="15" t="s">
        <v>175</v>
      </c>
      <c r="J1" s="34" t="s">
        <v>9</v>
      </c>
      <c r="K1" s="34" t="s">
        <v>250</v>
      </c>
      <c r="L1" s="34" t="s">
        <v>176</v>
      </c>
      <c r="M1" s="34" t="s">
        <v>10</v>
      </c>
      <c r="N1" s="34" t="s">
        <v>11</v>
      </c>
      <c r="O1" s="34" t="s">
        <v>12</v>
      </c>
      <c r="P1" s="34" t="s">
        <v>13</v>
      </c>
      <c r="Q1" s="34" t="s">
        <v>14</v>
      </c>
      <c r="R1" s="34" t="s">
        <v>15</v>
      </c>
      <c r="S1" s="34" t="s">
        <v>177</v>
      </c>
      <c r="T1" s="53" t="s">
        <v>208</v>
      </c>
      <c r="U1" s="53" t="s">
        <v>209</v>
      </c>
      <c r="V1" s="53" t="s">
        <v>210</v>
      </c>
      <c r="W1" s="53" t="s">
        <v>211</v>
      </c>
      <c r="X1" s="53" t="s">
        <v>212</v>
      </c>
      <c r="Y1" s="53" t="s">
        <v>213</v>
      </c>
      <c r="Z1" s="53" t="s">
        <v>214</v>
      </c>
      <c r="AA1" s="53" t="s">
        <v>215</v>
      </c>
      <c r="AB1" s="53" t="s">
        <v>216</v>
      </c>
      <c r="AC1" s="53" t="s">
        <v>217</v>
      </c>
      <c r="AD1" s="53" t="s">
        <v>218</v>
      </c>
      <c r="AE1" s="53" t="s">
        <v>219</v>
      </c>
      <c r="AF1" s="53" t="s">
        <v>220</v>
      </c>
      <c r="AG1" s="53" t="s">
        <v>221</v>
      </c>
      <c r="AH1" s="53" t="s">
        <v>222</v>
      </c>
      <c r="AI1" s="53" t="s">
        <v>223</v>
      </c>
      <c r="AJ1" s="53" t="s">
        <v>224</v>
      </c>
      <c r="AK1" s="53" t="s">
        <v>225</v>
      </c>
      <c r="AL1" s="53" t="s">
        <v>226</v>
      </c>
      <c r="AM1" s="53" t="s">
        <v>227</v>
      </c>
      <c r="AN1" s="53" t="s">
        <v>228</v>
      </c>
      <c r="AO1" s="53" t="s">
        <v>229</v>
      </c>
      <c r="AP1" s="11" t="s">
        <v>260</v>
      </c>
    </row>
    <row r="2" spans="1:42" s="1" customFormat="1" ht="42.75" customHeight="1" x14ac:dyDescent="0.25">
      <c r="A2" s="1">
        <v>2</v>
      </c>
      <c r="B2" s="1" t="s">
        <v>73</v>
      </c>
      <c r="C2" s="1" t="s">
        <v>74</v>
      </c>
      <c r="D2" s="1" t="s">
        <v>75</v>
      </c>
      <c r="E2" s="3">
        <v>106709.5</v>
      </c>
      <c r="F2" s="3">
        <v>105177.82</v>
      </c>
      <c r="G2" s="32">
        <v>42071</v>
      </c>
      <c r="H2" s="32">
        <v>28644.720000000001</v>
      </c>
      <c r="I2" s="32">
        <f>J2+K2</f>
        <v>8593</v>
      </c>
      <c r="J2" s="34">
        <v>8593</v>
      </c>
      <c r="K2" s="34"/>
      <c r="L2" s="34">
        <f>SUM(M2:R2)</f>
        <v>0</v>
      </c>
      <c r="M2" s="3"/>
      <c r="N2" s="3"/>
      <c r="O2" s="3"/>
      <c r="P2" s="3"/>
      <c r="Q2" s="3"/>
      <c r="R2" s="3"/>
      <c r="S2" s="3">
        <f>SUM(T2:AO2)</f>
        <v>15579</v>
      </c>
      <c r="T2" s="3"/>
      <c r="U2" s="3">
        <v>15579</v>
      </c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106" t="s">
        <v>269</v>
      </c>
    </row>
    <row r="3" spans="1:42" s="1" customFormat="1" ht="32.25" customHeight="1" x14ac:dyDescent="0.25">
      <c r="A3" s="1">
        <v>2</v>
      </c>
      <c r="B3" s="1" t="s">
        <v>77</v>
      </c>
      <c r="C3" s="1" t="s">
        <v>78</v>
      </c>
      <c r="D3" s="1" t="s">
        <v>76</v>
      </c>
      <c r="E3" s="3">
        <v>453579.2</v>
      </c>
      <c r="F3" s="3">
        <v>318230.2</v>
      </c>
      <c r="G3" s="32">
        <v>125514.11</v>
      </c>
      <c r="H3" s="32">
        <v>123529.2</v>
      </c>
      <c r="I3" s="32">
        <f>J3+K3</f>
        <v>22235</v>
      </c>
      <c r="J3" s="34">
        <v>22235</v>
      </c>
      <c r="K3" s="34"/>
      <c r="L3" s="34">
        <f>SUM(M3:R3)</f>
        <v>62512</v>
      </c>
      <c r="M3" s="3">
        <v>62512</v>
      </c>
      <c r="N3" s="3"/>
      <c r="O3" s="3"/>
      <c r="P3" s="3"/>
      <c r="Q3" s="3"/>
      <c r="R3" s="3"/>
      <c r="S3" s="3">
        <f>SUM(T3:AO3)</f>
        <v>12500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>
        <v>12500</v>
      </c>
      <c r="AK3" s="3"/>
      <c r="AL3" s="3"/>
      <c r="AM3" s="3"/>
      <c r="AN3" s="3"/>
      <c r="AO3" s="3"/>
      <c r="AP3" s="106" t="s">
        <v>269</v>
      </c>
    </row>
    <row r="4" spans="1:42" s="1" customFormat="1" ht="32.25" customHeight="1" x14ac:dyDescent="0.25">
      <c r="A4" s="1">
        <v>2</v>
      </c>
      <c r="B4" s="1" t="s">
        <v>85</v>
      </c>
      <c r="C4" s="1" t="s">
        <v>86</v>
      </c>
      <c r="D4" s="1" t="s">
        <v>87</v>
      </c>
      <c r="E4" s="3">
        <v>110726.28</v>
      </c>
      <c r="F4" s="3">
        <v>70754.23</v>
      </c>
      <c r="G4" s="32">
        <v>28301.69</v>
      </c>
      <c r="H4" s="32">
        <v>109726.28</v>
      </c>
      <c r="I4" s="32">
        <f>J4+K4</f>
        <v>20753</v>
      </c>
      <c r="J4" s="34">
        <v>20753</v>
      </c>
      <c r="K4" s="34"/>
      <c r="L4" s="34">
        <f>SUM(M4:R4)</f>
        <v>0</v>
      </c>
      <c r="M4" s="3"/>
      <c r="N4" s="3"/>
      <c r="O4" s="3"/>
      <c r="P4" s="3"/>
      <c r="Q4" s="3"/>
      <c r="R4" s="3"/>
      <c r="S4" s="3">
        <f>SUM(T4:AO4)</f>
        <v>0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>
        <v>0</v>
      </c>
      <c r="AK4" s="3"/>
      <c r="AL4" s="3"/>
      <c r="AM4" s="3"/>
      <c r="AN4" s="3"/>
      <c r="AO4" s="3"/>
      <c r="AP4" s="106" t="s">
        <v>269</v>
      </c>
    </row>
    <row r="5" spans="1:42" s="1" customFormat="1" ht="32.25" customHeight="1" x14ac:dyDescent="0.25">
      <c r="A5" s="1">
        <v>2</v>
      </c>
      <c r="B5" s="1" t="s">
        <v>44</v>
      </c>
      <c r="C5" s="1" t="s">
        <v>45</v>
      </c>
      <c r="D5" s="1" t="s">
        <v>46</v>
      </c>
      <c r="E5" s="3">
        <v>421240</v>
      </c>
      <c r="F5" s="3">
        <v>375304</v>
      </c>
      <c r="G5" s="32">
        <v>74515.399999999994</v>
      </c>
      <c r="H5" s="32">
        <v>114840</v>
      </c>
      <c r="I5" s="32">
        <f>J5+K5</f>
        <v>20671.2</v>
      </c>
      <c r="J5" s="34">
        <v>20671.2</v>
      </c>
      <c r="K5" s="34"/>
      <c r="L5" s="34">
        <f>SUM(M5:R5)</f>
        <v>12926.2</v>
      </c>
      <c r="M5" s="3"/>
      <c r="N5" s="3"/>
      <c r="O5" s="3">
        <v>12926.2</v>
      </c>
      <c r="P5" s="3"/>
      <c r="Q5" s="3"/>
      <c r="R5" s="3"/>
      <c r="S5" s="3">
        <f>SUM(T5:AO5)</f>
        <v>125000</v>
      </c>
      <c r="T5" s="3"/>
      <c r="U5" s="3"/>
      <c r="V5" s="3"/>
      <c r="W5" s="3"/>
      <c r="X5" s="3"/>
      <c r="Y5" s="3"/>
      <c r="Z5" s="3"/>
      <c r="AA5" s="3"/>
      <c r="AB5" s="3"/>
      <c r="AC5" s="3">
        <v>120000</v>
      </c>
      <c r="AD5" s="3"/>
      <c r="AE5" s="3"/>
      <c r="AF5" s="3"/>
      <c r="AG5" s="3">
        <v>5000</v>
      </c>
      <c r="AH5" s="3"/>
      <c r="AI5" s="3"/>
      <c r="AJ5" s="3"/>
      <c r="AK5" s="3"/>
      <c r="AL5" s="3"/>
      <c r="AM5" s="3"/>
      <c r="AN5" s="3"/>
      <c r="AO5" s="3"/>
      <c r="AP5" s="106" t="s">
        <v>269</v>
      </c>
    </row>
    <row r="6" spans="1:42" s="1" customFormat="1" ht="32.25" customHeight="1" x14ac:dyDescent="0.25">
      <c r="A6" s="1">
        <v>2</v>
      </c>
      <c r="B6" s="1" t="s">
        <v>89</v>
      </c>
      <c r="C6" s="1" t="s">
        <v>88</v>
      </c>
      <c r="D6" s="1" t="s">
        <v>90</v>
      </c>
      <c r="E6" s="3">
        <v>95589.73</v>
      </c>
      <c r="F6" s="3">
        <v>95589.73</v>
      </c>
      <c r="G6" s="32">
        <v>38235.879999999997</v>
      </c>
      <c r="H6" s="32">
        <v>95589.73</v>
      </c>
      <c r="I6" s="32">
        <f>J6+K6</f>
        <v>28677</v>
      </c>
      <c r="J6" s="34">
        <v>28677</v>
      </c>
      <c r="K6" s="34"/>
      <c r="L6" s="34">
        <f>SUM(M6:R6)</f>
        <v>0</v>
      </c>
      <c r="M6" s="3"/>
      <c r="N6" s="3"/>
      <c r="O6" s="3"/>
      <c r="P6" s="3"/>
      <c r="Q6" s="3"/>
      <c r="R6" s="3"/>
      <c r="S6" s="3">
        <f>SUM(T6:AO6)</f>
        <v>0</v>
      </c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106" t="s">
        <v>269</v>
      </c>
    </row>
    <row r="7" spans="1:42" s="12" customFormat="1" ht="32.25" customHeight="1" x14ac:dyDescent="0.25">
      <c r="A7" s="12" t="s">
        <v>156</v>
      </c>
      <c r="E7" s="54">
        <f t="shared" ref="E7:AO7" si="0">SUM(E2:E6)</f>
        <v>1187844.71</v>
      </c>
      <c r="F7" s="54">
        <f t="shared" si="0"/>
        <v>965055.98</v>
      </c>
      <c r="G7" s="54">
        <f t="shared" si="0"/>
        <v>308638.07999999996</v>
      </c>
      <c r="H7" s="54">
        <f t="shared" si="0"/>
        <v>472329.92999999993</v>
      </c>
      <c r="I7" s="54">
        <f t="shared" si="0"/>
        <v>100929.2</v>
      </c>
      <c r="J7" s="54">
        <f t="shared" si="0"/>
        <v>100929.2</v>
      </c>
      <c r="K7" s="54">
        <f t="shared" si="0"/>
        <v>0</v>
      </c>
      <c r="L7" s="54">
        <f t="shared" si="0"/>
        <v>75438.2</v>
      </c>
      <c r="M7" s="54">
        <f t="shared" si="0"/>
        <v>62512</v>
      </c>
      <c r="N7" s="54">
        <f t="shared" si="0"/>
        <v>0</v>
      </c>
      <c r="O7" s="54">
        <f t="shared" si="0"/>
        <v>12926.2</v>
      </c>
      <c r="P7" s="54">
        <f t="shared" si="0"/>
        <v>0</v>
      </c>
      <c r="Q7" s="54">
        <f t="shared" si="0"/>
        <v>0</v>
      </c>
      <c r="R7" s="54">
        <f t="shared" si="0"/>
        <v>0</v>
      </c>
      <c r="S7" s="54">
        <f t="shared" si="0"/>
        <v>153079</v>
      </c>
      <c r="T7" s="54">
        <f t="shared" si="0"/>
        <v>0</v>
      </c>
      <c r="U7" s="54">
        <f t="shared" si="0"/>
        <v>15579</v>
      </c>
      <c r="V7" s="54">
        <f t="shared" si="0"/>
        <v>0</v>
      </c>
      <c r="W7" s="54">
        <f t="shared" si="0"/>
        <v>0</v>
      </c>
      <c r="X7" s="54">
        <f t="shared" si="0"/>
        <v>0</v>
      </c>
      <c r="Y7" s="54">
        <f t="shared" si="0"/>
        <v>0</v>
      </c>
      <c r="Z7" s="54">
        <f t="shared" si="0"/>
        <v>0</v>
      </c>
      <c r="AA7" s="54">
        <f t="shared" si="0"/>
        <v>0</v>
      </c>
      <c r="AB7" s="54">
        <f t="shared" si="0"/>
        <v>0</v>
      </c>
      <c r="AC7" s="54">
        <f t="shared" si="0"/>
        <v>120000</v>
      </c>
      <c r="AD7" s="54">
        <f t="shared" si="0"/>
        <v>0</v>
      </c>
      <c r="AE7" s="54">
        <f t="shared" si="0"/>
        <v>0</v>
      </c>
      <c r="AF7" s="54">
        <f t="shared" si="0"/>
        <v>0</v>
      </c>
      <c r="AG7" s="54">
        <f t="shared" si="0"/>
        <v>5000</v>
      </c>
      <c r="AH7" s="54">
        <f t="shared" si="0"/>
        <v>0</v>
      </c>
      <c r="AI7" s="54">
        <f t="shared" si="0"/>
        <v>0</v>
      </c>
      <c r="AJ7" s="54">
        <f t="shared" si="0"/>
        <v>12500</v>
      </c>
      <c r="AK7" s="54">
        <f t="shared" si="0"/>
        <v>0</v>
      </c>
      <c r="AL7" s="54">
        <f t="shared" si="0"/>
        <v>0</v>
      </c>
      <c r="AM7" s="54">
        <f t="shared" si="0"/>
        <v>0</v>
      </c>
      <c r="AN7" s="54">
        <f t="shared" si="0"/>
        <v>0</v>
      </c>
      <c r="AO7" s="54">
        <f t="shared" si="0"/>
        <v>0</v>
      </c>
      <c r="AP7" s="54"/>
    </row>
  </sheetData>
  <sheetProtection sort="0" autoFilter="0"/>
  <pageMargins left="0.70866141732283472" right="0.70866141732283472" top="0.74803149606299213" bottom="0.74803149606299213" header="0.31496062992125984" footer="0.31496062992125984"/>
  <pageSetup paperSize="8" scale="6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8"/>
  <sheetViews>
    <sheetView view="pageBreakPreview" zoomScale="90" zoomScaleNormal="120" zoomScaleSheetLayoutView="90" workbookViewId="0">
      <pane xSplit="3" ySplit="1" topLeftCell="I2" activePane="bottomRight" state="frozen"/>
      <selection pane="topRight" activeCell="D1" sqref="D1"/>
      <selection pane="bottomLeft" activeCell="A2" sqref="A2"/>
      <selection pane="bottomRight" activeCell="T3" sqref="T3"/>
    </sheetView>
  </sheetViews>
  <sheetFormatPr baseColWidth="10" defaultRowHeight="24" customHeight="1" outlineLevelCol="1" x14ac:dyDescent="0.25"/>
  <cols>
    <col min="1" max="1" width="11.42578125" style="13" customWidth="1"/>
    <col min="2" max="2" width="9" style="13" customWidth="1"/>
    <col min="3" max="3" width="30.28515625" style="13" customWidth="1"/>
    <col min="4" max="4" width="17.7109375" style="13" customWidth="1"/>
    <col min="5" max="5" width="11.7109375" style="13" hidden="1" customWidth="1"/>
    <col min="6" max="6" width="0" style="13" hidden="1" customWidth="1"/>
    <col min="7" max="7" width="15" style="13" customWidth="1"/>
    <col min="8" max="8" width="13.85546875" style="13" customWidth="1"/>
    <col min="9" max="9" width="18.28515625" style="13" customWidth="1"/>
    <col min="10" max="10" width="15.42578125" style="13" customWidth="1"/>
    <col min="11" max="11" width="16.85546875" style="13" customWidth="1"/>
    <col min="12" max="12" width="12.85546875" style="13" customWidth="1"/>
    <col min="13" max="13" width="23.85546875" style="13" customWidth="1"/>
    <col min="14" max="14" width="11.7109375" style="13" hidden="1" customWidth="1" outlineLevel="1"/>
    <col min="15" max="15" width="12.7109375" style="13" hidden="1" customWidth="1" outlineLevel="1"/>
    <col min="16" max="19" width="11.42578125" style="13" hidden="1" customWidth="1" outlineLevel="1"/>
    <col min="20" max="20" width="20.7109375" style="13" customWidth="1" collapsed="1"/>
    <col min="21" max="43" width="11.42578125" style="13" hidden="1" customWidth="1" outlineLevel="1"/>
    <col min="44" max="44" width="15.28515625" style="86" customWidth="1" collapsed="1"/>
    <col min="45" max="45" width="26.140625" style="13" customWidth="1"/>
    <col min="46" max="16384" width="11.42578125" style="13"/>
  </cols>
  <sheetData>
    <row r="1" spans="1:45" s="11" customFormat="1" ht="30" x14ac:dyDescent="0.25">
      <c r="A1" s="11" t="s">
        <v>3</v>
      </c>
      <c r="B1" s="11" t="s">
        <v>0</v>
      </c>
      <c r="C1" s="11" t="s">
        <v>1</v>
      </c>
      <c r="D1" s="15" t="s">
        <v>256</v>
      </c>
      <c r="E1" s="15" t="s">
        <v>7</v>
      </c>
      <c r="F1" s="30" t="s">
        <v>110</v>
      </c>
      <c r="G1" s="76" t="s">
        <v>257</v>
      </c>
      <c r="H1" s="15" t="s">
        <v>8</v>
      </c>
      <c r="I1" s="15" t="s">
        <v>179</v>
      </c>
      <c r="J1" s="15" t="s">
        <v>175</v>
      </c>
      <c r="K1" s="15" t="s">
        <v>9</v>
      </c>
      <c r="L1" s="34" t="s">
        <v>258</v>
      </c>
      <c r="M1" s="34" t="s">
        <v>176</v>
      </c>
      <c r="N1" s="34" t="s">
        <v>10</v>
      </c>
      <c r="O1" s="34" t="s">
        <v>11</v>
      </c>
      <c r="P1" s="34" t="s">
        <v>12</v>
      </c>
      <c r="Q1" s="34" t="s">
        <v>13</v>
      </c>
      <c r="R1" s="34" t="s">
        <v>14</v>
      </c>
      <c r="S1" s="34" t="s">
        <v>15</v>
      </c>
      <c r="T1" s="34" t="s">
        <v>177</v>
      </c>
      <c r="U1" s="53" t="s">
        <v>208</v>
      </c>
      <c r="V1" s="53" t="s">
        <v>209</v>
      </c>
      <c r="W1" s="53" t="s">
        <v>210</v>
      </c>
      <c r="X1" s="53" t="s">
        <v>211</v>
      </c>
      <c r="Y1" s="53" t="s">
        <v>212</v>
      </c>
      <c r="Z1" s="53" t="s">
        <v>213</v>
      </c>
      <c r="AA1" s="53" t="s">
        <v>214</v>
      </c>
      <c r="AB1" s="53" t="s">
        <v>215</v>
      </c>
      <c r="AC1" s="53" t="s">
        <v>216</v>
      </c>
      <c r="AD1" s="53" t="s">
        <v>217</v>
      </c>
      <c r="AE1" s="53" t="s">
        <v>218</v>
      </c>
      <c r="AF1" s="53" t="s">
        <v>219</v>
      </c>
      <c r="AG1" s="53" t="s">
        <v>220</v>
      </c>
      <c r="AH1" s="53" t="s">
        <v>221</v>
      </c>
      <c r="AI1" s="53" t="s">
        <v>222</v>
      </c>
      <c r="AJ1" s="53" t="s">
        <v>223</v>
      </c>
      <c r="AK1" s="53" t="s">
        <v>224</v>
      </c>
      <c r="AL1" s="53" t="s">
        <v>225</v>
      </c>
      <c r="AM1" s="53" t="s">
        <v>226</v>
      </c>
      <c r="AN1" s="53" t="s">
        <v>227</v>
      </c>
      <c r="AO1" s="53" t="s">
        <v>228</v>
      </c>
      <c r="AP1" s="53" t="s">
        <v>229</v>
      </c>
      <c r="AQ1" s="53" t="s">
        <v>259</v>
      </c>
      <c r="AR1" s="73" t="s">
        <v>260</v>
      </c>
      <c r="AS1" s="73" t="s">
        <v>293</v>
      </c>
    </row>
    <row r="2" spans="1:45" s="1" customFormat="1" ht="24" customHeight="1" x14ac:dyDescent="0.25">
      <c r="A2" s="1">
        <v>1</v>
      </c>
      <c r="C2" s="1" t="s">
        <v>180</v>
      </c>
      <c r="D2" s="3">
        <v>217783.97</v>
      </c>
      <c r="E2" s="3"/>
      <c r="F2" s="32">
        <f>H2+J2+M2+T2</f>
        <v>48000</v>
      </c>
      <c r="G2" s="32"/>
      <c r="H2" s="3">
        <v>48000</v>
      </c>
      <c r="I2" s="3">
        <v>217783.97</v>
      </c>
      <c r="J2" s="3">
        <v>0</v>
      </c>
      <c r="K2" s="34">
        <v>0</v>
      </c>
      <c r="L2" s="3">
        <f>25000+38000</f>
        <v>63000</v>
      </c>
      <c r="M2" s="3">
        <f>SUM(Tableau6[[#This Row],[Auvergne]:[RA]])</f>
        <v>0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73" t="s">
        <v>269</v>
      </c>
      <c r="AS2" s="108" t="s">
        <v>314</v>
      </c>
    </row>
    <row r="3" spans="1:45" s="1" customFormat="1" ht="24" customHeight="1" x14ac:dyDescent="0.25">
      <c r="A3" s="1">
        <v>1</v>
      </c>
      <c r="C3" s="1" t="s">
        <v>181</v>
      </c>
      <c r="D3" s="3">
        <v>96552.84</v>
      </c>
      <c r="E3" s="3"/>
      <c r="F3" s="32">
        <f t="shared" ref="F3:F18" si="0">H3+J3+M3+T3</f>
        <v>60000</v>
      </c>
      <c r="G3" s="32"/>
      <c r="H3" s="1">
        <v>0</v>
      </c>
      <c r="I3" s="3">
        <v>96552.84</v>
      </c>
      <c r="J3" s="3">
        <f>Tableau6[[#This Row],[FNADT]]+Tableau6[[#This Row],[Autre Public]]</f>
        <v>50344.72</v>
      </c>
      <c r="K3" s="34">
        <v>50344.72</v>
      </c>
      <c r="L3" s="3"/>
      <c r="M3" s="3">
        <f>SUM(Tableau6[[#This Row],[Auvergne]:[RA]])</f>
        <v>0</v>
      </c>
      <c r="N3" s="3"/>
      <c r="O3" s="3"/>
      <c r="P3" s="3"/>
      <c r="Q3" s="3"/>
      <c r="R3" s="3"/>
      <c r="S3" s="58"/>
      <c r="T3" s="3">
        <v>9655.2800000000007</v>
      </c>
      <c r="U3" s="3"/>
      <c r="V3" s="3">
        <v>9655.2800000000007</v>
      </c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73" t="s">
        <v>269</v>
      </c>
      <c r="AS3" s="108"/>
    </row>
    <row r="4" spans="1:45" s="1" customFormat="1" ht="34.5" customHeight="1" x14ac:dyDescent="0.25">
      <c r="A4" s="1">
        <v>1</v>
      </c>
      <c r="C4" s="1" t="s">
        <v>182</v>
      </c>
      <c r="D4" s="4">
        <v>100709.78</v>
      </c>
      <c r="E4" s="4"/>
      <c r="F4" s="32">
        <f t="shared" si="0"/>
        <v>32400</v>
      </c>
      <c r="G4" s="32"/>
      <c r="H4" s="3">
        <v>0</v>
      </c>
      <c r="I4" s="4">
        <v>100709.78</v>
      </c>
      <c r="J4" s="3">
        <f>Tableau6[[#This Row],[FNADT]]+Tableau6[[#This Row],[Autre Public]]</f>
        <v>32400</v>
      </c>
      <c r="K4" s="34">
        <v>32400</v>
      </c>
      <c r="L4" s="3"/>
      <c r="M4" s="3">
        <f>SUM(Tableau6[[#This Row],[Auvergne]:[RA]])</f>
        <v>0</v>
      </c>
      <c r="N4" s="3"/>
      <c r="O4" s="3"/>
      <c r="P4" s="3"/>
      <c r="Q4" s="3"/>
      <c r="S4" s="58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73" t="s">
        <v>269</v>
      </c>
      <c r="AS4" s="108"/>
    </row>
    <row r="5" spans="1:45" s="1" customFormat="1" ht="34.5" customHeight="1" x14ac:dyDescent="0.25">
      <c r="A5" s="1">
        <v>1</v>
      </c>
      <c r="C5" s="1" t="s">
        <v>183</v>
      </c>
      <c r="D5" s="4">
        <v>102164.25</v>
      </c>
      <c r="E5" s="4"/>
      <c r="F5" s="32">
        <f t="shared" si="0"/>
        <v>33000</v>
      </c>
      <c r="G5" s="32"/>
      <c r="H5" s="3">
        <v>11371.47</v>
      </c>
      <c r="I5" s="4">
        <v>102164.25</v>
      </c>
      <c r="J5" s="3">
        <f>Tableau6[[#This Row],[FNADT]]+Tableau6[[#This Row],[Autre Public]]</f>
        <v>21628.53</v>
      </c>
      <c r="K5" s="34">
        <v>21628.53</v>
      </c>
      <c r="L5" s="3"/>
      <c r="M5" s="3">
        <f>SUM(Tableau6[[#This Row],[Auvergne]:[RA]])</f>
        <v>0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73" t="s">
        <v>269</v>
      </c>
      <c r="AS5" s="108"/>
    </row>
    <row r="6" spans="1:45" s="1" customFormat="1" ht="34.5" customHeight="1" x14ac:dyDescent="0.25">
      <c r="A6" s="1">
        <v>1</v>
      </c>
      <c r="C6" s="1" t="s">
        <v>184</v>
      </c>
      <c r="D6" s="4">
        <v>79078.78</v>
      </c>
      <c r="E6" s="4"/>
      <c r="F6" s="32">
        <f t="shared" si="0"/>
        <v>31279.54</v>
      </c>
      <c r="G6" s="32"/>
      <c r="H6" s="3">
        <v>10765.27</v>
      </c>
      <c r="I6" s="4">
        <v>79078.78</v>
      </c>
      <c r="J6" s="3">
        <f>Tableau6[[#This Row],[FNADT]]+Tableau6[[#This Row],[Autre Public]]</f>
        <v>20514.27</v>
      </c>
      <c r="K6" s="34">
        <v>20514.27</v>
      </c>
      <c r="L6" s="3"/>
      <c r="M6" s="3">
        <f>SUM(Tableau6[[#This Row],[Auvergne]:[RA]])</f>
        <v>0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73" t="s">
        <v>269</v>
      </c>
      <c r="AS6" s="108"/>
    </row>
    <row r="7" spans="1:45" s="1" customFormat="1" ht="34.5" customHeight="1" x14ac:dyDescent="0.25">
      <c r="A7" s="1">
        <v>1</v>
      </c>
      <c r="C7" s="1" t="s">
        <v>185</v>
      </c>
      <c r="D7" s="4">
        <v>134313.16</v>
      </c>
      <c r="E7" s="4"/>
      <c r="F7" s="32">
        <f t="shared" si="0"/>
        <v>85500</v>
      </c>
      <c r="G7" s="32"/>
      <c r="H7" s="3">
        <v>29462.45</v>
      </c>
      <c r="I7" s="4">
        <v>134313.16</v>
      </c>
      <c r="J7" s="3">
        <f>Tableau6[[#This Row],[FNADT]]+Tableau6[[#This Row],[Autre Public]]</f>
        <v>15743.6</v>
      </c>
      <c r="K7" s="34">
        <v>15743.6</v>
      </c>
      <c r="L7" s="3"/>
      <c r="M7" s="3">
        <f>SUM(Tableau6[[#This Row],[Auvergne]:[RA]])</f>
        <v>40293.949999999997</v>
      </c>
      <c r="N7" s="3">
        <v>40293.949999999997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73" t="s">
        <v>269</v>
      </c>
      <c r="AS7" s="108"/>
    </row>
    <row r="8" spans="1:45" s="63" customFormat="1" ht="34.5" customHeight="1" x14ac:dyDescent="0.25">
      <c r="A8" s="65">
        <v>1</v>
      </c>
      <c r="B8" s="65"/>
      <c r="C8" s="66" t="s">
        <v>237</v>
      </c>
      <c r="D8" s="67">
        <f>SUBTOTAL(109,D2:D7)</f>
        <v>730602.78</v>
      </c>
      <c r="E8" s="67">
        <f t="shared" ref="E8:AP8" si="1">SUBTOTAL(109,E2:E7)</f>
        <v>0</v>
      </c>
      <c r="F8" s="67">
        <f t="shared" si="1"/>
        <v>290179.54000000004</v>
      </c>
      <c r="G8" s="67"/>
      <c r="H8" s="67">
        <f t="shared" si="1"/>
        <v>99599.19</v>
      </c>
      <c r="I8" s="67">
        <f t="shared" si="1"/>
        <v>730602.78</v>
      </c>
      <c r="J8" s="67">
        <f t="shared" si="1"/>
        <v>140631.12</v>
      </c>
      <c r="K8" s="67">
        <f t="shared" si="1"/>
        <v>140631.12</v>
      </c>
      <c r="L8" s="67">
        <f t="shared" si="1"/>
        <v>63000</v>
      </c>
      <c r="M8" s="67">
        <f t="shared" si="1"/>
        <v>40293.949999999997</v>
      </c>
      <c r="N8" s="67">
        <f t="shared" si="1"/>
        <v>40293.949999999997</v>
      </c>
      <c r="O8" s="67">
        <f t="shared" si="1"/>
        <v>0</v>
      </c>
      <c r="P8" s="67">
        <f t="shared" si="1"/>
        <v>0</v>
      </c>
      <c r="Q8" s="67">
        <f t="shared" si="1"/>
        <v>0</v>
      </c>
      <c r="R8" s="67">
        <f t="shared" si="1"/>
        <v>0</v>
      </c>
      <c r="S8" s="67">
        <f t="shared" si="1"/>
        <v>0</v>
      </c>
      <c r="T8" s="67">
        <f t="shared" si="1"/>
        <v>9655.2800000000007</v>
      </c>
      <c r="U8" s="67">
        <f t="shared" si="1"/>
        <v>0</v>
      </c>
      <c r="V8" s="67">
        <f t="shared" si="1"/>
        <v>9655.2800000000007</v>
      </c>
      <c r="W8" s="67">
        <f t="shared" si="1"/>
        <v>0</v>
      </c>
      <c r="X8" s="67">
        <f t="shared" si="1"/>
        <v>0</v>
      </c>
      <c r="Y8" s="67">
        <f t="shared" si="1"/>
        <v>0</v>
      </c>
      <c r="Z8" s="67">
        <f t="shared" si="1"/>
        <v>0</v>
      </c>
      <c r="AA8" s="67">
        <f t="shared" si="1"/>
        <v>0</v>
      </c>
      <c r="AB8" s="67">
        <f t="shared" si="1"/>
        <v>0</v>
      </c>
      <c r="AC8" s="67">
        <f t="shared" si="1"/>
        <v>0</v>
      </c>
      <c r="AD8" s="67">
        <f t="shared" si="1"/>
        <v>0</v>
      </c>
      <c r="AE8" s="67">
        <f t="shared" si="1"/>
        <v>0</v>
      </c>
      <c r="AF8" s="67">
        <f t="shared" si="1"/>
        <v>0</v>
      </c>
      <c r="AG8" s="67">
        <f t="shared" si="1"/>
        <v>0</v>
      </c>
      <c r="AH8" s="67">
        <f t="shared" si="1"/>
        <v>0</v>
      </c>
      <c r="AI8" s="67">
        <f t="shared" si="1"/>
        <v>0</v>
      </c>
      <c r="AJ8" s="67">
        <f t="shared" si="1"/>
        <v>0</v>
      </c>
      <c r="AK8" s="67">
        <f t="shared" si="1"/>
        <v>0</v>
      </c>
      <c r="AL8" s="67">
        <f t="shared" si="1"/>
        <v>0</v>
      </c>
      <c r="AM8" s="67">
        <f t="shared" si="1"/>
        <v>0</v>
      </c>
      <c r="AN8" s="67">
        <f t="shared" si="1"/>
        <v>0</v>
      </c>
      <c r="AO8" s="67">
        <f t="shared" si="1"/>
        <v>0</v>
      </c>
      <c r="AP8" s="67">
        <f t="shared" si="1"/>
        <v>0</v>
      </c>
      <c r="AQ8" s="67"/>
      <c r="AR8" s="83"/>
      <c r="AS8" s="109"/>
    </row>
    <row r="9" spans="1:45" s="1" customFormat="1" ht="34.5" customHeight="1" x14ac:dyDescent="0.25">
      <c r="A9" s="1">
        <v>1</v>
      </c>
      <c r="C9" s="1" t="s">
        <v>186</v>
      </c>
      <c r="D9" s="4">
        <v>288621.69</v>
      </c>
      <c r="E9" s="4"/>
      <c r="F9" s="32">
        <f t="shared" si="0"/>
        <v>135310.25</v>
      </c>
      <c r="G9" s="32">
        <v>270620.49</v>
      </c>
      <c r="H9" s="3">
        <v>100000</v>
      </c>
      <c r="I9" s="4">
        <v>288621.69</v>
      </c>
      <c r="J9" s="3">
        <f>Tableau6[[#This Row],[FNADT]]+Tableau6[[#This Row],[Autre Public]]</f>
        <v>35310.25</v>
      </c>
      <c r="K9" s="34">
        <v>35310.25</v>
      </c>
      <c r="L9" s="3"/>
      <c r="M9" s="3">
        <f>SUM(Tableau6[[#This Row],[Auvergne]:[RA]])</f>
        <v>0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74" t="s">
        <v>248</v>
      </c>
      <c r="AQ9" s="74"/>
      <c r="AR9" s="73" t="s">
        <v>269</v>
      </c>
      <c r="AS9" s="108"/>
    </row>
    <row r="10" spans="1:45" s="1" customFormat="1" ht="34.5" customHeight="1" x14ac:dyDescent="0.25">
      <c r="A10" s="1">
        <v>1</v>
      </c>
      <c r="C10" s="2" t="s">
        <v>187</v>
      </c>
      <c r="D10" s="4">
        <v>315747.71999999997</v>
      </c>
      <c r="E10" s="4"/>
      <c r="F10" s="32">
        <f t="shared" si="0"/>
        <v>117317</v>
      </c>
      <c r="G10" s="32">
        <v>167596.72</v>
      </c>
      <c r="H10" s="3">
        <v>57317</v>
      </c>
      <c r="I10" s="4">
        <v>167596.72</v>
      </c>
      <c r="J10" s="3">
        <f>Tableau6[[#This Row],[FNADT]]+Tableau6[[#This Row],[Autre Public]]</f>
        <v>0</v>
      </c>
      <c r="K10" s="34">
        <v>0</v>
      </c>
      <c r="L10" s="3"/>
      <c r="M10" s="3">
        <f>SUM(Tableau6[[#This Row],[Auvergne]:[RA]])</f>
        <v>60000</v>
      </c>
      <c r="N10" s="3">
        <v>30000</v>
      </c>
      <c r="O10" s="3"/>
      <c r="P10" s="3"/>
      <c r="Q10" s="3">
        <v>30000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73" t="s">
        <v>269</v>
      </c>
      <c r="AS10" s="108" t="s">
        <v>315</v>
      </c>
    </row>
    <row r="11" spans="1:45" s="1" customFormat="1" ht="34.5" customHeight="1" x14ac:dyDescent="0.25">
      <c r="A11" s="1">
        <v>1</v>
      </c>
      <c r="C11" s="2" t="s">
        <v>188</v>
      </c>
      <c r="D11" s="4">
        <v>278226.59000000003</v>
      </c>
      <c r="E11" s="4"/>
      <c r="F11" s="32">
        <f t="shared" si="0"/>
        <v>40000</v>
      </c>
      <c r="G11" s="32"/>
      <c r="H11" s="3">
        <v>0</v>
      </c>
      <c r="I11" s="4">
        <v>101261</v>
      </c>
      <c r="J11" s="3">
        <v>40000</v>
      </c>
      <c r="K11" s="34">
        <v>40000</v>
      </c>
      <c r="L11" s="3"/>
      <c r="M11" s="3">
        <f>SUM(Tableau6[[#This Row],[Auvergne]:[RA]])</f>
        <v>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73" t="s">
        <v>269</v>
      </c>
      <c r="AS11" s="108" t="s">
        <v>316</v>
      </c>
    </row>
    <row r="12" spans="1:45" s="1" customFormat="1" ht="34.5" customHeight="1" x14ac:dyDescent="0.25">
      <c r="A12" s="1">
        <v>1</v>
      </c>
      <c r="C12" s="2" t="s">
        <v>189</v>
      </c>
      <c r="D12" s="4">
        <v>267943.44</v>
      </c>
      <c r="E12" s="4"/>
      <c r="F12" s="32">
        <f t="shared" si="0"/>
        <v>28342</v>
      </c>
      <c r="G12" s="32">
        <v>56684.27</v>
      </c>
      <c r="H12" s="3">
        <v>28342</v>
      </c>
      <c r="I12" s="4">
        <v>56683</v>
      </c>
      <c r="J12" s="3">
        <f>Tableau6[[#This Row],[FNADT]]+Tableau6[[#This Row],[Autre Public]]</f>
        <v>0</v>
      </c>
      <c r="K12" s="34"/>
      <c r="L12" s="3"/>
      <c r="M12" s="3">
        <f>SUM(Tableau6[[#This Row],[Auvergne]:[RA]])</f>
        <v>0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73" t="s">
        <v>269</v>
      </c>
      <c r="AS12" s="108" t="s">
        <v>317</v>
      </c>
    </row>
    <row r="13" spans="1:45" s="1" customFormat="1" ht="34.5" customHeight="1" x14ac:dyDescent="0.25">
      <c r="A13" s="1">
        <v>1</v>
      </c>
      <c r="C13" s="2" t="s">
        <v>190</v>
      </c>
      <c r="D13" s="4">
        <v>233251.87</v>
      </c>
      <c r="E13" s="4"/>
      <c r="F13" s="32">
        <f t="shared" si="0"/>
        <v>0</v>
      </c>
      <c r="G13" s="32"/>
      <c r="H13" s="3">
        <v>0</v>
      </c>
      <c r="I13" s="4"/>
      <c r="J13" s="3">
        <f>Tableau6[[#This Row],[FNADT]]+Tableau6[[#This Row],[Autre Public]]</f>
        <v>0</v>
      </c>
      <c r="K13" s="34"/>
      <c r="L13" s="3"/>
      <c r="M13" s="3">
        <f>SUM(Tableau6[[#This Row],[Auvergne]:[RA]])</f>
        <v>0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73" t="s">
        <v>270</v>
      </c>
      <c r="AS13" s="108" t="s">
        <v>318</v>
      </c>
    </row>
    <row r="14" spans="1:45" s="1" customFormat="1" ht="34.5" customHeight="1" x14ac:dyDescent="0.25">
      <c r="A14" s="1">
        <v>1</v>
      </c>
      <c r="C14" s="2" t="s">
        <v>191</v>
      </c>
      <c r="D14" s="4">
        <v>382962.56</v>
      </c>
      <c r="E14" s="4"/>
      <c r="F14" s="32">
        <f t="shared" si="0"/>
        <v>100000</v>
      </c>
      <c r="G14" s="32">
        <v>245746.12</v>
      </c>
      <c r="H14" s="3">
        <v>100000</v>
      </c>
      <c r="I14" s="4">
        <v>200000</v>
      </c>
      <c r="J14" s="3">
        <f>Tableau6[[#This Row],[FNADT]]+Tableau6[[#This Row],[Autre Public]]</f>
        <v>0</v>
      </c>
      <c r="K14" s="34">
        <v>0</v>
      </c>
      <c r="L14" s="3"/>
      <c r="M14" s="3">
        <f>SUM(Tableau6[[#This Row],[Auvergne]:[RA]])</f>
        <v>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73" t="s">
        <v>269</v>
      </c>
      <c r="AS14" s="108" t="s">
        <v>319</v>
      </c>
    </row>
    <row r="15" spans="1:45" s="1" customFormat="1" ht="34.5" customHeight="1" x14ac:dyDescent="0.25">
      <c r="A15" s="1">
        <v>1</v>
      </c>
      <c r="C15" s="2" t="s">
        <v>242</v>
      </c>
      <c r="D15" s="4">
        <v>100202.18</v>
      </c>
      <c r="E15" s="4"/>
      <c r="F15" s="32">
        <f t="shared" si="0"/>
        <v>0</v>
      </c>
      <c r="G15" s="32"/>
      <c r="H15" s="3">
        <v>0</v>
      </c>
      <c r="I15" s="4"/>
      <c r="J15" s="3">
        <f>Tableau6[[#This Row],[FNADT]]+Tableau6[[#This Row],[Autre Public]]</f>
        <v>0</v>
      </c>
      <c r="K15" s="34"/>
      <c r="L15" s="3"/>
      <c r="M15" s="3">
        <f>SUM(Tableau6[[#This Row],[Auvergne]:[RA]])</f>
        <v>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73" t="s">
        <v>270</v>
      </c>
      <c r="AS15" s="108" t="s">
        <v>320</v>
      </c>
    </row>
    <row r="16" spans="1:45" s="1" customFormat="1" ht="34.5" customHeight="1" x14ac:dyDescent="0.25">
      <c r="A16" s="1">
        <v>1</v>
      </c>
      <c r="C16" s="2" t="s">
        <v>192</v>
      </c>
      <c r="D16" s="4">
        <v>114404.27</v>
      </c>
      <c r="E16" s="4"/>
      <c r="F16" s="32">
        <v>75745.19</v>
      </c>
      <c r="G16" s="32"/>
      <c r="H16" s="3">
        <v>0</v>
      </c>
      <c r="I16" s="4">
        <v>75745.19</v>
      </c>
      <c r="J16" s="3">
        <f>Tableau6[[#This Row],[FNADT]]+Tableau6[[#This Row],[Autre Public]]</f>
        <v>45645.19</v>
      </c>
      <c r="K16" s="34">
        <v>45645.19</v>
      </c>
      <c r="L16" s="3"/>
      <c r="M16" s="3">
        <f>SUM(Tableau6[[#This Row],[Auvergne]:[RA]])</f>
        <v>0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73" t="s">
        <v>269</v>
      </c>
      <c r="AS16" s="111" t="s">
        <v>321</v>
      </c>
    </row>
    <row r="17" spans="1:45" s="1" customFormat="1" ht="34.5" customHeight="1" x14ac:dyDescent="0.25">
      <c r="A17" s="1">
        <v>1</v>
      </c>
      <c r="C17" s="2" t="s">
        <v>193</v>
      </c>
      <c r="D17" s="4">
        <v>397494</v>
      </c>
      <c r="E17" s="4"/>
      <c r="F17" s="32">
        <f t="shared" si="0"/>
        <v>0</v>
      </c>
      <c r="G17" s="32"/>
      <c r="H17" s="3"/>
      <c r="I17" s="3"/>
      <c r="J17" s="3">
        <f>Tableau6[[#This Row],[FNADT]]+Tableau6[[#This Row],[Autre Public]]</f>
        <v>0</v>
      </c>
      <c r="K17" s="34"/>
      <c r="L17" s="3"/>
      <c r="M17" s="3">
        <f>SUM(Tableau6[[#This Row],[Auvergne]:[RA]])</f>
        <v>0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73" t="s">
        <v>270</v>
      </c>
      <c r="AS17" s="108" t="s">
        <v>323</v>
      </c>
    </row>
    <row r="18" spans="1:45" s="1" customFormat="1" ht="34.5" customHeight="1" x14ac:dyDescent="0.25">
      <c r="A18" s="1">
        <v>1</v>
      </c>
      <c r="C18" s="2" t="s">
        <v>194</v>
      </c>
      <c r="D18" s="4">
        <v>200508</v>
      </c>
      <c r="E18" s="4"/>
      <c r="F18" s="32">
        <f t="shared" si="0"/>
        <v>0</v>
      </c>
      <c r="G18" s="32"/>
      <c r="H18" s="4">
        <v>0</v>
      </c>
      <c r="I18" s="3"/>
      <c r="J18" s="3">
        <f>Tableau6[[#This Row],[FNADT]]+Tableau6[[#This Row],[Autre Public]]</f>
        <v>0</v>
      </c>
      <c r="K18" s="34"/>
      <c r="L18" s="3"/>
      <c r="M18" s="3">
        <f>SUM(Tableau6[[#This Row],[Auvergne]:[RA]])</f>
        <v>0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73" t="s">
        <v>270</v>
      </c>
      <c r="AS18" s="111" t="s">
        <v>322</v>
      </c>
    </row>
    <row r="19" spans="1:45" s="1" customFormat="1" ht="34.5" customHeight="1" x14ac:dyDescent="0.25">
      <c r="C19" s="2"/>
      <c r="D19" s="4">
        <f>SUM(D9:D18)+D8</f>
        <v>3309965.1000000006</v>
      </c>
      <c r="E19" s="4">
        <f t="shared" ref="E19:T19" si="2">SUM(E9:E18)+E8</f>
        <v>0</v>
      </c>
      <c r="F19" s="4">
        <f t="shared" si="2"/>
        <v>786893.98</v>
      </c>
      <c r="G19" s="4">
        <f t="shared" si="2"/>
        <v>740647.6</v>
      </c>
      <c r="H19" s="4">
        <f t="shared" si="2"/>
        <v>385258.19</v>
      </c>
      <c r="I19" s="4">
        <f t="shared" si="2"/>
        <v>1620510.3800000001</v>
      </c>
      <c r="J19" s="4">
        <f t="shared" si="2"/>
        <v>261586.56</v>
      </c>
      <c r="K19" s="4">
        <f t="shared" si="2"/>
        <v>261586.56</v>
      </c>
      <c r="L19" s="4">
        <f t="shared" si="2"/>
        <v>63000</v>
      </c>
      <c r="M19" s="4">
        <f t="shared" si="2"/>
        <v>100293.95</v>
      </c>
      <c r="N19" s="4">
        <f t="shared" si="2"/>
        <v>70293.95</v>
      </c>
      <c r="O19" s="4">
        <f t="shared" si="2"/>
        <v>0</v>
      </c>
      <c r="P19" s="4">
        <f t="shared" si="2"/>
        <v>0</v>
      </c>
      <c r="Q19" s="4">
        <f t="shared" si="2"/>
        <v>30000</v>
      </c>
      <c r="R19" s="4">
        <f t="shared" si="2"/>
        <v>0</v>
      </c>
      <c r="S19" s="4">
        <f t="shared" si="2"/>
        <v>0</v>
      </c>
      <c r="T19" s="4">
        <f t="shared" si="2"/>
        <v>9655.2800000000007</v>
      </c>
      <c r="U19" s="4">
        <f t="shared" ref="U19:AP19" si="3">SUM(U9:U18)+U8</f>
        <v>0</v>
      </c>
      <c r="V19" s="4">
        <f t="shared" si="3"/>
        <v>9655.2800000000007</v>
      </c>
      <c r="W19" s="4">
        <f t="shared" si="3"/>
        <v>0</v>
      </c>
      <c r="X19" s="4">
        <f t="shared" si="3"/>
        <v>0</v>
      </c>
      <c r="Y19" s="4">
        <f t="shared" si="3"/>
        <v>0</v>
      </c>
      <c r="Z19" s="4">
        <f t="shared" si="3"/>
        <v>0</v>
      </c>
      <c r="AA19" s="4">
        <f t="shared" si="3"/>
        <v>0</v>
      </c>
      <c r="AB19" s="4">
        <f t="shared" si="3"/>
        <v>0</v>
      </c>
      <c r="AC19" s="4">
        <f t="shared" si="3"/>
        <v>0</v>
      </c>
      <c r="AD19" s="4">
        <f t="shared" si="3"/>
        <v>0</v>
      </c>
      <c r="AE19" s="4">
        <f t="shared" si="3"/>
        <v>0</v>
      </c>
      <c r="AF19" s="4">
        <f t="shared" si="3"/>
        <v>0</v>
      </c>
      <c r="AG19" s="4">
        <f t="shared" si="3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3"/>
        <v>0</v>
      </c>
      <c r="AL19" s="4">
        <f t="shared" si="3"/>
        <v>0</v>
      </c>
      <c r="AM19" s="4">
        <f t="shared" si="3"/>
        <v>0</v>
      </c>
      <c r="AN19" s="4">
        <f t="shared" si="3"/>
        <v>0</v>
      </c>
      <c r="AO19" s="4">
        <f t="shared" si="3"/>
        <v>0</v>
      </c>
      <c r="AP19" s="4">
        <f t="shared" si="3"/>
        <v>0</v>
      </c>
      <c r="AQ19" s="4"/>
      <c r="AR19" s="84"/>
      <c r="AS19" s="110"/>
    </row>
    <row r="20" spans="1:45" s="1" customFormat="1" ht="34.5" customHeight="1" x14ac:dyDescent="0.25">
      <c r="C20" s="2"/>
      <c r="D20" s="4"/>
      <c r="E20" s="4"/>
      <c r="F20" s="32"/>
      <c r="G20" s="32"/>
      <c r="H20" s="3"/>
      <c r="I20" s="3"/>
      <c r="J20" s="3"/>
      <c r="K20" s="3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85"/>
    </row>
    <row r="21" spans="1:45" s="1" customFormat="1" ht="34.5" customHeight="1" x14ac:dyDescent="0.25">
      <c r="C21" s="2"/>
      <c r="D21" s="4"/>
      <c r="E21" s="4"/>
      <c r="F21" s="32"/>
      <c r="G21" s="32"/>
      <c r="H21" s="3"/>
      <c r="I21" s="3"/>
      <c r="J21" s="3"/>
      <c r="K21" s="3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85"/>
    </row>
    <row r="22" spans="1:45" s="1" customFormat="1" ht="34.5" customHeight="1" x14ac:dyDescent="0.25">
      <c r="C22" s="2"/>
      <c r="D22" s="4"/>
      <c r="E22" s="4"/>
      <c r="F22" s="32"/>
      <c r="G22" s="32"/>
      <c r="H22" s="3"/>
      <c r="I22" s="3"/>
      <c r="J22" s="3"/>
      <c r="K22" s="3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85"/>
    </row>
    <row r="23" spans="1:45" s="1" customFormat="1" ht="34.5" customHeight="1" x14ac:dyDescent="0.25">
      <c r="C23" s="2"/>
      <c r="D23" s="4"/>
      <c r="E23" s="4"/>
      <c r="F23" s="32"/>
      <c r="G23" s="32"/>
      <c r="H23" s="3"/>
      <c r="I23" s="3"/>
      <c r="J23" s="3"/>
      <c r="K23" s="3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85"/>
    </row>
    <row r="24" spans="1:45" s="1" customFormat="1" ht="34.5" customHeight="1" x14ac:dyDescent="0.25">
      <c r="C24" s="2"/>
      <c r="D24" s="4"/>
      <c r="E24" s="4"/>
      <c r="F24" s="32"/>
      <c r="G24" s="32"/>
      <c r="H24" s="3"/>
      <c r="I24" s="3"/>
      <c r="J24" s="3"/>
      <c r="K24" s="3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85"/>
    </row>
    <row r="25" spans="1:45" s="1" customFormat="1" ht="24" customHeight="1" x14ac:dyDescent="0.25">
      <c r="D25" s="3"/>
      <c r="E25" s="3"/>
      <c r="F25" s="32"/>
      <c r="G25" s="32"/>
      <c r="H25" s="3"/>
      <c r="I25" s="3"/>
      <c r="J25" s="3"/>
      <c r="K25" s="34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85"/>
    </row>
    <row r="26" spans="1:45" s="1" customFormat="1" ht="24" customHeight="1" x14ac:dyDescent="0.25">
      <c r="D26" s="3"/>
      <c r="E26" s="3"/>
      <c r="F26" s="32"/>
      <c r="G26" s="32"/>
      <c r="H26" s="3"/>
      <c r="I26" s="3"/>
      <c r="J26" s="3"/>
      <c r="K26" s="34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>
        <v>5000</v>
      </c>
      <c r="AK26" s="3"/>
      <c r="AL26" s="3"/>
      <c r="AM26" s="3"/>
      <c r="AN26" s="3"/>
      <c r="AO26" s="3"/>
      <c r="AP26" s="3"/>
      <c r="AQ26" s="3"/>
      <c r="AR26" s="85"/>
    </row>
    <row r="27" spans="1:45" s="1" customFormat="1" ht="24" customHeight="1" x14ac:dyDescent="0.25">
      <c r="D27" s="3"/>
      <c r="E27" s="3"/>
      <c r="F27" s="32"/>
      <c r="G27" s="32"/>
      <c r="H27" s="3"/>
      <c r="I27" s="3"/>
      <c r="J27" s="3"/>
      <c r="K27" s="34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85"/>
    </row>
    <row r="28" spans="1:45" s="1" customFormat="1" ht="24" customHeight="1" x14ac:dyDescent="0.25">
      <c r="D28" s="3"/>
      <c r="E28" s="3"/>
      <c r="F28" s="32"/>
      <c r="G28" s="32"/>
      <c r="H28" s="3"/>
      <c r="I28" s="3"/>
      <c r="J28" s="3"/>
      <c r="K28" s="55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85"/>
    </row>
    <row r="29" spans="1:45" s="1" customFormat="1" ht="24" customHeight="1" x14ac:dyDescent="0.25">
      <c r="D29" s="3"/>
      <c r="E29" s="3"/>
      <c r="F29" s="32"/>
      <c r="G29" s="32"/>
      <c r="H29" s="3"/>
      <c r="I29" s="3"/>
      <c r="J29" s="3"/>
      <c r="K29" s="34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85"/>
    </row>
    <row r="30" spans="1:45" s="1" customFormat="1" ht="24" customHeight="1" x14ac:dyDescent="0.25">
      <c r="D30" s="3"/>
      <c r="E30" s="3"/>
      <c r="F30" s="32"/>
      <c r="G30" s="32"/>
      <c r="H30" s="3"/>
      <c r="I30" s="3"/>
      <c r="J30" s="3"/>
      <c r="K30" s="34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85"/>
    </row>
    <row r="31" spans="1:45" s="1" customFormat="1" ht="24" customHeight="1" x14ac:dyDescent="0.25">
      <c r="D31" s="3"/>
      <c r="E31" s="3"/>
      <c r="F31" s="32"/>
      <c r="G31" s="32"/>
      <c r="H31" s="3"/>
      <c r="I31" s="3"/>
      <c r="J31" s="3"/>
      <c r="K31" s="34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85"/>
    </row>
    <row r="32" spans="1:45" s="1" customFormat="1" ht="24" customHeight="1" x14ac:dyDescent="0.25">
      <c r="D32" s="3"/>
      <c r="E32" s="3"/>
      <c r="F32" s="32"/>
      <c r="G32" s="32"/>
      <c r="H32" s="3"/>
      <c r="I32" s="3"/>
      <c r="J32" s="3"/>
      <c r="K32" s="34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85"/>
    </row>
    <row r="33" spans="4:44" s="1" customFormat="1" ht="24" customHeight="1" x14ac:dyDescent="0.25">
      <c r="D33" s="3"/>
      <c r="E33" s="3"/>
      <c r="F33" s="32"/>
      <c r="G33" s="32"/>
      <c r="H33" s="3"/>
      <c r="I33" s="3"/>
      <c r="J33" s="3"/>
      <c r="K33" s="34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85"/>
    </row>
    <row r="34" spans="4:44" s="1" customFormat="1" ht="24" customHeight="1" x14ac:dyDescent="0.25">
      <c r="D34" s="3"/>
      <c r="E34" s="3"/>
      <c r="F34" s="32"/>
      <c r="G34" s="32"/>
      <c r="H34" s="3"/>
      <c r="I34" s="3"/>
      <c r="J34" s="3"/>
      <c r="K34" s="34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85"/>
    </row>
    <row r="35" spans="4:44" s="1" customFormat="1" ht="24" customHeight="1" x14ac:dyDescent="0.25">
      <c r="D35" s="3"/>
      <c r="E35" s="3"/>
      <c r="F35" s="32"/>
      <c r="G35" s="32"/>
      <c r="H35" s="3"/>
      <c r="I35" s="3"/>
      <c r="J35" s="3"/>
      <c r="K35" s="34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85"/>
    </row>
    <row r="36" spans="4:44" s="1" customFormat="1" ht="24" customHeight="1" x14ac:dyDescent="0.25">
      <c r="D36" s="3"/>
      <c r="E36" s="3"/>
      <c r="F36" s="32"/>
      <c r="G36" s="32"/>
      <c r="H36" s="3"/>
      <c r="I36" s="3"/>
      <c r="J36" s="3"/>
      <c r="K36" s="34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85"/>
    </row>
    <row r="37" spans="4:44" s="1" customFormat="1" ht="24" customHeight="1" x14ac:dyDescent="0.25">
      <c r="D37" s="3"/>
      <c r="E37" s="3"/>
      <c r="F37" s="32"/>
      <c r="G37" s="32"/>
      <c r="H37" s="3"/>
      <c r="I37" s="3"/>
      <c r="J37" s="3"/>
      <c r="K37" s="34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85"/>
    </row>
    <row r="38" spans="4:44" s="1" customFormat="1" ht="24" customHeight="1" x14ac:dyDescent="0.25">
      <c r="D38" s="3"/>
      <c r="E38" s="3"/>
      <c r="F38" s="32"/>
      <c r="G38" s="32"/>
      <c r="H38" s="3"/>
      <c r="I38" s="3"/>
      <c r="J38" s="3"/>
      <c r="K38" s="34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85"/>
    </row>
    <row r="39" spans="4:44" s="1" customFormat="1" ht="24" customHeight="1" x14ac:dyDescent="0.25">
      <c r="D39" s="3"/>
      <c r="E39" s="3"/>
      <c r="F39" s="32"/>
      <c r="G39" s="32"/>
      <c r="H39" s="3"/>
      <c r="I39" s="3"/>
      <c r="J39" s="3"/>
      <c r="K39" s="34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85"/>
    </row>
    <row r="40" spans="4:44" s="1" customFormat="1" ht="24" customHeight="1" x14ac:dyDescent="0.25">
      <c r="D40" s="3"/>
      <c r="E40" s="3"/>
      <c r="F40" s="32"/>
      <c r="G40" s="32"/>
      <c r="H40" s="3"/>
      <c r="I40" s="3"/>
      <c r="J40" s="3"/>
      <c r="K40" s="34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85"/>
    </row>
    <row r="41" spans="4:44" s="1" customFormat="1" ht="24" customHeight="1" x14ac:dyDescent="0.25">
      <c r="D41" s="3"/>
      <c r="E41" s="3"/>
      <c r="F41" s="32"/>
      <c r="G41" s="32"/>
      <c r="H41" s="3"/>
      <c r="I41" s="3"/>
      <c r="J41" s="3"/>
      <c r="K41" s="34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85"/>
    </row>
    <row r="42" spans="4:44" s="1" customFormat="1" ht="87" customHeight="1" x14ac:dyDescent="0.25">
      <c r="D42" s="3"/>
      <c r="E42" s="3"/>
      <c r="F42" s="32"/>
      <c r="G42" s="32"/>
      <c r="H42" s="3"/>
      <c r="I42" s="3"/>
      <c r="J42" s="3"/>
      <c r="K42" s="3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85"/>
    </row>
    <row r="43" spans="4:44" s="1" customFormat="1" ht="87" customHeight="1" x14ac:dyDescent="0.25">
      <c r="D43" s="3"/>
      <c r="E43" s="3"/>
      <c r="F43" s="32"/>
      <c r="G43" s="32"/>
      <c r="H43" s="3"/>
      <c r="I43" s="3"/>
      <c r="J43" s="3"/>
      <c r="K43" s="3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85"/>
    </row>
    <row r="44" spans="4:44" s="1" customFormat="1" ht="87" customHeight="1" x14ac:dyDescent="0.25">
      <c r="D44" s="3"/>
      <c r="E44" s="3"/>
      <c r="F44" s="32"/>
      <c r="G44" s="32"/>
      <c r="H44" s="3"/>
      <c r="I44" s="3"/>
      <c r="J44" s="3"/>
      <c r="K44" s="34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85"/>
    </row>
    <row r="45" spans="4:44" s="1" customFormat="1" ht="69.75" customHeight="1" x14ac:dyDescent="0.25">
      <c r="D45" s="3"/>
      <c r="E45" s="3"/>
      <c r="F45" s="32"/>
      <c r="G45" s="32"/>
      <c r="H45" s="3"/>
      <c r="I45" s="3"/>
      <c r="J45" s="3"/>
      <c r="K45" s="34"/>
      <c r="L45" s="3"/>
      <c r="M45" s="3"/>
      <c r="N45" s="62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85"/>
    </row>
    <row r="46" spans="4:44" s="1" customFormat="1" ht="69.75" customHeight="1" x14ac:dyDescent="0.25">
      <c r="D46" s="3"/>
      <c r="E46" s="3"/>
      <c r="F46" s="32"/>
      <c r="G46" s="32"/>
      <c r="H46" s="3"/>
      <c r="I46" s="3"/>
      <c r="J46" s="3"/>
      <c r="K46" s="34"/>
      <c r="L46" s="3"/>
      <c r="M46" s="3"/>
      <c r="N46" s="62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85"/>
    </row>
    <row r="47" spans="4:44" s="1" customFormat="1" ht="35.25" customHeight="1" x14ac:dyDescent="0.25">
      <c r="D47" s="3"/>
      <c r="E47" s="3"/>
      <c r="F47" s="32"/>
      <c r="G47" s="32"/>
      <c r="H47" s="3"/>
      <c r="I47" s="3"/>
      <c r="J47" s="3"/>
      <c r="K47" s="34"/>
      <c r="L47" s="3"/>
      <c r="M47" s="3"/>
      <c r="N47" s="62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85"/>
    </row>
    <row r="48" spans="4:44" s="12" customFormat="1" ht="24" customHeight="1" x14ac:dyDescent="0.25">
      <c r="D48" s="54"/>
      <c r="E48" s="54"/>
      <c r="F48" s="54"/>
      <c r="G48" s="54"/>
      <c r="H48" s="54"/>
      <c r="I48" s="54"/>
      <c r="J48" s="3"/>
      <c r="K48" s="15"/>
      <c r="L48" s="54"/>
      <c r="M48" s="3"/>
      <c r="N48" s="54"/>
      <c r="O48" s="54"/>
      <c r="P48" s="54"/>
      <c r="Q48" s="54"/>
      <c r="R48" s="54"/>
      <c r="S48" s="54"/>
      <c r="T48" s="3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85"/>
    </row>
  </sheetData>
  <sheetProtection sort="0" autoFilter="0"/>
  <conditionalFormatting sqref="AR1:AR1048576 AS1">
    <cfRule type="containsText" dxfId="225" priority="1" operator="containsText" text="Ajournement">
      <formula>NOT(ISERROR(SEARCH("Ajournement",AR1)))</formula>
    </cfRule>
    <cfRule type="containsText" dxfId="224" priority="2" operator="containsText" text="Favorable">
      <formula>NOT(ISERROR(SEARCH("Favorable",AR1)))</formula>
    </cfRule>
    <cfRule type="containsText" dxfId="223" priority="3" operator="containsText" text="Défavorable">
      <formula>NOT(ISERROR(SEARCH("Défavorable",AR1)))</formula>
    </cfRule>
  </conditionalFormatting>
  <pageMargins left="0.7" right="0.7" top="0.75" bottom="0.75" header="0.3" footer="0.3"/>
  <pageSetup paperSize="8" scale="77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9"/>
  <sheetViews>
    <sheetView view="pageBreakPreview" zoomScale="60"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D8" sqref="D8"/>
    </sheetView>
  </sheetViews>
  <sheetFormatPr baseColWidth="10" defaultRowHeight="24" customHeight="1" outlineLevelCol="1" x14ac:dyDescent="0.25"/>
  <cols>
    <col min="1" max="2" width="11.42578125" style="13"/>
    <col min="3" max="3" width="31.42578125" style="13" customWidth="1"/>
    <col min="4" max="4" width="26.85546875" style="13" customWidth="1"/>
    <col min="5" max="5" width="11.85546875" style="13" customWidth="1"/>
    <col min="6" max="6" width="11.7109375" style="13" hidden="1" customWidth="1"/>
    <col min="7" max="7" width="14.42578125" style="13" hidden="1" customWidth="1"/>
    <col min="8" max="8" width="11.42578125" style="13"/>
    <col min="9" max="9" width="18.28515625" style="13" customWidth="1"/>
    <col min="10" max="12" width="11.42578125" style="13"/>
    <col min="13" max="13" width="12.85546875" style="13" customWidth="1"/>
    <col min="14" max="14" width="14.5703125" style="13" customWidth="1"/>
    <col min="15" max="15" width="11.7109375" style="13" customWidth="1" outlineLevel="1"/>
    <col min="16" max="16" width="12.7109375" style="13" customWidth="1" outlineLevel="1"/>
    <col min="17" max="20" width="11.42578125" style="13" customWidth="1" outlineLevel="1"/>
    <col min="21" max="21" width="11.42578125" style="13"/>
    <col min="22" max="43" width="0" style="13" hidden="1" customWidth="1" outlineLevel="1"/>
    <col min="44" max="44" width="11.42578125" style="13" outlineLevel="1"/>
    <col min="45" max="45" width="19.85546875" style="13" customWidth="1" outlineLevel="1"/>
    <col min="46" max="16384" width="11.42578125" style="13"/>
  </cols>
  <sheetData>
    <row r="1" spans="1:45" s="11" customFormat="1" ht="60" x14ac:dyDescent="0.25">
      <c r="A1" s="11" t="s">
        <v>3</v>
      </c>
      <c r="B1" s="11" t="s">
        <v>0</v>
      </c>
      <c r="C1" s="11" t="s">
        <v>1</v>
      </c>
      <c r="D1" s="11" t="s">
        <v>2</v>
      </c>
      <c r="E1" s="15" t="s">
        <v>6</v>
      </c>
      <c r="F1" s="15" t="s">
        <v>7</v>
      </c>
      <c r="G1" s="30" t="s">
        <v>110</v>
      </c>
      <c r="H1" s="15" t="s">
        <v>8</v>
      </c>
      <c r="I1" s="15" t="s">
        <v>179</v>
      </c>
      <c r="J1" s="15" t="s">
        <v>175</v>
      </c>
      <c r="K1" s="15" t="s">
        <v>9</v>
      </c>
      <c r="L1" s="15" t="s">
        <v>238</v>
      </c>
      <c r="M1" s="15" t="s">
        <v>250</v>
      </c>
      <c r="N1" s="15" t="s">
        <v>176</v>
      </c>
      <c r="O1" s="15" t="s">
        <v>10</v>
      </c>
      <c r="P1" s="15" t="s">
        <v>11</v>
      </c>
      <c r="Q1" s="15" t="s">
        <v>12</v>
      </c>
      <c r="R1" s="15" t="s">
        <v>13</v>
      </c>
      <c r="S1" s="15" t="s">
        <v>14</v>
      </c>
      <c r="T1" s="15" t="s">
        <v>15</v>
      </c>
      <c r="U1" s="15" t="s">
        <v>177</v>
      </c>
      <c r="V1" s="15" t="s">
        <v>271</v>
      </c>
      <c r="W1" s="15" t="s">
        <v>272</v>
      </c>
      <c r="X1" s="15" t="s">
        <v>273</v>
      </c>
      <c r="Y1" s="15" t="s">
        <v>274</v>
      </c>
      <c r="Z1" s="15" t="s">
        <v>275</v>
      </c>
      <c r="AA1" s="15" t="s">
        <v>276</v>
      </c>
      <c r="AB1" s="15" t="s">
        <v>277</v>
      </c>
      <c r="AC1" s="15" t="s">
        <v>278</v>
      </c>
      <c r="AD1" s="15" t="s">
        <v>279</v>
      </c>
      <c r="AE1" s="15" t="s">
        <v>280</v>
      </c>
      <c r="AF1" s="15" t="s">
        <v>281</v>
      </c>
      <c r="AG1" s="15" t="s">
        <v>282</v>
      </c>
      <c r="AH1" s="15" t="s">
        <v>283</v>
      </c>
      <c r="AI1" s="15" t="s">
        <v>284</v>
      </c>
      <c r="AJ1" s="15" t="s">
        <v>285</v>
      </c>
      <c r="AK1" s="15" t="s">
        <v>286</v>
      </c>
      <c r="AL1" s="15" t="s">
        <v>287</v>
      </c>
      <c r="AM1" s="15" t="s">
        <v>288</v>
      </c>
      <c r="AN1" s="15" t="s">
        <v>289</v>
      </c>
      <c r="AO1" s="15" t="s">
        <v>290</v>
      </c>
      <c r="AP1" s="15" t="s">
        <v>291</v>
      </c>
      <c r="AQ1" s="15" t="s">
        <v>292</v>
      </c>
      <c r="AR1" s="93" t="s">
        <v>260</v>
      </c>
      <c r="AS1" s="31" t="s">
        <v>293</v>
      </c>
    </row>
    <row r="2" spans="1:45" s="1" customFormat="1" ht="24" customHeight="1" x14ac:dyDescent="0.25">
      <c r="A2" s="1">
        <v>2</v>
      </c>
      <c r="B2" s="1" t="s">
        <v>198</v>
      </c>
      <c r="C2" s="1" t="s">
        <v>62</v>
      </c>
      <c r="D2" s="1" t="s">
        <v>207</v>
      </c>
      <c r="E2" s="3">
        <v>109500.68</v>
      </c>
      <c r="F2" s="3">
        <v>84703.98</v>
      </c>
      <c r="G2" s="32">
        <f t="shared" ref="G2:G6" si="0">(H2+J2+N2+U2)-F2</f>
        <v>-13616.979999999996</v>
      </c>
      <c r="H2" s="3">
        <v>0</v>
      </c>
      <c r="I2" s="3">
        <v>109500.68</v>
      </c>
      <c r="J2" s="3">
        <f>Tableau5[[#This Row],[Agriculture]]</f>
        <v>65780</v>
      </c>
      <c r="K2" s="34">
        <v>-65403.41</v>
      </c>
      <c r="L2" s="34">
        <v>65780</v>
      </c>
      <c r="M2" s="3"/>
      <c r="N2" s="121">
        <f t="shared" ref="N2:N6" si="1">SUM(O2:T2)</f>
        <v>5307</v>
      </c>
      <c r="O2" s="3">
        <v>5307</v>
      </c>
      <c r="P2" s="3"/>
      <c r="Q2" s="3"/>
      <c r="R2" s="3">
        <v>0</v>
      </c>
      <c r="S2" s="3"/>
      <c r="T2" s="58"/>
      <c r="U2" s="3">
        <f t="shared" ref="U2" si="2">SUM(V2:AQ2)</f>
        <v>0</v>
      </c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107" t="s">
        <v>269</v>
      </c>
      <c r="AS2" s="94" t="s">
        <v>326</v>
      </c>
    </row>
    <row r="3" spans="1:45" s="1" customFormat="1" ht="24" customHeight="1" x14ac:dyDescent="0.25">
      <c r="A3" s="1">
        <v>2</v>
      </c>
      <c r="B3" s="1" t="s">
        <v>199</v>
      </c>
      <c r="C3" s="1" t="s">
        <v>203</v>
      </c>
      <c r="D3" s="1" t="s">
        <v>207</v>
      </c>
      <c r="E3" s="3">
        <v>75952.850000000006</v>
      </c>
      <c r="F3" s="3">
        <v>34750</v>
      </c>
      <c r="G3" s="32">
        <f t="shared" si="0"/>
        <v>0</v>
      </c>
      <c r="H3" s="3">
        <v>0</v>
      </c>
      <c r="I3" s="3">
        <v>75952.850000000006</v>
      </c>
      <c r="J3" s="3">
        <f>Tableau5[[#This Row],[Agriculture]]</f>
        <v>34750</v>
      </c>
      <c r="K3" s="34">
        <v>-32976.43</v>
      </c>
      <c r="L3" s="34">
        <v>34750</v>
      </c>
      <c r="M3" s="3"/>
      <c r="N3" s="121">
        <f t="shared" si="1"/>
        <v>0</v>
      </c>
      <c r="O3" s="3"/>
      <c r="P3" s="3"/>
      <c r="Q3" s="3"/>
      <c r="R3" s="3"/>
      <c r="S3" s="3"/>
      <c r="T3" s="58">
        <v>0</v>
      </c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107" t="s">
        <v>269</v>
      </c>
      <c r="AS3" s="72"/>
    </row>
    <row r="4" spans="1:45" s="1" customFormat="1" ht="24" customHeight="1" x14ac:dyDescent="0.25">
      <c r="A4" s="1">
        <v>2</v>
      </c>
      <c r="B4" s="1" t="s">
        <v>200</v>
      </c>
      <c r="C4" s="1" t="s">
        <v>204</v>
      </c>
      <c r="D4" s="1" t="s">
        <v>207</v>
      </c>
      <c r="E4" s="3">
        <v>119601.57</v>
      </c>
      <c r="F4" s="3">
        <v>83721.100000000006</v>
      </c>
      <c r="G4" s="32">
        <f t="shared" si="0"/>
        <v>-2902.1000000000058</v>
      </c>
      <c r="H4" s="3">
        <v>0</v>
      </c>
      <c r="I4" s="3">
        <v>119601.57</v>
      </c>
      <c r="J4" s="3">
        <f>Tableau5[[#This Row],[Agriculture]]</f>
        <v>71760.600000000006</v>
      </c>
      <c r="K4" s="34">
        <v>-71760.94</v>
      </c>
      <c r="L4" s="34">
        <v>71760.600000000006</v>
      </c>
      <c r="M4" s="3"/>
      <c r="N4" s="121">
        <f t="shared" si="1"/>
        <v>9058.4</v>
      </c>
      <c r="O4" s="3">
        <v>9058.4</v>
      </c>
      <c r="P4" s="3"/>
      <c r="Q4" s="3"/>
      <c r="R4" s="3"/>
      <c r="S4" s="3"/>
      <c r="T4" s="58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107" t="s">
        <v>269</v>
      </c>
      <c r="AS4" s="72"/>
    </row>
    <row r="5" spans="1:45" s="1" customFormat="1" ht="24" customHeight="1" x14ac:dyDescent="0.25">
      <c r="A5" s="1">
        <v>2</v>
      </c>
      <c r="B5" s="1" t="s">
        <v>201</v>
      </c>
      <c r="C5" s="1" t="s">
        <v>205</v>
      </c>
      <c r="D5" s="1" t="s">
        <v>207</v>
      </c>
      <c r="E5" s="3">
        <v>140862.03</v>
      </c>
      <c r="F5" s="3">
        <v>112679.62</v>
      </c>
      <c r="G5" s="32">
        <f t="shared" si="0"/>
        <v>-28162.619999999995</v>
      </c>
      <c r="H5" s="3">
        <v>0</v>
      </c>
      <c r="I5" s="3">
        <v>140862.03</v>
      </c>
      <c r="J5" s="3">
        <f>Tableau5[[#This Row],[Agriculture]]</f>
        <v>84517</v>
      </c>
      <c r="K5" s="34">
        <v>-70849.19</v>
      </c>
      <c r="L5" s="34">
        <v>84517</v>
      </c>
      <c r="M5" s="3"/>
      <c r="N5" s="121">
        <f t="shared" si="1"/>
        <v>0</v>
      </c>
      <c r="O5" s="3"/>
      <c r="P5" s="3"/>
      <c r="Q5" s="3"/>
      <c r="R5" s="3"/>
      <c r="S5" s="3"/>
      <c r="T5" s="58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107" t="s">
        <v>269</v>
      </c>
      <c r="AS5" s="72"/>
    </row>
    <row r="6" spans="1:45" s="1" customFormat="1" ht="24" customHeight="1" x14ac:dyDescent="0.25">
      <c r="A6" s="1">
        <v>2</v>
      </c>
      <c r="B6" s="1" t="s">
        <v>202</v>
      </c>
      <c r="C6" s="1" t="s">
        <v>206</v>
      </c>
      <c r="D6" s="1" t="s">
        <v>207</v>
      </c>
      <c r="E6" s="3">
        <v>163477.93</v>
      </c>
      <c r="F6" s="3">
        <v>114445</v>
      </c>
      <c r="G6" s="32">
        <f t="shared" si="0"/>
        <v>-16258.330000000002</v>
      </c>
      <c r="H6" s="3">
        <v>0</v>
      </c>
      <c r="I6" s="3">
        <v>163477.93</v>
      </c>
      <c r="J6" s="3">
        <f>Tableau5[[#This Row],[Agriculture]]</f>
        <v>98186.67</v>
      </c>
      <c r="K6" s="34">
        <v>-85274.55</v>
      </c>
      <c r="L6" s="34">
        <v>98186.67</v>
      </c>
      <c r="M6" s="3"/>
      <c r="N6" s="121">
        <f t="shared" si="1"/>
        <v>0</v>
      </c>
      <c r="O6" s="3"/>
      <c r="P6" s="3"/>
      <c r="Q6" s="3"/>
      <c r="R6" s="3"/>
      <c r="S6" s="3"/>
      <c r="T6" s="58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107" t="s">
        <v>269</v>
      </c>
      <c r="AS6" s="72"/>
    </row>
    <row r="7" spans="1:45" s="61" customFormat="1" ht="24" customHeight="1" x14ac:dyDescent="0.25">
      <c r="A7" s="26"/>
      <c r="B7" s="26"/>
      <c r="C7" s="26" t="s">
        <v>196</v>
      </c>
      <c r="D7" s="26"/>
      <c r="E7" s="59">
        <f t="shared" ref="E7:AQ7" si="3">SUM(E2:E6)</f>
        <v>609395.06000000006</v>
      </c>
      <c r="F7" s="59">
        <f t="shared" si="3"/>
        <v>430299.7</v>
      </c>
      <c r="G7" s="39">
        <f t="shared" si="3"/>
        <v>-60940.03</v>
      </c>
      <c r="H7" s="59">
        <f t="shared" si="3"/>
        <v>0</v>
      </c>
      <c r="I7" s="59">
        <f t="shared" si="3"/>
        <v>609395.06000000006</v>
      </c>
      <c r="J7" s="37">
        <f>Tableau5[[#This Row],[Agriculture]]</f>
        <v>354994.27</v>
      </c>
      <c r="K7" s="60">
        <f t="shared" si="3"/>
        <v>-326264.52</v>
      </c>
      <c r="L7" s="60">
        <f t="shared" si="3"/>
        <v>354994.27</v>
      </c>
      <c r="M7" s="60">
        <f t="shared" si="3"/>
        <v>0</v>
      </c>
      <c r="N7" s="122">
        <f t="shared" si="3"/>
        <v>14365.4</v>
      </c>
      <c r="O7" s="60">
        <f t="shared" si="3"/>
        <v>14365.4</v>
      </c>
      <c r="P7" s="60">
        <f t="shared" si="3"/>
        <v>0</v>
      </c>
      <c r="Q7" s="60">
        <f t="shared" si="3"/>
        <v>0</v>
      </c>
      <c r="R7" s="60">
        <f t="shared" si="3"/>
        <v>0</v>
      </c>
      <c r="S7" s="60">
        <f t="shared" si="3"/>
        <v>0</v>
      </c>
      <c r="T7" s="60">
        <f t="shared" si="3"/>
        <v>0</v>
      </c>
      <c r="U7" s="60">
        <f t="shared" si="3"/>
        <v>0</v>
      </c>
      <c r="V7" s="60">
        <f t="shared" si="3"/>
        <v>0</v>
      </c>
      <c r="W7" s="60">
        <f t="shared" si="3"/>
        <v>0</v>
      </c>
      <c r="X7" s="60">
        <f t="shared" si="3"/>
        <v>0</v>
      </c>
      <c r="Y7" s="60">
        <f t="shared" si="3"/>
        <v>0</v>
      </c>
      <c r="Z7" s="60">
        <f t="shared" si="3"/>
        <v>0</v>
      </c>
      <c r="AA7" s="60">
        <f t="shared" si="3"/>
        <v>0</v>
      </c>
      <c r="AB7" s="60">
        <f t="shared" si="3"/>
        <v>0</v>
      </c>
      <c r="AC7" s="60">
        <f t="shared" si="3"/>
        <v>0</v>
      </c>
      <c r="AD7" s="60">
        <f t="shared" si="3"/>
        <v>0</v>
      </c>
      <c r="AE7" s="60">
        <f t="shared" si="3"/>
        <v>0</v>
      </c>
      <c r="AF7" s="60">
        <f t="shared" si="3"/>
        <v>0</v>
      </c>
      <c r="AG7" s="60">
        <f t="shared" si="3"/>
        <v>0</v>
      </c>
      <c r="AH7" s="60">
        <f t="shared" si="3"/>
        <v>0</v>
      </c>
      <c r="AI7" s="60">
        <f t="shared" si="3"/>
        <v>0</v>
      </c>
      <c r="AJ7" s="60">
        <f t="shared" si="3"/>
        <v>0</v>
      </c>
      <c r="AK7" s="60">
        <f t="shared" si="3"/>
        <v>0</v>
      </c>
      <c r="AL7" s="60">
        <f t="shared" si="3"/>
        <v>0</v>
      </c>
      <c r="AM7" s="60">
        <f t="shared" si="3"/>
        <v>0</v>
      </c>
      <c r="AN7" s="60">
        <f t="shared" si="3"/>
        <v>0</v>
      </c>
      <c r="AO7" s="60">
        <f t="shared" si="3"/>
        <v>0</v>
      </c>
      <c r="AP7" s="60">
        <f t="shared" si="3"/>
        <v>0</v>
      </c>
      <c r="AQ7" s="60">
        <f t="shared" si="3"/>
        <v>0</v>
      </c>
      <c r="AR7" s="92"/>
      <c r="AS7" s="119"/>
    </row>
    <row r="8" spans="1:45" s="1" customFormat="1" ht="34.5" customHeight="1" x14ac:dyDescent="0.25">
      <c r="A8" s="1">
        <v>2</v>
      </c>
      <c r="B8" s="1" t="s">
        <v>109</v>
      </c>
      <c r="C8" s="2" t="s">
        <v>64</v>
      </c>
      <c r="D8" s="14" t="s">
        <v>63</v>
      </c>
      <c r="E8" s="4">
        <v>50904.959999999999</v>
      </c>
      <c r="F8" s="4">
        <v>35632</v>
      </c>
      <c r="G8" s="32">
        <f>(H8+J8+N8+U8)-F8</f>
        <v>-17816.489999999998</v>
      </c>
      <c r="H8" s="3"/>
      <c r="I8" s="3">
        <v>50904.959999999999</v>
      </c>
      <c r="J8" s="3">
        <f>Tableau5[[#This Row],[Agriculture]]</f>
        <v>0</v>
      </c>
      <c r="K8" s="3">
        <v>-17815.509999999998</v>
      </c>
      <c r="L8" s="34">
        <v>0</v>
      </c>
      <c r="M8" s="3"/>
      <c r="N8" s="121">
        <f>SUM(SUM(Tableau5[[#This Row],[Auvergne]:[RA]]))</f>
        <v>17815.510000000002</v>
      </c>
      <c r="O8" s="3">
        <f>-(15271.49-9087)</f>
        <v>-6184.49</v>
      </c>
      <c r="P8" s="3">
        <v>0</v>
      </c>
      <c r="Q8" s="3">
        <v>0</v>
      </c>
      <c r="R8" s="3"/>
      <c r="T8" s="58">
        <v>24000</v>
      </c>
      <c r="U8" s="3">
        <f>SUM(V8:AQ8)</f>
        <v>0</v>
      </c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107" t="s">
        <v>269</v>
      </c>
      <c r="AS8" s="120"/>
    </row>
    <row r="9" spans="1:45" s="61" customFormat="1" ht="24" customHeight="1" x14ac:dyDescent="0.25">
      <c r="A9" s="26"/>
      <c r="B9" s="26"/>
      <c r="C9" s="26" t="s">
        <v>241</v>
      </c>
      <c r="D9" s="26"/>
      <c r="E9" s="59">
        <f>E7+E8</f>
        <v>660300.02</v>
      </c>
      <c r="F9" s="59">
        <f t="shared" ref="F9:AQ9" si="4">F7+F8</f>
        <v>465931.7</v>
      </c>
      <c r="G9" s="59">
        <f t="shared" si="4"/>
        <v>-78756.51999999999</v>
      </c>
      <c r="H9" s="59">
        <f t="shared" si="4"/>
        <v>0</v>
      </c>
      <c r="I9" s="59">
        <f t="shared" si="4"/>
        <v>660300.02</v>
      </c>
      <c r="J9" s="59">
        <f t="shared" si="4"/>
        <v>354994.27</v>
      </c>
      <c r="K9" s="59">
        <f t="shared" si="4"/>
        <v>-344080.03</v>
      </c>
      <c r="L9" s="59">
        <f t="shared" si="4"/>
        <v>354994.27</v>
      </c>
      <c r="M9" s="59">
        <f t="shared" si="4"/>
        <v>0</v>
      </c>
      <c r="N9" s="118">
        <f t="shared" si="4"/>
        <v>32180.910000000003</v>
      </c>
      <c r="O9" s="59">
        <f t="shared" si="4"/>
        <v>8180.91</v>
      </c>
      <c r="P9" s="59">
        <f t="shared" si="4"/>
        <v>0</v>
      </c>
      <c r="Q9" s="59">
        <f t="shared" si="4"/>
        <v>0</v>
      </c>
      <c r="R9" s="59">
        <f t="shared" si="4"/>
        <v>0</v>
      </c>
      <c r="S9" s="59">
        <f t="shared" si="4"/>
        <v>0</v>
      </c>
      <c r="T9" s="59">
        <f t="shared" si="4"/>
        <v>24000</v>
      </c>
      <c r="U9" s="59">
        <f t="shared" si="4"/>
        <v>0</v>
      </c>
      <c r="V9" s="59">
        <f t="shared" si="4"/>
        <v>0</v>
      </c>
      <c r="W9" s="59">
        <f t="shared" si="4"/>
        <v>0</v>
      </c>
      <c r="X9" s="59">
        <f t="shared" si="4"/>
        <v>0</v>
      </c>
      <c r="Y9" s="59">
        <f t="shared" si="4"/>
        <v>0</v>
      </c>
      <c r="Z9" s="59">
        <f t="shared" si="4"/>
        <v>0</v>
      </c>
      <c r="AA9" s="59">
        <f t="shared" si="4"/>
        <v>0</v>
      </c>
      <c r="AB9" s="59">
        <f t="shared" si="4"/>
        <v>0</v>
      </c>
      <c r="AC9" s="59">
        <f t="shared" si="4"/>
        <v>0</v>
      </c>
      <c r="AD9" s="59">
        <f t="shared" si="4"/>
        <v>0</v>
      </c>
      <c r="AE9" s="59">
        <f t="shared" si="4"/>
        <v>0</v>
      </c>
      <c r="AF9" s="59">
        <f t="shared" si="4"/>
        <v>0</v>
      </c>
      <c r="AG9" s="59">
        <f t="shared" si="4"/>
        <v>0</v>
      </c>
      <c r="AH9" s="59">
        <f t="shared" si="4"/>
        <v>0</v>
      </c>
      <c r="AI9" s="59">
        <f t="shared" si="4"/>
        <v>0</v>
      </c>
      <c r="AJ9" s="59">
        <f t="shared" si="4"/>
        <v>0</v>
      </c>
      <c r="AK9" s="59">
        <f t="shared" si="4"/>
        <v>0</v>
      </c>
      <c r="AL9" s="59">
        <f t="shared" si="4"/>
        <v>0</v>
      </c>
      <c r="AM9" s="59">
        <f t="shared" si="4"/>
        <v>0</v>
      </c>
      <c r="AN9" s="59">
        <f t="shared" si="4"/>
        <v>0</v>
      </c>
      <c r="AO9" s="59">
        <f t="shared" si="4"/>
        <v>0</v>
      </c>
      <c r="AP9" s="59">
        <f t="shared" si="4"/>
        <v>0</v>
      </c>
      <c r="AQ9" s="59">
        <f t="shared" si="4"/>
        <v>0</v>
      </c>
      <c r="AR9" s="92"/>
      <c r="AS9" s="119"/>
    </row>
  </sheetData>
  <sheetProtection sort="0" autoFilter="0"/>
  <pageMargins left="0.70866141732283472" right="0.70866141732283472" top="0.74803149606299213" bottom="0.74803149606299213" header="0.31496062992125984" footer="0.31496062992125984"/>
  <pageSetup paperSize="8" scale="65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workbookViewId="0">
      <selection activeCell="AW3" sqref="AW3"/>
    </sheetView>
  </sheetViews>
  <sheetFormatPr baseColWidth="10" defaultRowHeight="15" x14ac:dyDescent="0.25"/>
  <cols>
    <col min="1" max="1" width="6.28515625" customWidth="1"/>
    <col min="2" max="2" width="6.42578125" customWidth="1"/>
    <col min="3" max="3" width="12" customWidth="1"/>
    <col min="4" max="4" width="12.7109375" customWidth="1"/>
    <col min="11" max="16" width="0" hidden="1" customWidth="1"/>
    <col min="20" max="41" width="0" hidden="1" customWidth="1"/>
    <col min="45" max="45" width="9.140625" customWidth="1"/>
  </cols>
  <sheetData>
    <row r="1" spans="1:48" x14ac:dyDescent="0.25">
      <c r="B1" s="27" t="e">
        <f>#REF!</f>
        <v>#REF!</v>
      </c>
    </row>
    <row r="2" spans="1:48" ht="45" x14ac:dyDescent="0.25">
      <c r="A2" s="91" t="s">
        <v>350</v>
      </c>
      <c r="B2" s="91" t="s">
        <v>330</v>
      </c>
      <c r="C2" s="125" t="s">
        <v>331</v>
      </c>
      <c r="D2" s="91" t="s">
        <v>332</v>
      </c>
      <c r="E2" s="91" t="s">
        <v>333</v>
      </c>
      <c r="F2" s="91" t="s">
        <v>334</v>
      </c>
      <c r="G2" s="91" t="s">
        <v>335</v>
      </c>
      <c r="H2" s="91" t="s">
        <v>336</v>
      </c>
      <c r="I2" s="91" t="s">
        <v>337</v>
      </c>
      <c r="J2" s="91" t="s">
        <v>338</v>
      </c>
      <c r="K2" s="91" t="s">
        <v>10</v>
      </c>
      <c r="L2" s="91" t="s">
        <v>11</v>
      </c>
      <c r="M2" s="91" t="s">
        <v>339</v>
      </c>
      <c r="N2" s="91" t="s">
        <v>13</v>
      </c>
      <c r="O2" s="91" t="s">
        <v>340</v>
      </c>
      <c r="P2" s="91" t="s">
        <v>341</v>
      </c>
      <c r="Q2" s="91" t="s">
        <v>175</v>
      </c>
      <c r="R2" s="91" t="s">
        <v>9</v>
      </c>
      <c r="S2" s="91" t="s">
        <v>342</v>
      </c>
      <c r="T2" s="91" t="s">
        <v>208</v>
      </c>
      <c r="U2" s="91" t="s">
        <v>209</v>
      </c>
      <c r="V2" s="91" t="s">
        <v>210</v>
      </c>
      <c r="W2" s="91" t="s">
        <v>211</v>
      </c>
      <c r="X2" s="91" t="s">
        <v>212</v>
      </c>
      <c r="Y2" s="91" t="s">
        <v>213</v>
      </c>
      <c r="Z2" s="91" t="s">
        <v>214</v>
      </c>
      <c r="AA2" s="91" t="s">
        <v>215</v>
      </c>
      <c r="AB2" s="91" t="s">
        <v>216</v>
      </c>
      <c r="AC2" s="91" t="s">
        <v>217</v>
      </c>
      <c r="AD2" s="91" t="s">
        <v>218</v>
      </c>
      <c r="AE2" s="91" t="s">
        <v>219</v>
      </c>
      <c r="AF2" s="91" t="s">
        <v>220</v>
      </c>
      <c r="AG2" s="91" t="s">
        <v>221</v>
      </c>
      <c r="AH2" s="91" t="s">
        <v>222</v>
      </c>
      <c r="AI2" s="91" t="s">
        <v>223</v>
      </c>
      <c r="AJ2" s="91" t="s">
        <v>224</v>
      </c>
      <c r="AK2" s="91" t="s">
        <v>225</v>
      </c>
      <c r="AL2" s="91" t="s">
        <v>226</v>
      </c>
      <c r="AM2" s="91" t="s">
        <v>227</v>
      </c>
      <c r="AN2" s="91" t="s">
        <v>228</v>
      </c>
      <c r="AO2" s="91" t="s">
        <v>229</v>
      </c>
      <c r="AP2" s="91" t="s">
        <v>258</v>
      </c>
      <c r="AQ2" s="91" t="s">
        <v>343</v>
      </c>
      <c r="AR2" s="91" t="s">
        <v>344</v>
      </c>
      <c r="AS2" s="91" t="s">
        <v>345</v>
      </c>
      <c r="AT2" s="91" t="s">
        <v>346</v>
      </c>
      <c r="AU2" s="91" t="s">
        <v>347</v>
      </c>
      <c r="AV2" s="91" t="s">
        <v>348</v>
      </c>
    </row>
    <row r="3" spans="1:48" ht="105" x14ac:dyDescent="0.25">
      <c r="A3" t="s">
        <v>351</v>
      </c>
      <c r="B3" t="s">
        <v>349</v>
      </c>
      <c r="C3" s="13" t="s">
        <v>352</v>
      </c>
      <c r="D3" s="1" t="s">
        <v>353</v>
      </c>
      <c r="E3" s="29">
        <v>106345</v>
      </c>
      <c r="F3">
        <v>42280.3</v>
      </c>
      <c r="G3" s="29">
        <v>106345</v>
      </c>
      <c r="H3" s="29">
        <v>84569.62</v>
      </c>
      <c r="I3" s="29">
        <v>42200.61</v>
      </c>
      <c r="J3" s="29">
        <v>8689.59</v>
      </c>
      <c r="K3" s="29">
        <v>10828.75</v>
      </c>
      <c r="L3" s="29"/>
      <c r="M3" s="29"/>
      <c r="N3" s="29"/>
      <c r="O3" s="29"/>
      <c r="P3" s="29"/>
      <c r="Q3" s="29">
        <v>20744.72</v>
      </c>
      <c r="R3" s="29">
        <v>20744.72</v>
      </c>
      <c r="S3" s="29">
        <v>5776.76</v>
      </c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>
        <v>7263</v>
      </c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>
        <v>7157.94</v>
      </c>
      <c r="AQ3" s="29">
        <v>42369.01</v>
      </c>
      <c r="AR3" s="29">
        <v>84569.62</v>
      </c>
      <c r="AS3" s="29"/>
      <c r="AT3" s="29">
        <v>0</v>
      </c>
      <c r="AU3" t="s">
        <v>354</v>
      </c>
      <c r="AV3" s="126" t="s">
        <v>355</v>
      </c>
    </row>
    <row r="4" spans="1:48" ht="105" x14ac:dyDescent="0.25">
      <c r="A4" t="s">
        <v>351</v>
      </c>
      <c r="B4" t="s">
        <v>356</v>
      </c>
      <c r="C4" s="13" t="s">
        <v>357</v>
      </c>
      <c r="D4" s="1" t="s">
        <v>353</v>
      </c>
      <c r="E4" s="29">
        <v>22858</v>
      </c>
      <c r="F4">
        <v>8647.3700000000008</v>
      </c>
      <c r="G4" s="29">
        <v>17294.740000000002</v>
      </c>
      <c r="H4" s="29">
        <v>17294.740000000002</v>
      </c>
      <c r="I4" s="29">
        <v>8648.1299999999992</v>
      </c>
      <c r="J4" s="29">
        <v>2810.07</v>
      </c>
      <c r="K4" s="29">
        <v>2810.07</v>
      </c>
      <c r="L4" s="29"/>
      <c r="M4" s="29"/>
      <c r="N4" s="29"/>
      <c r="O4" s="29"/>
      <c r="P4" s="29"/>
      <c r="Q4" s="29">
        <v>0</v>
      </c>
      <c r="R4" s="29"/>
      <c r="S4" s="29">
        <v>3026.47</v>
      </c>
      <c r="T4" s="29">
        <v>3026.47</v>
      </c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>
        <v>2810.07</v>
      </c>
      <c r="AQ4" s="29">
        <v>8646.61</v>
      </c>
      <c r="AR4" s="29">
        <v>17294.740000000002</v>
      </c>
      <c r="AS4" s="29"/>
      <c r="AT4" s="29">
        <v>0</v>
      </c>
      <c r="AU4" t="s">
        <v>354</v>
      </c>
      <c r="AV4" s="126" t="s">
        <v>355</v>
      </c>
    </row>
    <row r="5" spans="1:48" ht="105" x14ac:dyDescent="0.25">
      <c r="A5" t="s">
        <v>351</v>
      </c>
      <c r="B5" t="s">
        <v>358</v>
      </c>
      <c r="C5" s="13" t="s">
        <v>359</v>
      </c>
      <c r="D5" s="1" t="s">
        <v>360</v>
      </c>
      <c r="E5" s="29">
        <v>99999.85</v>
      </c>
      <c r="F5">
        <v>39999.94</v>
      </c>
      <c r="G5" s="29">
        <v>99999.45</v>
      </c>
      <c r="H5" s="29">
        <v>96509.28</v>
      </c>
      <c r="I5" s="29">
        <v>27556</v>
      </c>
      <c r="J5" s="29">
        <v>0</v>
      </c>
      <c r="K5" s="29"/>
      <c r="L5" s="29"/>
      <c r="M5" s="29"/>
      <c r="N5" s="29"/>
      <c r="O5" s="29"/>
      <c r="P5" s="29"/>
      <c r="Q5" s="29">
        <v>30000</v>
      </c>
      <c r="R5" s="29">
        <v>30000</v>
      </c>
      <c r="S5" s="29">
        <v>10000</v>
      </c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>
        <v>10000</v>
      </c>
      <c r="AH5" s="29"/>
      <c r="AI5" s="29"/>
      <c r="AJ5" s="29"/>
      <c r="AK5" s="29"/>
      <c r="AL5" s="29"/>
      <c r="AM5" s="29"/>
      <c r="AN5" s="29"/>
      <c r="AO5" s="29"/>
      <c r="AP5" s="29"/>
      <c r="AQ5" s="29">
        <v>40000</v>
      </c>
      <c r="AR5" s="29">
        <v>67556</v>
      </c>
      <c r="AS5" s="29"/>
      <c r="AT5" s="29">
        <v>28953.279999999999</v>
      </c>
      <c r="AU5" t="s">
        <v>354</v>
      </c>
      <c r="AV5" s="126" t="s">
        <v>355</v>
      </c>
    </row>
    <row r="6" spans="1:48" ht="75" x14ac:dyDescent="0.25">
      <c r="A6" t="s">
        <v>351</v>
      </c>
      <c r="B6" t="s">
        <v>361</v>
      </c>
      <c r="C6" s="13" t="s">
        <v>362</v>
      </c>
      <c r="D6" s="1" t="s">
        <v>363</v>
      </c>
      <c r="E6" s="29">
        <v>75000</v>
      </c>
      <c r="F6">
        <v>30000</v>
      </c>
      <c r="G6" s="29">
        <v>75097.66</v>
      </c>
      <c r="H6" s="29">
        <v>72060.490000000005</v>
      </c>
      <c r="I6" s="29">
        <v>50442</v>
      </c>
      <c r="J6" s="29">
        <v>0</v>
      </c>
      <c r="K6" s="29"/>
      <c r="L6" s="29"/>
      <c r="M6" s="29"/>
      <c r="N6" s="29"/>
      <c r="O6" s="29"/>
      <c r="P6" s="29"/>
      <c r="Q6" s="29">
        <v>0</v>
      </c>
      <c r="R6" s="29"/>
      <c r="S6" s="29">
        <v>0</v>
      </c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>
        <v>0</v>
      </c>
      <c r="AR6" s="29">
        <v>50442</v>
      </c>
      <c r="AS6" s="29"/>
      <c r="AT6" s="29">
        <v>21618.490000000005</v>
      </c>
      <c r="AU6" t="s">
        <v>354</v>
      </c>
      <c r="AV6" s="126" t="s">
        <v>355</v>
      </c>
    </row>
    <row r="7" spans="1:48" ht="90" x14ac:dyDescent="0.25">
      <c r="A7" t="s">
        <v>365</v>
      </c>
      <c r="B7" t="s">
        <v>364</v>
      </c>
      <c r="C7" s="13" t="s">
        <v>366</v>
      </c>
      <c r="D7" s="1" t="s">
        <v>367</v>
      </c>
      <c r="E7" s="29">
        <v>126916.25</v>
      </c>
      <c r="F7">
        <v>50766.5</v>
      </c>
      <c r="G7" s="29">
        <v>126317</v>
      </c>
      <c r="H7" s="29">
        <v>126317</v>
      </c>
      <c r="I7" s="29">
        <v>50407</v>
      </c>
      <c r="J7" s="29">
        <v>25383</v>
      </c>
      <c r="K7" s="29">
        <v>25383</v>
      </c>
      <c r="L7" s="29"/>
      <c r="M7" s="29"/>
      <c r="N7" s="29"/>
      <c r="O7" s="29"/>
      <c r="P7" s="29"/>
      <c r="Q7" s="29">
        <v>0</v>
      </c>
      <c r="R7" s="29"/>
      <c r="S7" s="29">
        <v>0</v>
      </c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>
        <v>25383</v>
      </c>
      <c r="AR7" s="29">
        <v>75790</v>
      </c>
      <c r="AS7" s="29"/>
      <c r="AT7" s="29">
        <v>50527</v>
      </c>
      <c r="AU7" t="s">
        <v>354</v>
      </c>
      <c r="AV7" s="126" t="s">
        <v>355</v>
      </c>
    </row>
    <row r="8" spans="1:48" ht="90" x14ac:dyDescent="0.25">
      <c r="A8" t="s">
        <v>365</v>
      </c>
      <c r="B8" t="s">
        <v>368</v>
      </c>
      <c r="C8" s="13" t="s">
        <v>369</v>
      </c>
      <c r="D8" s="1" t="s">
        <v>370</v>
      </c>
      <c r="E8" s="29">
        <v>237100</v>
      </c>
      <c r="F8">
        <v>94852</v>
      </c>
      <c r="G8" s="29">
        <v>236300</v>
      </c>
      <c r="H8" s="29">
        <v>236300</v>
      </c>
      <c r="I8" s="29">
        <v>94354</v>
      </c>
      <c r="J8" s="29">
        <v>20100</v>
      </c>
      <c r="K8" s="29"/>
      <c r="L8" s="29"/>
      <c r="M8" s="29"/>
      <c r="N8" s="29">
        <v>20100</v>
      </c>
      <c r="O8" s="29"/>
      <c r="P8" s="29"/>
      <c r="Q8" s="29">
        <v>27326</v>
      </c>
      <c r="R8" s="29">
        <v>27326</v>
      </c>
      <c r="S8" s="29">
        <v>0</v>
      </c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>
        <v>47426</v>
      </c>
      <c r="AR8" s="29">
        <v>141780</v>
      </c>
      <c r="AS8" s="29"/>
      <c r="AT8" s="29">
        <v>94520</v>
      </c>
      <c r="AU8" t="s">
        <v>354</v>
      </c>
      <c r="AV8" s="126" t="s">
        <v>355</v>
      </c>
    </row>
    <row r="9" spans="1:48" ht="120" x14ac:dyDescent="0.25">
      <c r="A9" t="s">
        <v>365</v>
      </c>
      <c r="B9" t="s">
        <v>371</v>
      </c>
      <c r="C9" s="13" t="s">
        <v>372</v>
      </c>
      <c r="D9" s="1" t="s">
        <v>373</v>
      </c>
      <c r="E9" s="29">
        <v>186597.91999999998</v>
      </c>
      <c r="F9">
        <v>74639.17</v>
      </c>
      <c r="G9" s="29">
        <v>186597.92</v>
      </c>
      <c r="H9" s="29">
        <v>184097.92000000001</v>
      </c>
      <c r="I9" s="29">
        <v>73551</v>
      </c>
      <c r="J9" s="29">
        <v>11966.36</v>
      </c>
      <c r="K9" s="29"/>
      <c r="L9" s="29"/>
      <c r="M9" s="29">
        <v>12128</v>
      </c>
      <c r="N9" s="29"/>
      <c r="O9" s="29"/>
      <c r="P9" s="29"/>
      <c r="Q9" s="29">
        <v>6531</v>
      </c>
      <c r="R9" s="29">
        <v>6531</v>
      </c>
      <c r="S9" s="29">
        <v>18410</v>
      </c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>
        <v>18410</v>
      </c>
      <c r="AH9" s="29"/>
      <c r="AI9" s="29"/>
      <c r="AJ9" s="29"/>
      <c r="AK9" s="29"/>
      <c r="AL9" s="29"/>
      <c r="AM9" s="29"/>
      <c r="AN9" s="29"/>
      <c r="AO9" s="29"/>
      <c r="AP9" s="29"/>
      <c r="AQ9" s="29">
        <v>36907.360000000001</v>
      </c>
      <c r="AR9" s="29">
        <v>110458.36</v>
      </c>
      <c r="AS9" s="29"/>
      <c r="AT9" s="29">
        <v>73639.560000000012</v>
      </c>
      <c r="AU9" t="s">
        <v>354</v>
      </c>
      <c r="AV9" s="126" t="s">
        <v>355</v>
      </c>
    </row>
    <row r="10" spans="1:48" ht="90" x14ac:dyDescent="0.25">
      <c r="A10" t="s">
        <v>365</v>
      </c>
      <c r="B10" t="s">
        <v>374</v>
      </c>
      <c r="C10" s="13" t="s">
        <v>375</v>
      </c>
      <c r="D10" s="1" t="s">
        <v>376</v>
      </c>
      <c r="E10" s="29">
        <v>102800</v>
      </c>
      <c r="F10">
        <v>41120</v>
      </c>
      <c r="G10" s="29">
        <v>102790.7</v>
      </c>
      <c r="H10" s="29">
        <v>102624.14</v>
      </c>
      <c r="I10" s="29">
        <v>41016</v>
      </c>
      <c r="J10" s="29">
        <v>0</v>
      </c>
      <c r="K10" s="29"/>
      <c r="L10" s="29"/>
      <c r="M10" s="29"/>
      <c r="N10" s="29"/>
      <c r="O10" s="29"/>
      <c r="P10" s="29"/>
      <c r="Q10" s="29">
        <v>20558</v>
      </c>
      <c r="R10" s="29">
        <v>20558</v>
      </c>
      <c r="S10" s="29">
        <v>0</v>
      </c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>
        <v>20558</v>
      </c>
      <c r="AR10" s="29">
        <v>61574</v>
      </c>
      <c r="AS10" s="29"/>
      <c r="AT10" s="29">
        <v>41050.14</v>
      </c>
      <c r="AU10" t="s">
        <v>354</v>
      </c>
      <c r="AV10" s="126" t="s">
        <v>355</v>
      </c>
    </row>
    <row r="11" spans="1:48" ht="90" x14ac:dyDescent="0.25">
      <c r="A11" t="s">
        <v>365</v>
      </c>
      <c r="B11" t="s">
        <v>377</v>
      </c>
      <c r="C11" s="13" t="s">
        <v>378</v>
      </c>
      <c r="D11" s="1" t="s">
        <v>379</v>
      </c>
      <c r="E11" s="29">
        <v>168886.06400000001</v>
      </c>
      <c r="F11">
        <v>67554.423999999999</v>
      </c>
      <c r="G11" s="29">
        <v>167626.16</v>
      </c>
      <c r="H11" s="29">
        <v>167474.96</v>
      </c>
      <c r="I11" s="29">
        <v>66832</v>
      </c>
      <c r="J11" s="29">
        <v>16900</v>
      </c>
      <c r="K11" s="29"/>
      <c r="L11" s="29"/>
      <c r="M11" s="29">
        <v>16900</v>
      </c>
      <c r="N11" s="29"/>
      <c r="O11" s="29"/>
      <c r="P11" s="29"/>
      <c r="Q11" s="29">
        <v>0</v>
      </c>
      <c r="R11" s="29"/>
      <c r="S11" s="29">
        <v>16753</v>
      </c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>
        <v>16753</v>
      </c>
      <c r="AH11" s="29"/>
      <c r="AI11" s="29"/>
      <c r="AJ11" s="29"/>
      <c r="AK11" s="29"/>
      <c r="AL11" s="29"/>
      <c r="AM11" s="29"/>
      <c r="AN11" s="29"/>
      <c r="AO11" s="29"/>
      <c r="AP11" s="29"/>
      <c r="AQ11" s="29">
        <v>33653</v>
      </c>
      <c r="AR11" s="29">
        <v>100485</v>
      </c>
      <c r="AS11" s="29"/>
      <c r="AT11" s="29">
        <v>66989.959999999992</v>
      </c>
      <c r="AU11" t="s">
        <v>354</v>
      </c>
      <c r="AV11" s="126" t="s">
        <v>355</v>
      </c>
    </row>
    <row r="12" spans="1:48" x14ac:dyDescent="0.25">
      <c r="B12" t="s">
        <v>156</v>
      </c>
      <c r="C12" s="13"/>
      <c r="D12" s="1"/>
      <c r="E12" s="29">
        <f>SUBTOTAL(109,Tableau_Lancer_la_requête_à_partir_de_Excel_Files910111213[Coût total déposé])</f>
        <v>1126503.084</v>
      </c>
      <c r="G12" s="29">
        <f>SUBTOTAL(109,Tableau_Lancer_la_requête_à_partir_de_Excel_Files910111213[Coût total Opération])</f>
        <v>1118368.6299999999</v>
      </c>
      <c r="H12" s="29">
        <f>SUBTOTAL(109,Tableau_Lancer_la_requête_à_partir_de_Excel_Files910111213[Coût total Eligible FEDER])</f>
        <v>1087248.1500000001</v>
      </c>
      <c r="I12" s="29">
        <f>SUBTOTAL(109,Tableau_Lancer_la_requête_à_partir_de_Excel_Files910111213[UE])</f>
        <v>455006.74</v>
      </c>
      <c r="J12" s="29">
        <f>SUBTOTAL(109,Tableau_Lancer_la_requête_à_partir_de_Excel_Files910111213[Total CR])</f>
        <v>85849.02</v>
      </c>
      <c r="Q12" s="29">
        <f>SUBTOTAL(109,Tableau_Lancer_la_requête_à_partir_de_Excel_Files910111213[Total Etat])</f>
        <v>105159.72</v>
      </c>
      <c r="R12" s="29">
        <f>SUBTOTAL(109,Tableau_Lancer_la_requête_à_partir_de_Excel_Files910111213[FNADT])</f>
        <v>105159.72</v>
      </c>
      <c r="S12" s="29">
        <f>SUBTOTAL(109,Tableau_Lancer_la_requête_à_partir_de_Excel_Files910111213[Total CG])</f>
        <v>53966.229999999996</v>
      </c>
      <c r="T12" s="29">
        <f>SUBTOTAL(109,Tableau_Lancer_la_requête_à_partir_de_Excel_Files910111213[03])</f>
        <v>3026.47</v>
      </c>
      <c r="U12" s="29">
        <f>SUBTOTAL(109,Tableau_Lancer_la_requête_à_partir_de_Excel_Files910111213[07])</f>
        <v>0</v>
      </c>
      <c r="V12" s="29">
        <f>SUBTOTAL(109,Tableau_Lancer_la_requête_à_partir_de_Excel_Files910111213[11])</f>
        <v>0</v>
      </c>
      <c r="W12" s="29">
        <f>SUBTOTAL(109,Tableau_Lancer_la_requête_à_partir_de_Excel_Files910111213[12])</f>
        <v>0</v>
      </c>
      <c r="X12" s="29">
        <f>SUBTOTAL(109,Tableau_Lancer_la_requête_à_partir_de_Excel_Files910111213[15])</f>
        <v>0</v>
      </c>
      <c r="Y12" s="29">
        <f>SUBTOTAL(109,Tableau_Lancer_la_requête_à_partir_de_Excel_Files910111213[19])</f>
        <v>0</v>
      </c>
      <c r="Z12" s="29">
        <f>SUBTOTAL(109,Tableau_Lancer_la_requête_à_partir_de_Excel_Files910111213[21])</f>
        <v>0</v>
      </c>
      <c r="AA12" s="29">
        <f>SUBTOTAL(109,Tableau_Lancer_la_requête_à_partir_de_Excel_Files910111213[23])</f>
        <v>0</v>
      </c>
      <c r="AB12" s="29">
        <f>SUBTOTAL(109,Tableau_Lancer_la_requête_à_partir_de_Excel_Files910111213[30])</f>
        <v>0</v>
      </c>
      <c r="AC12" s="29">
        <f>SUBTOTAL(109,Tableau_Lancer_la_requête_à_partir_de_Excel_Files910111213[34])</f>
        <v>0</v>
      </c>
      <c r="AD12" s="29">
        <f>SUBTOTAL(109,Tableau_Lancer_la_requête_à_partir_de_Excel_Files910111213[42])</f>
        <v>0</v>
      </c>
      <c r="AE12" s="29">
        <f>SUBTOTAL(109,Tableau_Lancer_la_requête_à_partir_de_Excel_Files910111213[43])</f>
        <v>7263</v>
      </c>
      <c r="AF12" s="29">
        <f>SUBTOTAL(109,Tableau_Lancer_la_requête_à_partir_de_Excel_Files910111213[46])</f>
        <v>0</v>
      </c>
      <c r="AG12" s="29">
        <f>SUBTOTAL(109,Tableau_Lancer_la_requête_à_partir_de_Excel_Files910111213[48])</f>
        <v>45163</v>
      </c>
      <c r="AH12" s="29">
        <f>SUBTOTAL(109,Tableau_Lancer_la_requête_à_partir_de_Excel_Files910111213[58])</f>
        <v>0</v>
      </c>
      <c r="AI12" s="29">
        <f>SUBTOTAL(109,Tableau_Lancer_la_requête_à_partir_de_Excel_Files910111213[63])</f>
        <v>0</v>
      </c>
      <c r="AJ12" s="29">
        <f>SUBTOTAL(109,Tableau_Lancer_la_requête_à_partir_de_Excel_Files910111213[69])</f>
        <v>0</v>
      </c>
      <c r="AK12" s="29">
        <f>SUBTOTAL(109,Tableau_Lancer_la_requête_à_partir_de_Excel_Files910111213[71])</f>
        <v>0</v>
      </c>
      <c r="AL12" s="29">
        <f>SUBTOTAL(109,Tableau_Lancer_la_requête_à_partir_de_Excel_Files910111213[81])</f>
        <v>0</v>
      </c>
      <c r="AM12" s="29">
        <f>SUBTOTAL(109,Tableau_Lancer_la_requête_à_partir_de_Excel_Files910111213[82])</f>
        <v>0</v>
      </c>
      <c r="AN12" s="29">
        <f>SUBTOTAL(109,Tableau_Lancer_la_requête_à_partir_de_Excel_Files910111213[87])</f>
        <v>0</v>
      </c>
      <c r="AO12" s="29">
        <f>SUBTOTAL(109,Tableau_Lancer_la_requête_à_partir_de_Excel_Files910111213[89])</f>
        <v>0</v>
      </c>
      <c r="AP12" s="29">
        <f>SUBTOTAL(109,Tableau_Lancer_la_requête_à_partir_de_Excel_Files910111213[Autre Public])</f>
        <v>9968.01</v>
      </c>
      <c r="AQ12" s="29">
        <f>SUBTOTAL(109,Tableau_Lancer_la_requête_à_partir_de_Excel_Files910111213[DPN])</f>
        <v>254942.97999999998</v>
      </c>
      <c r="AR12" s="29">
        <f>SUBTOTAL(109,Tableau_Lancer_la_requête_à_partir_de_Excel_Files910111213[Part Publique])</f>
        <v>709949.72</v>
      </c>
      <c r="AS12" s="29">
        <f>SUBTOTAL(109,Tableau_Lancer_la_requête_à_partir_de_Excel_Files910111213[Part privée])</f>
        <v>0</v>
      </c>
      <c r="AT12" s="29">
        <f>SUBTOTAL(109,Tableau_Lancer_la_requête_à_partir_de_Excel_Files910111213[Autofinancement])</f>
        <v>377298.43000000005</v>
      </c>
      <c r="AU12" s="29"/>
      <c r="AV12">
        <f>SUBTOTAL(103,Tableau_Lancer_la_requête_à_partir_de_Excel_Files910111213[Avis Cprog])</f>
        <v>9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workbookViewId="0">
      <selection activeCell="E8" sqref="E8"/>
    </sheetView>
  </sheetViews>
  <sheetFormatPr baseColWidth="10" defaultRowHeight="15" x14ac:dyDescent="0.25"/>
  <cols>
    <col min="1" max="1" width="27.140625" customWidth="1"/>
    <col min="4" max="4" width="16.140625" customWidth="1"/>
    <col min="6" max="6" width="22.42578125" customWidth="1"/>
    <col min="7" max="7" width="24.85546875" style="29" customWidth="1"/>
  </cols>
  <sheetData>
    <row r="1" spans="1:9" s="27" customFormat="1" x14ac:dyDescent="0.25">
      <c r="A1" s="27" t="s">
        <v>232</v>
      </c>
      <c r="B1" s="123" t="s">
        <v>240</v>
      </c>
      <c r="C1" s="123" t="s">
        <v>230</v>
      </c>
      <c r="D1" s="123" t="s">
        <v>231</v>
      </c>
      <c r="E1" s="123" t="s">
        <v>8</v>
      </c>
      <c r="F1" s="27" t="s">
        <v>380</v>
      </c>
      <c r="G1" s="28" t="s">
        <v>381</v>
      </c>
    </row>
    <row r="2" spans="1:9" x14ac:dyDescent="0.25">
      <c r="A2" t="s">
        <v>233</v>
      </c>
      <c r="B2" s="29">
        <f>Tableau1[[#Totals],[Total Etat]]</f>
        <v>3262818.88</v>
      </c>
      <c r="C2" s="29">
        <f>Tableau1[[#Totals],[Total régions]]</f>
        <v>427546.7</v>
      </c>
      <c r="D2" s="29">
        <f>Tableau1[[#Totals],[Total CD]]</f>
        <v>65436.829999999994</v>
      </c>
      <c r="E2" s="29">
        <f>Tableau1[[#Totals],[FEDER]]</f>
        <v>1485586.23</v>
      </c>
      <c r="F2" s="28">
        <f>SUM(B2:E2)</f>
        <v>5241388.6400000006</v>
      </c>
      <c r="G2" s="28"/>
    </row>
    <row r="3" spans="1:9" x14ac:dyDescent="0.25">
      <c r="A3" t="s">
        <v>234</v>
      </c>
      <c r="B3" s="29">
        <f>Itinérance!I4</f>
        <v>60452.17</v>
      </c>
      <c r="C3" s="29">
        <f>Itinérance!L4</f>
        <v>57152.69</v>
      </c>
      <c r="D3" s="29">
        <f>Itinérance!S4</f>
        <v>28420</v>
      </c>
      <c r="E3" s="29">
        <f>Itinérance!G4</f>
        <v>266216.21999999997</v>
      </c>
      <c r="F3" s="28">
        <f>SUM(B3:E3)</f>
        <v>412241.07999999996</v>
      </c>
      <c r="G3" s="68"/>
    </row>
    <row r="4" spans="1:9" x14ac:dyDescent="0.25">
      <c r="A4" t="s">
        <v>236</v>
      </c>
      <c r="B4" s="29">
        <f>Milieux!K16</f>
        <v>88391.62</v>
      </c>
      <c r="C4" s="29">
        <f>Milieux!N16</f>
        <v>145407.66999999998</v>
      </c>
      <c r="D4" s="29">
        <f>Milieux!U16</f>
        <v>36690</v>
      </c>
      <c r="E4" s="29">
        <f>Milieux!I16</f>
        <v>1271097.1499999999</v>
      </c>
      <c r="F4" s="28">
        <f>SUM(B4:E4)</f>
        <v>1541586.44</v>
      </c>
    </row>
    <row r="5" spans="1:9" x14ac:dyDescent="0.25">
      <c r="A5" t="s">
        <v>235</v>
      </c>
      <c r="B5" s="29">
        <f>'Pôles nature'!J7</f>
        <v>100929.2</v>
      </c>
      <c r="C5" s="29">
        <f>'Pôles nature'!L7</f>
        <v>75438.2</v>
      </c>
      <c r="D5" s="29">
        <f>'Pôles nature'!S7</f>
        <v>153079</v>
      </c>
      <c r="E5" s="29">
        <f>'Pôles nature'!G7</f>
        <v>308638.07999999996</v>
      </c>
      <c r="F5" s="28">
        <f>SUM(B5:E5)</f>
        <v>638084.48</v>
      </c>
      <c r="G5" s="128" t="s">
        <v>382</v>
      </c>
      <c r="H5" s="128"/>
      <c r="I5" s="128"/>
    </row>
    <row r="6" spans="1:9" ht="15" customHeight="1" x14ac:dyDescent="0.25">
      <c r="A6" t="s">
        <v>239</v>
      </c>
      <c r="B6" s="29">
        <f>Tableau6[[#Totals],[Total Etat]]</f>
        <v>261586.56</v>
      </c>
      <c r="C6" s="29">
        <f>Tableau6[[#Totals],[Total régions]]</f>
        <v>100293.95</v>
      </c>
      <c r="D6" s="127">
        <v>309398.63</v>
      </c>
      <c r="E6" s="29">
        <f>Tableau6[[#Totals],[FEDER]]</f>
        <v>385258.19</v>
      </c>
      <c r="F6" s="28">
        <f>SUM(B6:E6)</f>
        <v>1056537.33</v>
      </c>
      <c r="G6" s="128"/>
      <c r="H6" s="128"/>
      <c r="I6" s="128"/>
    </row>
    <row r="7" spans="1:9" x14ac:dyDescent="0.25">
      <c r="G7" s="128"/>
      <c r="H7" s="128"/>
      <c r="I7" s="128"/>
    </row>
    <row r="8" spans="1:9" ht="21" customHeight="1" x14ac:dyDescent="0.25">
      <c r="A8" s="27" t="s">
        <v>383</v>
      </c>
      <c r="B8" s="28">
        <f>SUM(B2:B6)</f>
        <v>3774178.43</v>
      </c>
      <c r="C8" s="28">
        <f>SUM(C2:C6)</f>
        <v>805839.21</v>
      </c>
      <c r="D8" s="28">
        <f>SUM(D2:D6)</f>
        <v>593024.46</v>
      </c>
      <c r="E8" s="28">
        <f>SUM(E2:E6)</f>
        <v>3716795.8699999996</v>
      </c>
      <c r="F8" s="28">
        <f>SUM(F2:F7)</f>
        <v>8889837.9700000007</v>
      </c>
      <c r="G8" s="128"/>
      <c r="H8" s="128"/>
      <c r="I8" s="128"/>
    </row>
    <row r="9" spans="1:9" s="27" customFormat="1" x14ac:dyDescent="0.25">
      <c r="A9"/>
      <c r="B9" s="28"/>
      <c r="G9" s="28"/>
    </row>
    <row r="10" spans="1:9" x14ac:dyDescent="0.25">
      <c r="B10" s="29"/>
      <c r="C10" s="29"/>
      <c r="D10" s="29"/>
    </row>
    <row r="11" spans="1:9" x14ac:dyDescent="0.25">
      <c r="A11" s="69"/>
      <c r="B11" s="70"/>
      <c r="G11" s="27"/>
      <c r="H11" s="27"/>
    </row>
    <row r="12" spans="1:9" x14ac:dyDescent="0.25">
      <c r="B12" s="29"/>
    </row>
    <row r="13" spans="1:9" x14ac:dyDescent="0.25">
      <c r="B13" s="29"/>
    </row>
    <row r="14" spans="1:9" x14ac:dyDescent="0.25">
      <c r="B14" s="29"/>
    </row>
  </sheetData>
  <mergeCells count="1">
    <mergeCell ref="G5:I8"/>
  </mergeCell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2</vt:i4>
      </vt:variant>
    </vt:vector>
  </HeadingPairs>
  <TitlesOfParts>
    <vt:vector size="10" baseType="lpstr">
      <vt:lpstr>Fil de l'eau</vt:lpstr>
      <vt:lpstr>Itinérance</vt:lpstr>
      <vt:lpstr>Milieux</vt:lpstr>
      <vt:lpstr>Pôles nature</vt:lpstr>
      <vt:lpstr>Accueil</vt:lpstr>
      <vt:lpstr>reprogFNADT</vt:lpstr>
      <vt:lpstr>reprogr FEDER</vt:lpstr>
      <vt:lpstr>Récapitulatif</vt:lpstr>
      <vt:lpstr>'Fil de l''eau'!Impression_des_titres</vt:lpstr>
      <vt:lpstr>reprogFNADT!Impression_des_titres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Caroline</dc:creator>
  <cp:lastModifiedBy>pe.melac</cp:lastModifiedBy>
  <cp:lastPrinted>2015-11-03T13:40:16Z</cp:lastPrinted>
  <dcterms:created xsi:type="dcterms:W3CDTF">2015-09-17T11:59:21Z</dcterms:created>
  <dcterms:modified xsi:type="dcterms:W3CDTF">2015-11-09T08:10:04Z</dcterms:modified>
</cp:coreProperties>
</file>